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icomartin/Dropbox/mypapers/Cochard_RareRoots/"/>
    </mc:Choice>
  </mc:AlternateContent>
  <xr:revisionPtr revIDLastSave="0" documentId="8_{16C9277A-279D-4D43-B0F1-184BFB145EC2}" xr6:coauthVersionLast="36" xr6:coauthVersionMax="36" xr10:uidLastSave="{00000000-0000-0000-0000-000000000000}"/>
  <bookViews>
    <workbookView xWindow="780" yWindow="460" windowWidth="28020" windowHeight="17540" tabRatio="500" activeTab="1" xr2:uid="{00000000-000D-0000-FFFF-FFFF00000000}"/>
  </bookViews>
  <sheets>
    <sheet name="sureau_ini.txt" sheetId="1" r:id="rId1"/>
    <sheet name="transient_out.txt" sheetId="6" r:id="rId2"/>
    <sheet name="Fractal shoot" sheetId="10" r:id="rId3"/>
    <sheet name="Fractal root" sheetId="12" r:id="rId4"/>
    <sheet name="Fractal map" sheetId="13" r:id="rId5"/>
    <sheet name="climat_hour_in.txt" sheetId="8" r:id="rId6"/>
    <sheet name="climat_day_in.txt" sheetId="7" r:id="rId7"/>
    <sheet name="climat_month_in.txt" sheetId="9" r:id="rId8"/>
    <sheet name="soil" sheetId="11" r:id="rId9"/>
    <sheet name="Feuil1" sheetId="14" r:id="rId10"/>
    <sheet name="species" sheetId="5" r:id="rId11"/>
    <sheet name="calcul" sheetId="2" r:id="rId12"/>
  </sheets>
  <definedNames>
    <definedName name="Branch_m">sureau_ini.txt!$CG$32</definedName>
    <definedName name="dbh">sureau_ini.txt!$CM$32</definedName>
    <definedName name="FRACTAL">sureau_ini.txt!$CU$32</definedName>
    <definedName name="g_crown">sureau_ini.txt!$AV$32</definedName>
    <definedName name="g_cuti">sureau_ini.txt!$DQ$32</definedName>
    <definedName name="gs_max">sureau_ini.txt!$DK$32</definedName>
    <definedName name="LA_max__m2">sureau_ini.txt!$BM$32</definedName>
    <definedName name="P50_Branch_Apo">sureau_ini.txt!$FB$32</definedName>
    <definedName name="P50_Leaf_Apo">sureau_ini.txt!$FA$32</definedName>
    <definedName name="Pi0_Leaf_Symp">sureau_ini.txt!$EO$32</definedName>
    <definedName name="Soil_Depth">sureau_ini.txt!$EE$32</definedName>
    <definedName name="Soil_Width">sureau_ini.txt!$EF$32</definedName>
    <definedName name="Trunk_m">sureau_ini.txt!$CL$32</definedName>
    <definedName name="VPD_max">sureau_ini.txt!$AG$30</definedName>
  </definedNames>
  <calcPr calcId="181029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R9" i="14" l="1"/>
  <c r="Q9" i="14"/>
  <c r="P9" i="14"/>
  <c r="O9" i="14"/>
  <c r="O5" i="14"/>
  <c r="H9" i="14"/>
  <c r="Q21" i="14"/>
  <c r="Q5" i="14" s="1"/>
  <c r="I21" i="14"/>
  <c r="L24" i="14"/>
  <c r="K24" i="14"/>
  <c r="O24" i="14" s="1"/>
  <c r="J24" i="14"/>
  <c r="M24" i="14" s="1"/>
  <c r="I24" i="14"/>
  <c r="L21" i="14"/>
  <c r="K21" i="14"/>
  <c r="O21" i="14" s="1"/>
  <c r="J21" i="14"/>
  <c r="M21" i="14" s="1"/>
  <c r="I25" i="14"/>
  <c r="I26" i="14"/>
  <c r="I27" i="14"/>
  <c r="P5" i="14" l="1"/>
  <c r="R5" i="14" s="1"/>
  <c r="P6" i="14"/>
  <c r="Q7" i="14"/>
  <c r="P7" i="14"/>
  <c r="Q6" i="14"/>
  <c r="P21" i="14"/>
  <c r="N24" i="14"/>
  <c r="P24" i="14"/>
  <c r="N21" i="14"/>
  <c r="R6" i="14" l="1"/>
  <c r="R7" i="14"/>
  <c r="L27" i="14" l="1"/>
  <c r="K27" i="14"/>
  <c r="O27" i="14" s="1"/>
  <c r="J27" i="14"/>
  <c r="L26" i="14"/>
  <c r="K26" i="14"/>
  <c r="O26" i="14" s="1"/>
  <c r="J26" i="14"/>
  <c r="M26" i="14" s="1"/>
  <c r="L25" i="14"/>
  <c r="K25" i="14"/>
  <c r="O25" i="14" s="1"/>
  <c r="J25" i="14"/>
  <c r="P27" i="14" l="1"/>
  <c r="P25" i="14"/>
  <c r="M25" i="14"/>
  <c r="P26" i="14"/>
  <c r="M27" i="14"/>
  <c r="N27" i="14"/>
  <c r="N26" i="14"/>
  <c r="N25" i="14"/>
  <c r="K5" i="14" l="1"/>
  <c r="L5" i="14" s="1"/>
  <c r="M5" i="14" s="1"/>
  <c r="J5" i="14"/>
  <c r="C6" i="14"/>
  <c r="C7" i="14"/>
  <c r="C5" i="14"/>
  <c r="E15" i="12"/>
  <c r="B9" i="14"/>
  <c r="C9" i="14" s="1"/>
  <c r="I6" i="14"/>
  <c r="I9" i="14" s="1"/>
  <c r="J9" i="14" s="1"/>
  <c r="I5" i="14"/>
  <c r="I7" i="14"/>
  <c r="J7" i="14" s="1"/>
  <c r="K7" i="14" s="1"/>
  <c r="L7" i="14" s="1"/>
  <c r="H6" i="14"/>
  <c r="H7" i="14"/>
  <c r="H5" i="14"/>
  <c r="D5" i="14"/>
  <c r="D6" i="14" s="1"/>
  <c r="D7" i="14" s="1"/>
  <c r="EF30" i="1"/>
  <c r="E14" i="12"/>
  <c r="F14" i="12"/>
  <c r="E13" i="12"/>
  <c r="M5" i="12"/>
  <c r="G13" i="12"/>
  <c r="K9" i="14" l="1"/>
  <c r="L9" i="14" s="1"/>
  <c r="J6" i="14"/>
  <c r="K6" i="14" s="1"/>
  <c r="L6" i="14" s="1"/>
  <c r="M7" i="14"/>
  <c r="O7" i="14" s="1"/>
  <c r="M9" i="14"/>
  <c r="E12" i="12"/>
  <c r="E11" i="12"/>
  <c r="M6" i="14" l="1"/>
  <c r="O6" i="14" s="1"/>
  <c r="F28" i="1"/>
  <c r="BN20" i="1" l="1"/>
  <c r="BN21" i="1"/>
  <c r="BN22" i="1"/>
  <c r="BN19" i="1"/>
  <c r="BN18" i="1"/>
  <c r="BN17" i="1"/>
  <c r="BN16" i="1"/>
  <c r="BO19" i="1" s="1"/>
  <c r="BN15" i="1"/>
  <c r="BN14" i="1"/>
  <c r="BN13" i="1"/>
  <c r="BO12" i="1" l="1"/>
  <c r="BO21" i="1"/>
  <c r="FK32" i="1"/>
  <c r="C14" i="8"/>
  <c r="C15" i="8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13" i="8"/>
  <c r="B13" i="10"/>
  <c r="CH32" i="1"/>
  <c r="FJ32" i="1" l="1"/>
  <c r="B6" i="10"/>
  <c r="CH33" i="1"/>
  <c r="E160" i="6"/>
  <c r="E161" i="6" s="1"/>
  <c r="E162" i="6" s="1"/>
  <c r="E163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59" i="6"/>
  <c r="R6" i="7" l="1"/>
  <c r="R5" i="7"/>
  <c r="V5" i="7" l="1"/>
  <c r="U5" i="7"/>
  <c r="N9" i="1" l="1"/>
  <c r="N8" i="1"/>
  <c r="C26" i="1"/>
  <c r="C21" i="1"/>
  <c r="C20" i="1"/>
  <c r="C19" i="1"/>
  <c r="C17" i="1"/>
  <c r="C16" i="1"/>
  <c r="C18" i="1" s="1"/>
  <c r="C12" i="1"/>
  <c r="C11" i="1"/>
  <c r="C10" i="1"/>
  <c r="C9" i="1"/>
  <c r="B11" i="12" l="1"/>
  <c r="EU26" i="1" l="1"/>
  <c r="EV26" i="1"/>
  <c r="ET26" i="1"/>
  <c r="AV24" i="1" l="1"/>
  <c r="AU24" i="1"/>
  <c r="AT24" i="1"/>
  <c r="AV23" i="1"/>
  <c r="AU23" i="1"/>
  <c r="AT23" i="1"/>
  <c r="AW23" i="1" s="1"/>
  <c r="AV22" i="1"/>
  <c r="AU22" i="1"/>
  <c r="AT22" i="1"/>
  <c r="AV21" i="1"/>
  <c r="AU21" i="1"/>
  <c r="AT21" i="1"/>
  <c r="AW21" i="1" s="1"/>
  <c r="AY24" i="1" l="1"/>
  <c r="AY22" i="1"/>
  <c r="AX21" i="1"/>
  <c r="AY21" i="1"/>
  <c r="AW22" i="1"/>
  <c r="AY23" i="1"/>
  <c r="AW24" i="1"/>
  <c r="AX23" i="1"/>
  <c r="AX24" i="1"/>
  <c r="AX22" i="1"/>
  <c r="AA5" i="7" l="1"/>
  <c r="Z5" i="7"/>
  <c r="B6" i="12" l="1"/>
  <c r="B7" i="12" l="1"/>
  <c r="I26" i="1" l="1"/>
  <c r="C6" i="7" l="1"/>
  <c r="C7" i="7" s="1"/>
  <c r="N5" i="7"/>
  <c r="C8" i="7" l="1"/>
  <c r="E21" i="12"/>
  <c r="B4" i="10"/>
  <c r="B4" i="12" s="1"/>
  <c r="B2" i="10"/>
  <c r="G4" i="10" s="1"/>
  <c r="B3" i="10"/>
  <c r="B3" i="12" s="1"/>
  <c r="B8" i="10"/>
  <c r="B8" i="12" s="1"/>
  <c r="B9" i="12" s="1"/>
  <c r="B14" i="12" s="1"/>
  <c r="I17" i="1"/>
  <c r="I20" i="1" s="1"/>
  <c r="I19" i="1"/>
  <c r="B17" i="10"/>
  <c r="N23" i="1"/>
  <c r="O23" i="1" s="1"/>
  <c r="N22" i="1"/>
  <c r="O22" i="1" s="1"/>
  <c r="N21" i="1"/>
  <c r="O21" i="1" s="1"/>
  <c r="I18" i="1"/>
  <c r="B7" i="10"/>
  <c r="B11" i="10"/>
  <c r="B14" i="10" s="1"/>
  <c r="B12" i="12"/>
  <c r="B10" i="12"/>
  <c r="B5" i="12" s="1"/>
  <c r="B16" i="12" s="1"/>
  <c r="F21" i="12"/>
  <c r="G21" i="12" s="1"/>
  <c r="A22" i="12"/>
  <c r="A23" i="12"/>
  <c r="E21" i="10"/>
  <c r="D8" i="13" s="1"/>
  <c r="F8" i="13" s="1"/>
  <c r="A24" i="12"/>
  <c r="E122" i="11"/>
  <c r="F122" i="11"/>
  <c r="G122" i="11"/>
  <c r="D99" i="11"/>
  <c r="E99" i="11"/>
  <c r="F99" i="11"/>
  <c r="G99" i="11"/>
  <c r="D100" i="11"/>
  <c r="E100" i="11"/>
  <c r="F100" i="11"/>
  <c r="G100" i="11"/>
  <c r="D101" i="11"/>
  <c r="E101" i="11"/>
  <c r="F101" i="11"/>
  <c r="G101" i="11"/>
  <c r="D102" i="11"/>
  <c r="E102" i="11"/>
  <c r="F102" i="11"/>
  <c r="G102" i="11"/>
  <c r="D103" i="11"/>
  <c r="E103" i="11"/>
  <c r="F103" i="11"/>
  <c r="G103" i="11"/>
  <c r="D104" i="11"/>
  <c r="E104" i="11"/>
  <c r="F104" i="11"/>
  <c r="G104" i="11"/>
  <c r="D105" i="11"/>
  <c r="E105" i="11"/>
  <c r="F105" i="11"/>
  <c r="G105" i="11"/>
  <c r="D106" i="11"/>
  <c r="E106" i="11"/>
  <c r="F106" i="11"/>
  <c r="G106" i="11"/>
  <c r="D107" i="11"/>
  <c r="E107" i="11"/>
  <c r="F107" i="11"/>
  <c r="G107" i="11"/>
  <c r="D108" i="11"/>
  <c r="E108" i="11"/>
  <c r="F108" i="11"/>
  <c r="G108" i="11"/>
  <c r="D109" i="11"/>
  <c r="E109" i="11"/>
  <c r="F109" i="11"/>
  <c r="G109" i="11"/>
  <c r="D110" i="11"/>
  <c r="E110" i="11"/>
  <c r="F110" i="11"/>
  <c r="G110" i="11"/>
  <c r="D111" i="11"/>
  <c r="E111" i="11"/>
  <c r="F111" i="11"/>
  <c r="G111" i="11"/>
  <c r="D112" i="11"/>
  <c r="E112" i="11"/>
  <c r="F112" i="11"/>
  <c r="G112" i="11"/>
  <c r="D113" i="11"/>
  <c r="E113" i="11"/>
  <c r="F113" i="11"/>
  <c r="G113" i="11"/>
  <c r="D114" i="11"/>
  <c r="E114" i="11"/>
  <c r="F114" i="11"/>
  <c r="G114" i="11"/>
  <c r="D115" i="11"/>
  <c r="E115" i="11"/>
  <c r="F115" i="11"/>
  <c r="G115" i="11"/>
  <c r="D116" i="11"/>
  <c r="E116" i="11"/>
  <c r="F116" i="11"/>
  <c r="G116" i="11"/>
  <c r="D117" i="11"/>
  <c r="E117" i="11"/>
  <c r="F117" i="11"/>
  <c r="G117" i="11"/>
  <c r="D118" i="11"/>
  <c r="E118" i="11"/>
  <c r="F118" i="11"/>
  <c r="G118" i="11"/>
  <c r="D119" i="11"/>
  <c r="E119" i="11"/>
  <c r="F119" i="11"/>
  <c r="G119" i="11"/>
  <c r="D120" i="11"/>
  <c r="E120" i="11"/>
  <c r="F120" i="11"/>
  <c r="G120" i="11"/>
  <c r="D121" i="11"/>
  <c r="E121" i="11"/>
  <c r="F121" i="11"/>
  <c r="G121" i="11"/>
  <c r="E30" i="11"/>
  <c r="E29" i="11"/>
  <c r="D98" i="11"/>
  <c r="E98" i="11"/>
  <c r="F98" i="11"/>
  <c r="G98" i="11"/>
  <c r="D84" i="11"/>
  <c r="E84" i="11"/>
  <c r="F84" i="11"/>
  <c r="G84" i="11"/>
  <c r="D85" i="11"/>
  <c r="E85" i="11"/>
  <c r="F85" i="11"/>
  <c r="G85" i="11"/>
  <c r="D86" i="11"/>
  <c r="E86" i="11"/>
  <c r="F86" i="11"/>
  <c r="G86" i="11"/>
  <c r="D87" i="11"/>
  <c r="E87" i="11"/>
  <c r="F87" i="11"/>
  <c r="G87" i="11"/>
  <c r="D88" i="11"/>
  <c r="E88" i="11"/>
  <c r="F88" i="11"/>
  <c r="G88" i="11"/>
  <c r="D89" i="11"/>
  <c r="E89" i="11"/>
  <c r="F89" i="11"/>
  <c r="G89" i="11"/>
  <c r="D90" i="11"/>
  <c r="E90" i="11"/>
  <c r="F90" i="11"/>
  <c r="G90" i="11"/>
  <c r="D91" i="11"/>
  <c r="E91" i="11"/>
  <c r="F91" i="11"/>
  <c r="G91" i="11"/>
  <c r="D92" i="11"/>
  <c r="E92" i="11"/>
  <c r="F92" i="11"/>
  <c r="G92" i="11"/>
  <c r="D93" i="11"/>
  <c r="E93" i="11"/>
  <c r="F93" i="11"/>
  <c r="G93" i="11"/>
  <c r="D94" i="11"/>
  <c r="E94" i="11"/>
  <c r="F94" i="11"/>
  <c r="G94" i="11"/>
  <c r="D95" i="11"/>
  <c r="E95" i="11"/>
  <c r="F95" i="11"/>
  <c r="G95" i="11"/>
  <c r="D96" i="11"/>
  <c r="E96" i="11"/>
  <c r="F96" i="11"/>
  <c r="G96" i="11"/>
  <c r="D97" i="11"/>
  <c r="E97" i="11"/>
  <c r="F97" i="11"/>
  <c r="G97" i="11"/>
  <c r="D73" i="11"/>
  <c r="E73" i="11"/>
  <c r="F73" i="11"/>
  <c r="G73" i="11"/>
  <c r="D74" i="11"/>
  <c r="E74" i="11"/>
  <c r="F74" i="11"/>
  <c r="G74" i="11"/>
  <c r="D75" i="11"/>
  <c r="E75" i="11"/>
  <c r="F75" i="11"/>
  <c r="G75" i="11"/>
  <c r="D76" i="11"/>
  <c r="E76" i="11"/>
  <c r="F76" i="11"/>
  <c r="G76" i="11"/>
  <c r="D77" i="11"/>
  <c r="E77" i="11"/>
  <c r="F77" i="11"/>
  <c r="G77" i="11"/>
  <c r="D78" i="11"/>
  <c r="E78" i="11"/>
  <c r="F78" i="11"/>
  <c r="G78" i="11"/>
  <c r="D79" i="11"/>
  <c r="E79" i="11"/>
  <c r="F79" i="11"/>
  <c r="G79" i="11"/>
  <c r="D80" i="11"/>
  <c r="E80" i="11"/>
  <c r="F80" i="11"/>
  <c r="G80" i="11"/>
  <c r="D81" i="11"/>
  <c r="E81" i="11"/>
  <c r="F81" i="11"/>
  <c r="G81" i="11"/>
  <c r="D82" i="11"/>
  <c r="E82" i="11"/>
  <c r="F82" i="11"/>
  <c r="G82" i="11"/>
  <c r="D83" i="11"/>
  <c r="E83" i="11"/>
  <c r="F83" i="11"/>
  <c r="G83" i="11"/>
  <c r="D32" i="11"/>
  <c r="D33" i="11"/>
  <c r="E31" i="11"/>
  <c r="E32" i="11"/>
  <c r="G31" i="11"/>
  <c r="F31" i="11"/>
  <c r="F32" i="11"/>
  <c r="G32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5" i="11"/>
  <c r="E28" i="11"/>
  <c r="D29" i="11"/>
  <c r="D30" i="11"/>
  <c r="D31" i="11"/>
  <c r="D28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6" i="11"/>
  <c r="A25" i="12"/>
  <c r="E33" i="11"/>
  <c r="F33" i="11"/>
  <c r="G33" i="11"/>
  <c r="D34" i="11"/>
  <c r="A26" i="12"/>
  <c r="E34" i="11"/>
  <c r="F34" i="11"/>
  <c r="G34" i="11"/>
  <c r="D35" i="11"/>
  <c r="I25" i="1"/>
  <c r="AU27" i="1" s="1"/>
  <c r="A27" i="12"/>
  <c r="D36" i="11"/>
  <c r="E35" i="11"/>
  <c r="F35" i="11"/>
  <c r="G35" i="11"/>
  <c r="A22" i="10"/>
  <c r="A23" i="10"/>
  <c r="X21" i="10"/>
  <c r="A28" i="12"/>
  <c r="A24" i="10"/>
  <c r="E36" i="11"/>
  <c r="F36" i="11"/>
  <c r="G36" i="11"/>
  <c r="D37" i="11"/>
  <c r="O8" i="1"/>
  <c r="A29" i="12"/>
  <c r="H21" i="10"/>
  <c r="A25" i="10"/>
  <c r="D38" i="11"/>
  <c r="E37" i="11"/>
  <c r="F37" i="11"/>
  <c r="G37" i="11"/>
  <c r="A30" i="12"/>
  <c r="A26" i="10"/>
  <c r="E38" i="11"/>
  <c r="F38" i="11"/>
  <c r="G38" i="11"/>
  <c r="D39" i="11"/>
  <c r="A31" i="12"/>
  <c r="A27" i="10"/>
  <c r="D40" i="11"/>
  <c r="E39" i="11"/>
  <c r="F39" i="11"/>
  <c r="G39" i="11"/>
  <c r="A32" i="12"/>
  <c r="A28" i="10"/>
  <c r="E40" i="11"/>
  <c r="F40" i="11"/>
  <c r="G40" i="11"/>
  <c r="D41" i="11"/>
  <c r="A33" i="12"/>
  <c r="A29" i="10"/>
  <c r="D42" i="11"/>
  <c r="E41" i="11"/>
  <c r="F41" i="11"/>
  <c r="G41" i="11"/>
  <c r="A34" i="12"/>
  <c r="A30" i="10"/>
  <c r="E42" i="11"/>
  <c r="F42" i="11"/>
  <c r="G42" i="11"/>
  <c r="D43" i="11"/>
  <c r="A35" i="12"/>
  <c r="A31" i="10"/>
  <c r="D44" i="11"/>
  <c r="E43" i="11"/>
  <c r="F43" i="11"/>
  <c r="G43" i="11"/>
  <c r="A36" i="12"/>
  <c r="A32" i="10"/>
  <c r="E44" i="11"/>
  <c r="F44" i="11"/>
  <c r="G44" i="11"/>
  <c r="D45" i="11"/>
  <c r="A37" i="12"/>
  <c r="A33" i="10"/>
  <c r="D46" i="11"/>
  <c r="E45" i="11"/>
  <c r="F45" i="11"/>
  <c r="G45" i="11"/>
  <c r="AF30" i="1"/>
  <c r="A38" i="12"/>
  <c r="A34" i="10"/>
  <c r="E46" i="11"/>
  <c r="F46" i="11"/>
  <c r="G46" i="11"/>
  <c r="D47" i="11"/>
  <c r="A39" i="12"/>
  <c r="A35" i="10"/>
  <c r="D48" i="11"/>
  <c r="E47" i="11"/>
  <c r="F47" i="11"/>
  <c r="G47" i="11"/>
  <c r="A40" i="12"/>
  <c r="A36" i="10"/>
  <c r="E48" i="11"/>
  <c r="F48" i="11"/>
  <c r="G48" i="11"/>
  <c r="D49" i="11"/>
  <c r="A41" i="12"/>
  <c r="A37" i="10"/>
  <c r="D50" i="11"/>
  <c r="E49" i="11"/>
  <c r="F49" i="11"/>
  <c r="G49" i="11"/>
  <c r="EJ25" i="1"/>
  <c r="BM28" i="5"/>
  <c r="BM27" i="5"/>
  <c r="BM26" i="5"/>
  <c r="V24" i="5"/>
  <c r="U24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CE22" i="5"/>
  <c r="CF22" i="5"/>
  <c r="CG22" i="5"/>
  <c r="CH22" i="5"/>
  <c r="CI22" i="5"/>
  <c r="CJ22" i="5"/>
  <c r="CK22" i="5"/>
  <c r="CL22" i="5"/>
  <c r="CM22" i="5"/>
  <c r="CN22" i="5"/>
  <c r="CO22" i="5"/>
  <c r="CP22" i="5"/>
  <c r="CQ22" i="5"/>
  <c r="CR22" i="5"/>
  <c r="CS22" i="5"/>
  <c r="CT22" i="5"/>
  <c r="CU22" i="5"/>
  <c r="CV22" i="5"/>
  <c r="CW22" i="5"/>
  <c r="CX22" i="5"/>
  <c r="CY22" i="5"/>
  <c r="CZ22" i="5"/>
  <c r="DA22" i="5"/>
  <c r="DB22" i="5"/>
  <c r="DC22" i="5"/>
  <c r="DD22" i="5"/>
  <c r="DE22" i="5"/>
  <c r="DF22" i="5"/>
  <c r="DG22" i="5"/>
  <c r="DH22" i="5"/>
  <c r="DI22" i="5"/>
  <c r="DJ22" i="5"/>
  <c r="DK22" i="5"/>
  <c r="DO22" i="5"/>
  <c r="DP22" i="5"/>
  <c r="DQ22" i="5"/>
  <c r="DR22" i="5"/>
  <c r="DS22" i="5"/>
  <c r="C19" i="5"/>
  <c r="F16" i="5"/>
  <c r="U15" i="5"/>
  <c r="F15" i="5"/>
  <c r="U14" i="5"/>
  <c r="L14" i="5"/>
  <c r="K14" i="5"/>
  <c r="F14" i="5"/>
  <c r="C14" i="5"/>
  <c r="CG20" i="5"/>
  <c r="U13" i="5"/>
  <c r="K13" i="5"/>
  <c r="L13" i="5"/>
  <c r="F13" i="5"/>
  <c r="C13" i="5"/>
  <c r="U12" i="5"/>
  <c r="K12" i="5"/>
  <c r="L12" i="5"/>
  <c r="F12" i="5"/>
  <c r="C12" i="5"/>
  <c r="F11" i="5"/>
  <c r="K7" i="5"/>
  <c r="CM20" i="5"/>
  <c r="G10" i="5"/>
  <c r="F10" i="5"/>
  <c r="H10" i="5"/>
  <c r="C10" i="5"/>
  <c r="K9" i="5"/>
  <c r="CN20" i="5"/>
  <c r="F9" i="5"/>
  <c r="G9" i="5"/>
  <c r="C9" i="5"/>
  <c r="C11" i="5"/>
  <c r="K8" i="5"/>
  <c r="CR20" i="5"/>
  <c r="F8" i="5"/>
  <c r="H8" i="5"/>
  <c r="C8" i="5"/>
  <c r="U7" i="5"/>
  <c r="G7" i="5"/>
  <c r="F7" i="5"/>
  <c r="H7" i="5"/>
  <c r="C7" i="5"/>
  <c r="U6" i="5"/>
  <c r="K6" i="5"/>
  <c r="CQ20" i="5"/>
  <c r="F6" i="5"/>
  <c r="H6" i="5"/>
  <c r="C6" i="5"/>
  <c r="U5" i="5"/>
  <c r="K5" i="5"/>
  <c r="CL20" i="5"/>
  <c r="F5" i="5"/>
  <c r="H5" i="5"/>
  <c r="C5" i="5"/>
  <c r="U4" i="5"/>
  <c r="K4" i="5"/>
  <c r="CP20" i="5"/>
  <c r="F4" i="5"/>
  <c r="K11" i="5"/>
  <c r="L11" i="5"/>
  <c r="C4" i="5"/>
  <c r="U3" i="5"/>
  <c r="K3" i="5"/>
  <c r="G3" i="5"/>
  <c r="F3" i="5"/>
  <c r="H3" i="5"/>
  <c r="C3" i="5"/>
  <c r="K2" i="5"/>
  <c r="A42" i="12"/>
  <c r="A38" i="10"/>
  <c r="E50" i="11"/>
  <c r="F50" i="11"/>
  <c r="G50" i="11"/>
  <c r="D51" i="11"/>
  <c r="H9" i="5"/>
  <c r="G11" i="5"/>
  <c r="C18" i="5"/>
  <c r="C17" i="5"/>
  <c r="W24" i="5"/>
  <c r="C15" i="5"/>
  <c r="L4" i="5"/>
  <c r="G5" i="5"/>
  <c r="G4" i="5"/>
  <c r="L6" i="5"/>
  <c r="H4" i="5"/>
  <c r="G6" i="5"/>
  <c r="G8" i="5"/>
  <c r="A43" i="12"/>
  <c r="A39" i="10"/>
  <c r="D52" i="11"/>
  <c r="E51" i="11"/>
  <c r="F51" i="11"/>
  <c r="G51" i="11"/>
  <c r="C16" i="5"/>
  <c r="A44" i="12"/>
  <c r="A40" i="10"/>
  <c r="E52" i="11"/>
  <c r="F52" i="11"/>
  <c r="G52" i="11"/>
  <c r="D53" i="11"/>
  <c r="I10" i="1"/>
  <c r="J10" i="1" s="1"/>
  <c r="O9" i="1"/>
  <c r="I9" i="1"/>
  <c r="K9" i="1" s="1"/>
  <c r="A45" i="12"/>
  <c r="A41" i="10"/>
  <c r="D54" i="11"/>
  <c r="E53" i="11"/>
  <c r="F53" i="11"/>
  <c r="G53" i="11"/>
  <c r="A46" i="12"/>
  <c r="A42" i="10"/>
  <c r="E54" i="11"/>
  <c r="F54" i="11"/>
  <c r="G54" i="11"/>
  <c r="D55" i="11"/>
  <c r="D16" i="2"/>
  <c r="D15" i="2"/>
  <c r="A47" i="12"/>
  <c r="A43" i="10"/>
  <c r="D56" i="11"/>
  <c r="E55" i="11"/>
  <c r="F55" i="11"/>
  <c r="G55" i="11"/>
  <c r="L13" i="2"/>
  <c r="L16" i="2"/>
  <c r="D13" i="2"/>
  <c r="L49" i="2"/>
  <c r="L45" i="2"/>
  <c r="L36" i="2"/>
  <c r="L32" i="2"/>
  <c r="L23" i="2"/>
  <c r="L19" i="2"/>
  <c r="L6" i="2"/>
  <c r="M6" i="2"/>
  <c r="L7" i="2"/>
  <c r="L5" i="2"/>
  <c r="M5" i="2"/>
  <c r="D6" i="2"/>
  <c r="D5" i="2"/>
  <c r="D28" i="2"/>
  <c r="D29" i="2"/>
  <c r="D40" i="2"/>
  <c r="D41" i="2"/>
  <c r="D45" i="2"/>
  <c r="D42" i="2"/>
  <c r="D44" i="2"/>
  <c r="D46" i="2"/>
  <c r="D32" i="2"/>
  <c r="D27" i="2"/>
  <c r="D35" i="2"/>
  <c r="E35" i="2"/>
  <c r="D31" i="2"/>
  <c r="D19" i="2"/>
  <c r="E16" i="2"/>
  <c r="D18" i="2"/>
  <c r="D7" i="2"/>
  <c r="E42" i="2"/>
  <c r="E27" i="2"/>
  <c r="D48" i="2"/>
  <c r="E48" i="2"/>
  <c r="E31" i="2"/>
  <c r="D22" i="2"/>
  <c r="E22" i="2"/>
  <c r="E6" i="2"/>
  <c r="E5" i="2"/>
  <c r="D49" i="2"/>
  <c r="D50" i="2"/>
  <c r="D36" i="2"/>
  <c r="D37" i="2"/>
  <c r="D23" i="2"/>
  <c r="D24" i="2"/>
  <c r="A48" i="12"/>
  <c r="A44" i="10"/>
  <c r="E56" i="11"/>
  <c r="F56" i="11"/>
  <c r="G56" i="11"/>
  <c r="D57" i="11"/>
  <c r="E44" i="2"/>
  <c r="F33" i="2"/>
  <c r="F46" i="2"/>
  <c r="L8" i="2"/>
  <c r="N8" i="2"/>
  <c r="D33" i="2"/>
  <c r="D8" i="2"/>
  <c r="F8" i="2"/>
  <c r="D20" i="2"/>
  <c r="F20" i="2"/>
  <c r="E18" i="2"/>
  <c r="L18" i="2"/>
  <c r="L24" i="2"/>
  <c r="M16" i="2"/>
  <c r="L22" i="2"/>
  <c r="M22" i="2"/>
  <c r="L20" i="2"/>
  <c r="L26" i="2"/>
  <c r="L14" i="2"/>
  <c r="L15" i="2"/>
  <c r="L39" i="2"/>
  <c r="A49" i="12"/>
  <c r="A45" i="10"/>
  <c r="D58" i="11"/>
  <c r="E57" i="11"/>
  <c r="F57" i="11"/>
  <c r="G57" i="11"/>
  <c r="M18" i="2"/>
  <c r="N20" i="2"/>
  <c r="L28" i="2"/>
  <c r="L29" i="2"/>
  <c r="L27" i="2"/>
  <c r="L40" i="2"/>
  <c r="L41" i="2"/>
  <c r="L42" i="2"/>
  <c r="A50" i="12"/>
  <c r="A46" i="10"/>
  <c r="E58" i="11"/>
  <c r="F58" i="11"/>
  <c r="G58" i="11"/>
  <c r="D59" i="11"/>
  <c r="L48" i="2"/>
  <c r="M48" i="2"/>
  <c r="L44" i="2"/>
  <c r="M42" i="2"/>
  <c r="L50" i="2"/>
  <c r="L37" i="2"/>
  <c r="L35" i="2"/>
  <c r="M35" i="2"/>
  <c r="M27" i="2"/>
  <c r="L31" i="2"/>
  <c r="A51" i="12"/>
  <c r="A47" i="10"/>
  <c r="D60" i="11"/>
  <c r="E59" i="11"/>
  <c r="F59" i="11"/>
  <c r="G59" i="11"/>
  <c r="M44" i="2"/>
  <c r="L46" i="2"/>
  <c r="N46" i="2"/>
  <c r="L33" i="2"/>
  <c r="N33" i="2"/>
  <c r="M31" i="2"/>
  <c r="A52" i="12"/>
  <c r="A48" i="10"/>
  <c r="E60" i="11"/>
  <c r="F60" i="11"/>
  <c r="G60" i="11"/>
  <c r="D61" i="11"/>
  <c r="A53" i="12"/>
  <c r="A49" i="10"/>
  <c r="D62" i="11"/>
  <c r="E61" i="11"/>
  <c r="F61" i="11"/>
  <c r="G61" i="11"/>
  <c r="A54" i="12"/>
  <c r="A50" i="10"/>
  <c r="E62" i="11"/>
  <c r="F62" i="11"/>
  <c r="G62" i="11"/>
  <c r="D63" i="11"/>
  <c r="A55" i="12"/>
  <c r="A51" i="10"/>
  <c r="D64" i="11"/>
  <c r="E63" i="11"/>
  <c r="F63" i="11"/>
  <c r="G63" i="11"/>
  <c r="A56" i="12"/>
  <c r="A52" i="10"/>
  <c r="E64" i="11"/>
  <c r="F64" i="11"/>
  <c r="G64" i="11"/>
  <c r="D65" i="11"/>
  <c r="A57" i="12"/>
  <c r="A53" i="10"/>
  <c r="D66" i="11"/>
  <c r="E65" i="11"/>
  <c r="F65" i="11"/>
  <c r="G65" i="11"/>
  <c r="A58" i="12"/>
  <c r="A54" i="10"/>
  <c r="E66" i="11"/>
  <c r="F66" i="11"/>
  <c r="G66" i="11"/>
  <c r="D67" i="11"/>
  <c r="A59" i="12"/>
  <c r="A55" i="10"/>
  <c r="D68" i="11"/>
  <c r="E67" i="11"/>
  <c r="F67" i="11"/>
  <c r="G67" i="11"/>
  <c r="A60" i="12"/>
  <c r="A56" i="10"/>
  <c r="E68" i="11"/>
  <c r="F68" i="11"/>
  <c r="G68" i="11"/>
  <c r="D69" i="11"/>
  <c r="A61" i="12"/>
  <c r="A57" i="10"/>
  <c r="D70" i="11"/>
  <c r="E69" i="11"/>
  <c r="F69" i="11"/>
  <c r="G69" i="11"/>
  <c r="A62" i="12"/>
  <c r="A58" i="10"/>
  <c r="E70" i="11"/>
  <c r="F70" i="11"/>
  <c r="G70" i="11"/>
  <c r="D71" i="11"/>
  <c r="A63" i="12"/>
  <c r="A59" i="10"/>
  <c r="D72" i="11"/>
  <c r="E72" i="11"/>
  <c r="F72" i="11"/>
  <c r="G72" i="11"/>
  <c r="E71" i="11"/>
  <c r="F71" i="11"/>
  <c r="G71" i="11"/>
  <c r="A64" i="12"/>
  <c r="A60" i="10"/>
  <c r="A65" i="12"/>
  <c r="A61" i="10"/>
  <c r="A66" i="12"/>
  <c r="A62" i="10"/>
  <c r="A67" i="12"/>
  <c r="A63" i="10"/>
  <c r="A68" i="12"/>
  <c r="A64" i="10"/>
  <c r="A69" i="12"/>
  <c r="A65" i="10"/>
  <c r="A70" i="12"/>
  <c r="A66" i="10"/>
  <c r="A71" i="12"/>
  <c r="A67" i="10"/>
  <c r="A72" i="12"/>
  <c r="A68" i="10"/>
  <c r="A73" i="12"/>
  <c r="A69" i="10"/>
  <c r="A74" i="12"/>
  <c r="A70" i="10"/>
  <c r="A75" i="12"/>
  <c r="A71" i="10"/>
  <c r="A76" i="12"/>
  <c r="A72" i="10"/>
  <c r="A77" i="12"/>
  <c r="A73" i="10"/>
  <c r="A78" i="12"/>
  <c r="A74" i="10"/>
  <c r="A79" i="12"/>
  <c r="A75" i="10"/>
  <c r="A80" i="12"/>
  <c r="A76" i="10"/>
  <c r="A81" i="12"/>
  <c r="A77" i="10"/>
  <c r="A82" i="12"/>
  <c r="A78" i="10"/>
  <c r="A83" i="12"/>
  <c r="A79" i="10"/>
  <c r="A84" i="12"/>
  <c r="A80" i="10"/>
  <c r="A85" i="12"/>
  <c r="A81" i="10"/>
  <c r="A86" i="12"/>
  <c r="A82" i="10"/>
  <c r="A87" i="12"/>
  <c r="A83" i="10"/>
  <c r="A88" i="12"/>
  <c r="A84" i="10"/>
  <c r="A89" i="12"/>
  <c r="A85" i="10"/>
  <c r="A90" i="12"/>
  <c r="A86" i="10"/>
  <c r="A91" i="12"/>
  <c r="A87" i="10"/>
  <c r="A92" i="12"/>
  <c r="A88" i="10"/>
  <c r="A93" i="12"/>
  <c r="A89" i="10"/>
  <c r="A94" i="12"/>
  <c r="A90" i="10"/>
  <c r="A95" i="12"/>
  <c r="A91" i="10"/>
  <c r="A96" i="12"/>
  <c r="A92" i="10"/>
  <c r="A97" i="12"/>
  <c r="A93" i="10"/>
  <c r="A98" i="12"/>
  <c r="A94" i="10"/>
  <c r="A99" i="12"/>
  <c r="A95" i="10"/>
  <c r="A100" i="12"/>
  <c r="A96" i="10"/>
  <c r="A101" i="12"/>
  <c r="A97" i="10"/>
  <c r="A102" i="12"/>
  <c r="A98" i="10"/>
  <c r="A103" i="12"/>
  <c r="A99" i="10"/>
  <c r="A104" i="12"/>
  <c r="A100" i="10"/>
  <c r="A105" i="12"/>
  <c r="A101" i="10"/>
  <c r="A106" i="12"/>
  <c r="A102" i="10"/>
  <c r="A107" i="12"/>
  <c r="A103" i="10"/>
  <c r="A108" i="12"/>
  <c r="A104" i="10"/>
  <c r="A109" i="12"/>
  <c r="A105" i="10"/>
  <c r="A110" i="12"/>
  <c r="A106" i="10"/>
  <c r="A111" i="12"/>
  <c r="A107" i="10"/>
  <c r="A112" i="12"/>
  <c r="A108" i="10"/>
  <c r="A113" i="12"/>
  <c r="A109" i="10"/>
  <c r="A114" i="12"/>
  <c r="A110" i="10"/>
  <c r="A115" i="12"/>
  <c r="A111" i="10"/>
  <c r="A116" i="12"/>
  <c r="A112" i="10"/>
  <c r="A117" i="12"/>
  <c r="A113" i="10"/>
  <c r="A118" i="12"/>
  <c r="A114" i="10"/>
  <c r="A119" i="12"/>
  <c r="A115" i="10"/>
  <c r="A120" i="12"/>
  <c r="A116" i="10"/>
  <c r="A121" i="12"/>
  <c r="A117" i="10"/>
  <c r="A118" i="10"/>
  <c r="A119" i="10"/>
  <c r="A120" i="10"/>
  <c r="A121" i="10"/>
  <c r="C15" i="1" l="1"/>
  <c r="F18" i="1" s="1"/>
  <c r="C13" i="1"/>
  <c r="C14" i="1"/>
  <c r="DE32" i="1"/>
  <c r="I24" i="1"/>
  <c r="N14" i="1" s="1"/>
  <c r="J2" i="10"/>
  <c r="J3" i="10" s="1"/>
  <c r="D111" i="13"/>
  <c r="F111" i="13" s="1"/>
  <c r="N21" i="10"/>
  <c r="AE30" i="1"/>
  <c r="AG30" i="1" s="1"/>
  <c r="F9" i="1" s="1"/>
  <c r="F10" i="1" s="1"/>
  <c r="F21" i="10"/>
  <c r="G21" i="10" s="1"/>
  <c r="K21" i="10" s="1"/>
  <c r="L21" i="10" s="1"/>
  <c r="M21" i="10" s="1"/>
  <c r="N21" i="12"/>
  <c r="B3" i="13"/>
  <c r="H21" i="12"/>
  <c r="K21" i="12" s="1"/>
  <c r="L21" i="12" s="1"/>
  <c r="M21" i="12" s="1"/>
  <c r="EE25" i="1"/>
  <c r="F20" i="1"/>
  <c r="F12" i="1" s="1"/>
  <c r="F13" i="1" s="1"/>
  <c r="B13" i="12"/>
  <c r="K10" i="1"/>
  <c r="B9" i="10"/>
  <c r="B15" i="10" s="1"/>
  <c r="N20" i="1"/>
  <c r="O20" i="1" s="1"/>
  <c r="B16" i="10"/>
  <c r="C118" i="10"/>
  <c r="C112" i="10"/>
  <c r="C108" i="10"/>
  <c r="C104" i="10"/>
  <c r="C100" i="10"/>
  <c r="C96" i="10"/>
  <c r="C92" i="10"/>
  <c r="C88" i="10"/>
  <c r="C84" i="10"/>
  <c r="C80" i="10"/>
  <c r="C76" i="10"/>
  <c r="C72" i="10"/>
  <c r="C68" i="10"/>
  <c r="C64" i="10"/>
  <c r="C60" i="10"/>
  <c r="C56" i="10"/>
  <c r="C52" i="10"/>
  <c r="C48" i="10"/>
  <c r="C44" i="10"/>
  <c r="C40" i="10"/>
  <c r="C36" i="10"/>
  <c r="C32" i="10"/>
  <c r="C28" i="10"/>
  <c r="C24" i="10"/>
  <c r="D21" i="10"/>
  <c r="A9" i="13" s="1"/>
  <c r="D22" i="10"/>
  <c r="A10" i="13" s="1"/>
  <c r="D28" i="10"/>
  <c r="A16" i="13" s="1"/>
  <c r="D45" i="10"/>
  <c r="A33" i="13" s="1"/>
  <c r="D50" i="10"/>
  <c r="A38" i="13" s="1"/>
  <c r="D54" i="10"/>
  <c r="A42" i="13" s="1"/>
  <c r="D58" i="10"/>
  <c r="A46" i="13" s="1"/>
  <c r="D61" i="10"/>
  <c r="A49" i="13" s="1"/>
  <c r="D65" i="10"/>
  <c r="A53" i="13" s="1"/>
  <c r="D69" i="10"/>
  <c r="A57" i="13" s="1"/>
  <c r="D73" i="10"/>
  <c r="A61" i="13" s="1"/>
  <c r="D77" i="10"/>
  <c r="A65" i="13" s="1"/>
  <c r="D81" i="10"/>
  <c r="A69" i="13" s="1"/>
  <c r="D85" i="10"/>
  <c r="A73" i="13" s="1"/>
  <c r="D89" i="10"/>
  <c r="A77" i="13" s="1"/>
  <c r="D93" i="10"/>
  <c r="A81" i="13" s="1"/>
  <c r="D97" i="10"/>
  <c r="A85" i="13" s="1"/>
  <c r="D101" i="10"/>
  <c r="A89" i="13" s="1"/>
  <c r="D105" i="10"/>
  <c r="A93" i="13" s="1"/>
  <c r="D109" i="10"/>
  <c r="A97" i="13" s="1"/>
  <c r="D113" i="10"/>
  <c r="A101" i="13" s="1"/>
  <c r="D120" i="10"/>
  <c r="A108" i="13" s="1"/>
  <c r="C117" i="10"/>
  <c r="C111" i="10"/>
  <c r="C107" i="10"/>
  <c r="C103" i="10"/>
  <c r="C99" i="10"/>
  <c r="C95" i="10"/>
  <c r="C91" i="10"/>
  <c r="C87" i="10"/>
  <c r="C83" i="10"/>
  <c r="C79" i="10"/>
  <c r="C75" i="10"/>
  <c r="C71" i="10"/>
  <c r="C67" i="10"/>
  <c r="C63" i="10"/>
  <c r="C59" i="10"/>
  <c r="C55" i="10"/>
  <c r="C51" i="10"/>
  <c r="C47" i="10"/>
  <c r="C43" i="10"/>
  <c r="C39" i="10"/>
  <c r="C35" i="10"/>
  <c r="C31" i="10"/>
  <c r="C27" i="10"/>
  <c r="C23" i="10"/>
  <c r="D24" i="10"/>
  <c r="A12" i="13" s="1"/>
  <c r="D31" i="10"/>
  <c r="A19" i="13" s="1"/>
  <c r="D32" i="10"/>
  <c r="A20" i="13" s="1"/>
  <c r="D33" i="10"/>
  <c r="A21" i="13" s="1"/>
  <c r="D36" i="10"/>
  <c r="A24" i="13" s="1"/>
  <c r="D37" i="10"/>
  <c r="A25" i="13" s="1"/>
  <c r="D38" i="10"/>
  <c r="A26" i="13" s="1"/>
  <c r="D39" i="10"/>
  <c r="A27" i="13" s="1"/>
  <c r="D40" i="10"/>
  <c r="A28" i="13" s="1"/>
  <c r="D42" i="10"/>
  <c r="A30" i="13" s="1"/>
  <c r="D43" i="10"/>
  <c r="A31" i="13" s="1"/>
  <c r="D44" i="10"/>
  <c r="A32" i="13" s="1"/>
  <c r="D46" i="10"/>
  <c r="A34" i="13" s="1"/>
  <c r="D49" i="10"/>
  <c r="A37" i="13" s="1"/>
  <c r="D53" i="10"/>
  <c r="A41" i="13" s="1"/>
  <c r="D57" i="10"/>
  <c r="D60" i="10"/>
  <c r="A48" i="13" s="1"/>
  <c r="D64" i="10"/>
  <c r="A52" i="13" s="1"/>
  <c r="D68" i="10"/>
  <c r="D72" i="10"/>
  <c r="A60" i="13" s="1"/>
  <c r="D76" i="10"/>
  <c r="A64" i="13" s="1"/>
  <c r="D80" i="10"/>
  <c r="A68" i="13" s="1"/>
  <c r="D84" i="10"/>
  <c r="A72" i="13" s="1"/>
  <c r="D88" i="10"/>
  <c r="A76" i="13" s="1"/>
  <c r="D92" i="10"/>
  <c r="A80" i="13" s="1"/>
  <c r="D96" i="10"/>
  <c r="A84" i="13" s="1"/>
  <c r="D100" i="10"/>
  <c r="A88" i="13" s="1"/>
  <c r="D104" i="10"/>
  <c r="A92" i="13" s="1"/>
  <c r="D108" i="10"/>
  <c r="A96" i="13" s="1"/>
  <c r="D112" i="10"/>
  <c r="D116" i="10"/>
  <c r="A104" i="13" s="1"/>
  <c r="D118" i="10"/>
  <c r="A106" i="13" s="1"/>
  <c r="C114" i="10"/>
  <c r="C110" i="10"/>
  <c r="C106" i="10"/>
  <c r="C102" i="10"/>
  <c r="C98" i="10"/>
  <c r="C94" i="10"/>
  <c r="C90" i="10"/>
  <c r="C86" i="10"/>
  <c r="C82" i="10"/>
  <c r="C78" i="10"/>
  <c r="C74" i="10"/>
  <c r="C70" i="10"/>
  <c r="C66" i="10"/>
  <c r="C62" i="10"/>
  <c r="C58" i="10"/>
  <c r="C54" i="10"/>
  <c r="C50" i="10"/>
  <c r="C46" i="10"/>
  <c r="C42" i="10"/>
  <c r="C38" i="10"/>
  <c r="C34" i="10"/>
  <c r="C30" i="10"/>
  <c r="C26" i="10"/>
  <c r="C22" i="10"/>
  <c r="D25" i="10"/>
  <c r="A13" i="13" s="1"/>
  <c r="D26" i="10"/>
  <c r="A14" i="13" s="1"/>
  <c r="D34" i="10"/>
  <c r="A22" i="13" s="1"/>
  <c r="D35" i="10"/>
  <c r="A23" i="13" s="1"/>
  <c r="D41" i="10"/>
  <c r="A29" i="13" s="1"/>
  <c r="D47" i="10"/>
  <c r="A35" i="13" s="1"/>
  <c r="D48" i="10"/>
  <c r="A36" i="13" s="1"/>
  <c r="D52" i="10"/>
  <c r="A40" i="13" s="1"/>
  <c r="D56" i="10"/>
  <c r="A44" i="13" s="1"/>
  <c r="D59" i="10"/>
  <c r="A47" i="13" s="1"/>
  <c r="D63" i="10"/>
  <c r="A51" i="13" s="1"/>
  <c r="D67" i="10"/>
  <c r="A55" i="13" s="1"/>
  <c r="D71" i="10"/>
  <c r="A59" i="13" s="1"/>
  <c r="D75" i="10"/>
  <c r="A63" i="13" s="1"/>
  <c r="D79" i="10"/>
  <c r="A67" i="13" s="1"/>
  <c r="D83" i="10"/>
  <c r="A71" i="13" s="1"/>
  <c r="D87" i="10"/>
  <c r="A75" i="13" s="1"/>
  <c r="D91" i="10"/>
  <c r="A79" i="13" s="1"/>
  <c r="D95" i="10"/>
  <c r="A83" i="13" s="1"/>
  <c r="D99" i="10"/>
  <c r="A87" i="13" s="1"/>
  <c r="D103" i="10"/>
  <c r="A91" i="13" s="1"/>
  <c r="D107" i="10"/>
  <c r="A95" i="13" s="1"/>
  <c r="D111" i="10"/>
  <c r="A99" i="13" s="1"/>
  <c r="D115" i="10"/>
  <c r="A103" i="13" s="1"/>
  <c r="D121" i="10"/>
  <c r="A109" i="13" s="1"/>
  <c r="C113" i="10"/>
  <c r="C109" i="10"/>
  <c r="C105" i="10"/>
  <c r="C101" i="10"/>
  <c r="C97" i="10"/>
  <c r="C93" i="10"/>
  <c r="C89" i="10"/>
  <c r="C85" i="10"/>
  <c r="C81" i="10"/>
  <c r="C77" i="10"/>
  <c r="C73" i="10"/>
  <c r="C69" i="10"/>
  <c r="C65" i="10"/>
  <c r="C61" i="10"/>
  <c r="C57" i="10"/>
  <c r="C53" i="10"/>
  <c r="C49" i="10"/>
  <c r="C45" i="10"/>
  <c r="C41" i="10"/>
  <c r="C37" i="10"/>
  <c r="C33" i="10"/>
  <c r="C29" i="10"/>
  <c r="C25" i="10"/>
  <c r="C21" i="10"/>
  <c r="D23" i="10"/>
  <c r="A11" i="13" s="1"/>
  <c r="D27" i="10"/>
  <c r="A15" i="13" s="1"/>
  <c r="D29" i="10"/>
  <c r="A17" i="13" s="1"/>
  <c r="D30" i="10"/>
  <c r="A18" i="13" s="1"/>
  <c r="D51" i="10"/>
  <c r="A39" i="13" s="1"/>
  <c r="D55" i="10"/>
  <c r="A43" i="13" s="1"/>
  <c r="D62" i="10"/>
  <c r="A50" i="13" s="1"/>
  <c r="D66" i="10"/>
  <c r="A54" i="13" s="1"/>
  <c r="D70" i="10"/>
  <c r="A58" i="13" s="1"/>
  <c r="D74" i="10"/>
  <c r="A62" i="13" s="1"/>
  <c r="D78" i="10"/>
  <c r="A66" i="13" s="1"/>
  <c r="D82" i="10"/>
  <c r="A70" i="13" s="1"/>
  <c r="D86" i="10"/>
  <c r="A74" i="13" s="1"/>
  <c r="D90" i="10"/>
  <c r="A78" i="13" s="1"/>
  <c r="D94" i="10"/>
  <c r="A82" i="13" s="1"/>
  <c r="D98" i="10"/>
  <c r="A86" i="13" s="1"/>
  <c r="D102" i="10"/>
  <c r="A90" i="13" s="1"/>
  <c r="D106" i="10"/>
  <c r="A94" i="13" s="1"/>
  <c r="D110" i="10"/>
  <c r="A98" i="13" s="1"/>
  <c r="D114" i="10"/>
  <c r="A102" i="13" s="1"/>
  <c r="D117" i="10"/>
  <c r="A105" i="13" s="1"/>
  <c r="D119" i="10"/>
  <c r="A107" i="13" s="1"/>
  <c r="A45" i="13"/>
  <c r="C121" i="10"/>
  <c r="A100" i="13"/>
  <c r="A56" i="13"/>
  <c r="C115" i="10"/>
  <c r="C119" i="10"/>
  <c r="B2" i="12"/>
  <c r="A8" i="13"/>
  <c r="C116" i="10"/>
  <c r="C120" i="10"/>
  <c r="J9" i="1"/>
  <c r="B15" i="12"/>
  <c r="C9" i="7"/>
  <c r="Y21" i="10" l="1"/>
  <c r="B21" i="10"/>
  <c r="E8" i="13" s="1"/>
  <c r="G8" i="13" s="1"/>
  <c r="G5" i="10"/>
  <c r="W21" i="10"/>
  <c r="A4" i="13"/>
  <c r="A3" i="13"/>
  <c r="G4" i="12"/>
  <c r="J2" i="12" s="1"/>
  <c r="B21" i="12"/>
  <c r="C10" i="7"/>
  <c r="Z21" i="10" l="1"/>
  <c r="AB21" i="10" s="1"/>
  <c r="P21" i="10"/>
  <c r="R21" i="10" s="1"/>
  <c r="O21" i="10"/>
  <c r="B8" i="13" s="1"/>
  <c r="B4" i="13" s="1"/>
  <c r="I21" i="10"/>
  <c r="C8" i="13"/>
  <c r="S21" i="10"/>
  <c r="U21" i="10" s="1"/>
  <c r="J21" i="10"/>
  <c r="B22" i="10"/>
  <c r="E9" i="13" s="1"/>
  <c r="H8" i="13"/>
  <c r="I8" i="13" s="1"/>
  <c r="E111" i="13"/>
  <c r="G111" i="13" s="1"/>
  <c r="C111" i="13"/>
  <c r="G3" i="10"/>
  <c r="E88" i="10" s="1"/>
  <c r="N88" i="10" s="1"/>
  <c r="G2" i="10"/>
  <c r="F100" i="10" s="1"/>
  <c r="G100" i="10" s="1"/>
  <c r="Y100" i="10" s="1"/>
  <c r="C24" i="12"/>
  <c r="C28" i="12"/>
  <c r="C32" i="12"/>
  <c r="C36" i="12"/>
  <c r="C40" i="12"/>
  <c r="C44" i="12"/>
  <c r="C48" i="12"/>
  <c r="C52" i="12"/>
  <c r="C56" i="12"/>
  <c r="C60" i="12"/>
  <c r="C64" i="12"/>
  <c r="C68" i="12"/>
  <c r="C72" i="12"/>
  <c r="C76" i="12"/>
  <c r="C80" i="12"/>
  <c r="C84" i="12"/>
  <c r="C88" i="12"/>
  <c r="C92" i="12"/>
  <c r="C96" i="12"/>
  <c r="C100" i="12"/>
  <c r="C104" i="12"/>
  <c r="C108" i="12"/>
  <c r="C112" i="12"/>
  <c r="C116" i="12"/>
  <c r="C120" i="12"/>
  <c r="D29" i="12"/>
  <c r="A119" i="13" s="1"/>
  <c r="J3" i="12"/>
  <c r="C22" i="12"/>
  <c r="C25" i="12"/>
  <c r="C29" i="12"/>
  <c r="C33" i="12"/>
  <c r="C37" i="12"/>
  <c r="C41" i="12"/>
  <c r="C45" i="12"/>
  <c r="C49" i="12"/>
  <c r="C53" i="12"/>
  <c r="C57" i="12"/>
  <c r="C61" i="12"/>
  <c r="C65" i="12"/>
  <c r="C69" i="12"/>
  <c r="C73" i="12"/>
  <c r="C77" i="12"/>
  <c r="C81" i="12"/>
  <c r="C85" i="12"/>
  <c r="C89" i="12"/>
  <c r="C93" i="12"/>
  <c r="C97" i="12"/>
  <c r="C101" i="12"/>
  <c r="C105" i="12"/>
  <c r="C109" i="12"/>
  <c r="C113" i="12"/>
  <c r="C117" i="12"/>
  <c r="C121" i="12"/>
  <c r="D21" i="12"/>
  <c r="A111" i="13" s="1"/>
  <c r="D22" i="12"/>
  <c r="A112" i="13" s="1"/>
  <c r="D28" i="12"/>
  <c r="A118" i="13" s="1"/>
  <c r="C21" i="12"/>
  <c r="C26" i="12"/>
  <c r="C30" i="12"/>
  <c r="C34" i="12"/>
  <c r="C38" i="12"/>
  <c r="C42" i="12"/>
  <c r="C46" i="12"/>
  <c r="C50" i="12"/>
  <c r="C54" i="12"/>
  <c r="C58" i="12"/>
  <c r="C62" i="12"/>
  <c r="C66" i="12"/>
  <c r="C70" i="12"/>
  <c r="C74" i="12"/>
  <c r="C78" i="12"/>
  <c r="C82" i="12"/>
  <c r="C86" i="12"/>
  <c r="C90" i="12"/>
  <c r="C94" i="12"/>
  <c r="C98" i="12"/>
  <c r="C102" i="12"/>
  <c r="C106" i="12"/>
  <c r="C110" i="12"/>
  <c r="C114" i="12"/>
  <c r="C118" i="12"/>
  <c r="D23" i="12"/>
  <c r="A113" i="13" s="1"/>
  <c r="D24" i="12"/>
  <c r="A114" i="13" s="1"/>
  <c r="D26" i="12"/>
  <c r="A116" i="13" s="1"/>
  <c r="D27" i="12"/>
  <c r="A117" i="13" s="1"/>
  <c r="C23" i="12"/>
  <c r="C27" i="12"/>
  <c r="C31" i="12"/>
  <c r="C35" i="12"/>
  <c r="C39" i="12"/>
  <c r="C43" i="12"/>
  <c r="C47" i="12"/>
  <c r="C51" i="12"/>
  <c r="C55" i="12"/>
  <c r="C59" i="12"/>
  <c r="C63" i="12"/>
  <c r="C67" i="12"/>
  <c r="C71" i="12"/>
  <c r="C75" i="12"/>
  <c r="C79" i="12"/>
  <c r="C83" i="12"/>
  <c r="C87" i="12"/>
  <c r="C91" i="12"/>
  <c r="C95" i="12"/>
  <c r="C99" i="12"/>
  <c r="C103" i="12"/>
  <c r="C107" i="12"/>
  <c r="C111" i="12"/>
  <c r="C115" i="12"/>
  <c r="C119" i="12"/>
  <c r="D25" i="12"/>
  <c r="A115" i="13" s="1"/>
  <c r="D42" i="12"/>
  <c r="A132" i="13" s="1"/>
  <c r="D47" i="12"/>
  <c r="A137" i="13" s="1"/>
  <c r="D50" i="12"/>
  <c r="A140" i="13" s="1"/>
  <c r="D113" i="12"/>
  <c r="A203" i="13" s="1"/>
  <c r="D115" i="12"/>
  <c r="A205" i="13" s="1"/>
  <c r="D117" i="12"/>
  <c r="A207" i="13" s="1"/>
  <c r="D119" i="12"/>
  <c r="A209" i="13" s="1"/>
  <c r="D121" i="12"/>
  <c r="A211" i="13" s="1"/>
  <c r="D103" i="12"/>
  <c r="A193" i="13" s="1"/>
  <c r="D30" i="12"/>
  <c r="A120" i="13" s="1"/>
  <c r="D32" i="12"/>
  <c r="A122" i="13" s="1"/>
  <c r="D33" i="12"/>
  <c r="A123" i="13" s="1"/>
  <c r="D35" i="12"/>
  <c r="A125" i="13" s="1"/>
  <c r="D38" i="12"/>
  <c r="A128" i="13" s="1"/>
  <c r="D43" i="12"/>
  <c r="A133" i="13" s="1"/>
  <c r="D45" i="12"/>
  <c r="A135" i="13" s="1"/>
  <c r="D107" i="12"/>
  <c r="A197" i="13" s="1"/>
  <c r="D108" i="12"/>
  <c r="A198" i="13" s="1"/>
  <c r="D109" i="12"/>
  <c r="A199" i="13" s="1"/>
  <c r="D110" i="12"/>
  <c r="A200" i="13" s="1"/>
  <c r="D111" i="12"/>
  <c r="A201" i="13" s="1"/>
  <c r="D112" i="12"/>
  <c r="A202" i="13" s="1"/>
  <c r="D114" i="12"/>
  <c r="A204" i="13" s="1"/>
  <c r="D116" i="12"/>
  <c r="A206" i="13" s="1"/>
  <c r="D118" i="12"/>
  <c r="A208" i="13" s="1"/>
  <c r="D120" i="12"/>
  <c r="A210" i="13" s="1"/>
  <c r="D105" i="12"/>
  <c r="A195" i="13" s="1"/>
  <c r="D34" i="12"/>
  <c r="A124" i="13" s="1"/>
  <c r="D36" i="12"/>
  <c r="A126" i="13" s="1"/>
  <c r="D39" i="12"/>
  <c r="A129" i="13" s="1"/>
  <c r="D40" i="12"/>
  <c r="A130" i="13" s="1"/>
  <c r="D46" i="12"/>
  <c r="A136" i="13" s="1"/>
  <c r="D48" i="12"/>
  <c r="A138" i="13" s="1"/>
  <c r="D49" i="12"/>
  <c r="A139" i="13" s="1"/>
  <c r="D51" i="12"/>
  <c r="A141" i="13" s="1"/>
  <c r="D63" i="12"/>
  <c r="A153" i="13" s="1"/>
  <c r="D64" i="12"/>
  <c r="A154" i="13" s="1"/>
  <c r="D65" i="12"/>
  <c r="A155" i="13" s="1"/>
  <c r="D66" i="12"/>
  <c r="A156" i="13" s="1"/>
  <c r="D67" i="12"/>
  <c r="A157" i="13" s="1"/>
  <c r="D68" i="12"/>
  <c r="A158" i="13" s="1"/>
  <c r="D69" i="12"/>
  <c r="A159" i="13" s="1"/>
  <c r="D70" i="12"/>
  <c r="A160" i="13" s="1"/>
  <c r="D71" i="12"/>
  <c r="A161" i="13" s="1"/>
  <c r="D72" i="12"/>
  <c r="A162" i="13" s="1"/>
  <c r="D73" i="12"/>
  <c r="A163" i="13" s="1"/>
  <c r="D74" i="12"/>
  <c r="A164" i="13" s="1"/>
  <c r="D75" i="12"/>
  <c r="A165" i="13" s="1"/>
  <c r="D76" i="12"/>
  <c r="A166" i="13" s="1"/>
  <c r="D77" i="12"/>
  <c r="A167" i="13" s="1"/>
  <c r="D78" i="12"/>
  <c r="A168" i="13" s="1"/>
  <c r="D79" i="12"/>
  <c r="A169" i="13" s="1"/>
  <c r="D80" i="12"/>
  <c r="A170" i="13" s="1"/>
  <c r="D81" i="12"/>
  <c r="A171" i="13" s="1"/>
  <c r="D82" i="12"/>
  <c r="A172" i="13" s="1"/>
  <c r="D83" i="12"/>
  <c r="A173" i="13" s="1"/>
  <c r="D84" i="12"/>
  <c r="A174" i="13" s="1"/>
  <c r="D85" i="12"/>
  <c r="A175" i="13" s="1"/>
  <c r="D86" i="12"/>
  <c r="A176" i="13" s="1"/>
  <c r="D87" i="12"/>
  <c r="A177" i="13" s="1"/>
  <c r="D88" i="12"/>
  <c r="A178" i="13" s="1"/>
  <c r="D89" i="12"/>
  <c r="A179" i="13" s="1"/>
  <c r="D90" i="12"/>
  <c r="A180" i="13" s="1"/>
  <c r="D91" i="12"/>
  <c r="A181" i="13" s="1"/>
  <c r="D92" i="12"/>
  <c r="A182" i="13" s="1"/>
  <c r="D93" i="12"/>
  <c r="A183" i="13" s="1"/>
  <c r="D94" i="12"/>
  <c r="A184" i="13" s="1"/>
  <c r="D95" i="12"/>
  <c r="A185" i="13" s="1"/>
  <c r="D96" i="12"/>
  <c r="A186" i="13" s="1"/>
  <c r="D97" i="12"/>
  <c r="A187" i="13" s="1"/>
  <c r="D98" i="12"/>
  <c r="A188" i="13" s="1"/>
  <c r="D99" i="12"/>
  <c r="A189" i="13" s="1"/>
  <c r="D100" i="12"/>
  <c r="A190" i="13" s="1"/>
  <c r="D101" i="12"/>
  <c r="A191" i="13" s="1"/>
  <c r="D102" i="12"/>
  <c r="A192" i="13" s="1"/>
  <c r="D104" i="12"/>
  <c r="A194" i="13" s="1"/>
  <c r="D106" i="12"/>
  <c r="A196" i="13" s="1"/>
  <c r="D31" i="12"/>
  <c r="A121" i="13" s="1"/>
  <c r="D37" i="12"/>
  <c r="A127" i="13" s="1"/>
  <c r="D41" i="12"/>
  <c r="A131" i="13" s="1"/>
  <c r="D44" i="12"/>
  <c r="A134" i="13" s="1"/>
  <c r="D52" i="12"/>
  <c r="A142" i="13" s="1"/>
  <c r="D53" i="12"/>
  <c r="A143" i="13" s="1"/>
  <c r="D54" i="12"/>
  <c r="A144" i="13" s="1"/>
  <c r="D55" i="12"/>
  <c r="A145" i="13" s="1"/>
  <c r="D56" i="12"/>
  <c r="A146" i="13" s="1"/>
  <c r="D57" i="12"/>
  <c r="A147" i="13" s="1"/>
  <c r="D58" i="12"/>
  <c r="A148" i="13" s="1"/>
  <c r="D59" i="12"/>
  <c r="A149" i="13" s="1"/>
  <c r="D60" i="12"/>
  <c r="A150" i="13" s="1"/>
  <c r="D61" i="12"/>
  <c r="A151" i="13" s="1"/>
  <c r="D62" i="12"/>
  <c r="A152" i="13" s="1"/>
  <c r="V21" i="12"/>
  <c r="I21" i="12"/>
  <c r="J21" i="12"/>
  <c r="C11" i="7"/>
  <c r="W21" i="12" l="1"/>
  <c r="U21" i="12"/>
  <c r="V21" i="10"/>
  <c r="T21" i="10"/>
  <c r="B23" i="10"/>
  <c r="E10" i="13" s="1"/>
  <c r="X22" i="10"/>
  <c r="Q21" i="10"/>
  <c r="X21" i="12"/>
  <c r="H111" i="13"/>
  <c r="I111" i="13" s="1"/>
  <c r="E51" i="10"/>
  <c r="N51" i="10" s="1"/>
  <c r="E92" i="10"/>
  <c r="H92" i="10" s="1"/>
  <c r="E68" i="10"/>
  <c r="D55" i="13" s="1"/>
  <c r="F55" i="13" s="1"/>
  <c r="E116" i="10"/>
  <c r="D103" i="13" s="1"/>
  <c r="F103" i="13" s="1"/>
  <c r="D75" i="13"/>
  <c r="F75" i="13" s="1"/>
  <c r="E43" i="10"/>
  <c r="D30" i="13" s="1"/>
  <c r="F30" i="13" s="1"/>
  <c r="E59" i="10"/>
  <c r="D46" i="13" s="1"/>
  <c r="F46" i="13" s="1"/>
  <c r="E91" i="10"/>
  <c r="N91" i="10" s="1"/>
  <c r="E102" i="10"/>
  <c r="D89" i="13" s="1"/>
  <c r="F89" i="13" s="1"/>
  <c r="E97" i="10"/>
  <c r="H97" i="10" s="1"/>
  <c r="E89" i="10"/>
  <c r="H89" i="10" s="1"/>
  <c r="E111" i="10"/>
  <c r="H111" i="10" s="1"/>
  <c r="E119" i="10"/>
  <c r="H119" i="10" s="1"/>
  <c r="E83" i="10"/>
  <c r="D70" i="13" s="1"/>
  <c r="F70" i="13" s="1"/>
  <c r="E35" i="10"/>
  <c r="H35" i="10" s="1"/>
  <c r="E30" i="10"/>
  <c r="D17" i="13" s="1"/>
  <c r="F17" i="13" s="1"/>
  <c r="E80" i="10"/>
  <c r="D67" i="13" s="1"/>
  <c r="F67" i="13" s="1"/>
  <c r="E22" i="10"/>
  <c r="N22" i="10" s="1"/>
  <c r="E42" i="10"/>
  <c r="N42" i="10" s="1"/>
  <c r="E114" i="10"/>
  <c r="H114" i="10" s="1"/>
  <c r="E31" i="10"/>
  <c r="N31" i="10" s="1"/>
  <c r="E73" i="10"/>
  <c r="E33" i="10"/>
  <c r="D20" i="13" s="1"/>
  <c r="F20" i="13" s="1"/>
  <c r="E24" i="10"/>
  <c r="D11" i="13" s="1"/>
  <c r="F11" i="13" s="1"/>
  <c r="E96" i="10"/>
  <c r="D83" i="13" s="1"/>
  <c r="F83" i="13" s="1"/>
  <c r="E121" i="10"/>
  <c r="H121" i="10" s="1"/>
  <c r="E46" i="10"/>
  <c r="D33" i="13" s="1"/>
  <c r="F33" i="13" s="1"/>
  <c r="E48" i="10"/>
  <c r="N48" i="10" s="1"/>
  <c r="E72" i="10"/>
  <c r="N72" i="10" s="1"/>
  <c r="E36" i="10"/>
  <c r="N36" i="10" s="1"/>
  <c r="E99" i="10"/>
  <c r="H99" i="10" s="1"/>
  <c r="E118" i="10"/>
  <c r="D105" i="13" s="1"/>
  <c r="F105" i="13" s="1"/>
  <c r="H88" i="10"/>
  <c r="E108" i="10"/>
  <c r="D95" i="13" s="1"/>
  <c r="F95" i="13" s="1"/>
  <c r="E23" i="10"/>
  <c r="H23" i="10" s="1"/>
  <c r="E98" i="10"/>
  <c r="N98" i="10" s="1"/>
  <c r="E39" i="10"/>
  <c r="H39" i="10" s="1"/>
  <c r="E27" i="10"/>
  <c r="N27" i="10" s="1"/>
  <c r="E58" i="10"/>
  <c r="D45" i="13" s="1"/>
  <c r="F45" i="13" s="1"/>
  <c r="E86" i="10"/>
  <c r="N86" i="10" s="1"/>
  <c r="E94" i="10"/>
  <c r="N94" i="10" s="1"/>
  <c r="E44" i="10"/>
  <c r="N44" i="10" s="1"/>
  <c r="E41" i="10"/>
  <c r="H41" i="10" s="1"/>
  <c r="E101" i="10"/>
  <c r="H101" i="10" s="1"/>
  <c r="E25" i="10"/>
  <c r="N25" i="10" s="1"/>
  <c r="E85" i="10"/>
  <c r="E104" i="10"/>
  <c r="H104" i="10" s="1"/>
  <c r="E55" i="10"/>
  <c r="N55" i="10" s="1"/>
  <c r="E56" i="10"/>
  <c r="N56" i="10" s="1"/>
  <c r="E26" i="10"/>
  <c r="H26" i="10" s="1"/>
  <c r="E100" i="10"/>
  <c r="N100" i="10" s="1"/>
  <c r="E110" i="10"/>
  <c r="N110" i="10" s="1"/>
  <c r="E78" i="10"/>
  <c r="H78" i="10" s="1"/>
  <c r="E115" i="10"/>
  <c r="D102" i="13" s="1"/>
  <c r="F102" i="13" s="1"/>
  <c r="E82" i="10"/>
  <c r="N82" i="10" s="1"/>
  <c r="E38" i="10"/>
  <c r="N38" i="10" s="1"/>
  <c r="E105" i="10"/>
  <c r="H105" i="10" s="1"/>
  <c r="E113" i="10"/>
  <c r="D100" i="13" s="1"/>
  <c r="F100" i="13" s="1"/>
  <c r="E32" i="10"/>
  <c r="N32" i="10" s="1"/>
  <c r="E120" i="10"/>
  <c r="D107" i="13" s="1"/>
  <c r="F107" i="13" s="1"/>
  <c r="E71" i="10"/>
  <c r="D58" i="13" s="1"/>
  <c r="F58" i="13" s="1"/>
  <c r="E67" i="10"/>
  <c r="H67" i="10" s="1"/>
  <c r="E60" i="10"/>
  <c r="N60" i="10" s="1"/>
  <c r="E63" i="10"/>
  <c r="D50" i="13" s="1"/>
  <c r="F50" i="13" s="1"/>
  <c r="E90" i="10"/>
  <c r="H90" i="10" s="1"/>
  <c r="E70" i="10"/>
  <c r="D57" i="13" s="1"/>
  <c r="F57" i="13" s="1"/>
  <c r="E74" i="10"/>
  <c r="H74" i="10" s="1"/>
  <c r="E57" i="10"/>
  <c r="E40" i="10"/>
  <c r="D27" i="13" s="1"/>
  <c r="F27" i="13" s="1"/>
  <c r="E76" i="10"/>
  <c r="H76" i="10" s="1"/>
  <c r="E95" i="10"/>
  <c r="H95" i="10" s="1"/>
  <c r="E75" i="10"/>
  <c r="D62" i="13" s="1"/>
  <c r="F62" i="13" s="1"/>
  <c r="E28" i="10"/>
  <c r="N28" i="10" s="1"/>
  <c r="E112" i="10"/>
  <c r="D99" i="13" s="1"/>
  <c r="F99" i="13" s="1"/>
  <c r="E47" i="10"/>
  <c r="N47" i="10" s="1"/>
  <c r="E84" i="10"/>
  <c r="N84" i="10" s="1"/>
  <c r="E52" i="10"/>
  <c r="N52" i="10" s="1"/>
  <c r="E79" i="10"/>
  <c r="D66" i="13" s="1"/>
  <c r="F66" i="13" s="1"/>
  <c r="E64" i="10"/>
  <c r="N64" i="10" s="1"/>
  <c r="E34" i="10"/>
  <c r="N34" i="10" s="1"/>
  <c r="E54" i="10"/>
  <c r="N54" i="10" s="1"/>
  <c r="E62" i="10"/>
  <c r="D49" i="13" s="1"/>
  <c r="F49" i="13" s="1"/>
  <c r="E106" i="10"/>
  <c r="H106" i="10" s="1"/>
  <c r="E87" i="10"/>
  <c r="N87" i="10" s="1"/>
  <c r="E103" i="10"/>
  <c r="D90" i="13" s="1"/>
  <c r="F90" i="13" s="1"/>
  <c r="E50" i="10"/>
  <c r="H50" i="10" s="1"/>
  <c r="E66" i="10"/>
  <c r="D53" i="13" s="1"/>
  <c r="F53" i="13" s="1"/>
  <c r="E109" i="10"/>
  <c r="D96" i="13" s="1"/>
  <c r="F96" i="13" s="1"/>
  <c r="E69" i="10"/>
  <c r="H69" i="10" s="1"/>
  <c r="E29" i="10"/>
  <c r="E61" i="10"/>
  <c r="D48" i="13" s="1"/>
  <c r="F48" i="13" s="1"/>
  <c r="E53" i="10"/>
  <c r="N53" i="10" s="1"/>
  <c r="E45" i="10"/>
  <c r="E65" i="10"/>
  <c r="D52" i="13" s="1"/>
  <c r="F52" i="13" s="1"/>
  <c r="E37" i="10"/>
  <c r="N37" i="10" s="1"/>
  <c r="E93" i="10"/>
  <c r="N93" i="10" s="1"/>
  <c r="E49" i="10"/>
  <c r="E77" i="10"/>
  <c r="D64" i="13" s="1"/>
  <c r="F64" i="13" s="1"/>
  <c r="D28" i="13"/>
  <c r="F28" i="13" s="1"/>
  <c r="E107" i="10"/>
  <c r="E81" i="10"/>
  <c r="E117" i="10"/>
  <c r="N117" i="10" s="1"/>
  <c r="F70" i="10"/>
  <c r="G70" i="10" s="1"/>
  <c r="Y70" i="10" s="1"/>
  <c r="F52" i="10"/>
  <c r="G52" i="10" s="1"/>
  <c r="Y52" i="10" s="1"/>
  <c r="F74" i="10"/>
  <c r="G74" i="10" s="1"/>
  <c r="Y74" i="10" s="1"/>
  <c r="F115" i="10"/>
  <c r="G115" i="10" s="1"/>
  <c r="Y115" i="10" s="1"/>
  <c r="F30" i="10"/>
  <c r="G30" i="10" s="1"/>
  <c r="Y30" i="10" s="1"/>
  <c r="F57" i="10"/>
  <c r="G57" i="10" s="1"/>
  <c r="Y57" i="10" s="1"/>
  <c r="H102" i="10"/>
  <c r="B24" i="10"/>
  <c r="E11" i="13" s="1"/>
  <c r="F82" i="10"/>
  <c r="G82" i="10" s="1"/>
  <c r="Y82" i="10" s="1"/>
  <c r="F37" i="10"/>
  <c r="G37" i="10" s="1"/>
  <c r="Y37" i="10" s="1"/>
  <c r="F113" i="10"/>
  <c r="G113" i="10" s="1"/>
  <c r="Y113" i="10" s="1"/>
  <c r="F77" i="10"/>
  <c r="G77" i="10" s="1"/>
  <c r="Y77" i="10" s="1"/>
  <c r="F60" i="10"/>
  <c r="G60" i="10" s="1"/>
  <c r="Y60" i="10" s="1"/>
  <c r="F46" i="10"/>
  <c r="G46" i="10" s="1"/>
  <c r="Y46" i="10" s="1"/>
  <c r="F114" i="10"/>
  <c r="G114" i="10" s="1"/>
  <c r="Y114" i="10" s="1"/>
  <c r="F79" i="10"/>
  <c r="G79" i="10" s="1"/>
  <c r="Y79" i="10" s="1"/>
  <c r="F28" i="10"/>
  <c r="G28" i="10" s="1"/>
  <c r="Y28" i="10" s="1"/>
  <c r="F99" i="10"/>
  <c r="G99" i="10" s="1"/>
  <c r="Y99" i="10" s="1"/>
  <c r="F61" i="10"/>
  <c r="G61" i="10" s="1"/>
  <c r="Y61" i="10" s="1"/>
  <c r="F22" i="10"/>
  <c r="G22" i="10" s="1"/>
  <c r="F65" i="10"/>
  <c r="G65" i="10" s="1"/>
  <c r="Y65" i="10" s="1"/>
  <c r="F34" i="10"/>
  <c r="G34" i="10" s="1"/>
  <c r="Y34" i="10" s="1"/>
  <c r="F117" i="10"/>
  <c r="G117" i="10" s="1"/>
  <c r="Y117" i="10" s="1"/>
  <c r="F27" i="10"/>
  <c r="G27" i="10" s="1"/>
  <c r="Y27" i="10" s="1"/>
  <c r="F86" i="10"/>
  <c r="G86" i="10" s="1"/>
  <c r="Y86" i="10" s="1"/>
  <c r="F89" i="10"/>
  <c r="G89" i="10" s="1"/>
  <c r="Y89" i="10" s="1"/>
  <c r="F68" i="10"/>
  <c r="G68" i="10" s="1"/>
  <c r="Y68" i="10" s="1"/>
  <c r="F75" i="10"/>
  <c r="G75" i="10" s="1"/>
  <c r="Y75" i="10" s="1"/>
  <c r="F107" i="10"/>
  <c r="G107" i="10" s="1"/>
  <c r="Y107" i="10" s="1"/>
  <c r="F23" i="10"/>
  <c r="G23" i="10" s="1"/>
  <c r="Y23" i="10" s="1"/>
  <c r="F48" i="10"/>
  <c r="G48" i="10" s="1"/>
  <c r="Y48" i="10" s="1"/>
  <c r="F71" i="10"/>
  <c r="G71" i="10" s="1"/>
  <c r="Y71" i="10" s="1"/>
  <c r="F95" i="10"/>
  <c r="G95" i="10" s="1"/>
  <c r="Y95" i="10" s="1"/>
  <c r="F31" i="10"/>
  <c r="G31" i="10" s="1"/>
  <c r="Y31" i="10" s="1"/>
  <c r="F50" i="10"/>
  <c r="G50" i="10" s="1"/>
  <c r="Y50" i="10" s="1"/>
  <c r="F83" i="10"/>
  <c r="G83" i="10" s="1"/>
  <c r="Y83" i="10" s="1"/>
  <c r="F120" i="10"/>
  <c r="G120" i="10" s="1"/>
  <c r="Y120" i="10" s="1"/>
  <c r="F121" i="10"/>
  <c r="G121" i="10" s="1"/>
  <c r="Y121" i="10" s="1"/>
  <c r="F42" i="10"/>
  <c r="G42" i="10" s="1"/>
  <c r="Y42" i="10" s="1"/>
  <c r="F45" i="10"/>
  <c r="G45" i="10" s="1"/>
  <c r="Y45" i="10" s="1"/>
  <c r="F64" i="10"/>
  <c r="G64" i="10" s="1"/>
  <c r="Y64" i="10" s="1"/>
  <c r="F58" i="10"/>
  <c r="G58" i="10" s="1"/>
  <c r="Y58" i="10" s="1"/>
  <c r="F26" i="10"/>
  <c r="G26" i="10" s="1"/>
  <c r="Y26" i="10" s="1"/>
  <c r="F81" i="10"/>
  <c r="G81" i="10" s="1"/>
  <c r="Y81" i="10" s="1"/>
  <c r="F85" i="10"/>
  <c r="G85" i="10" s="1"/>
  <c r="Y85" i="10" s="1"/>
  <c r="F47" i="10"/>
  <c r="G47" i="10" s="1"/>
  <c r="Y47" i="10" s="1"/>
  <c r="F36" i="10"/>
  <c r="G36" i="10" s="1"/>
  <c r="Y36" i="10" s="1"/>
  <c r="F35" i="10"/>
  <c r="G35" i="10" s="1"/>
  <c r="Y35" i="10" s="1"/>
  <c r="F41" i="10"/>
  <c r="G41" i="10" s="1"/>
  <c r="Y41" i="10" s="1"/>
  <c r="F93" i="10"/>
  <c r="G93" i="10" s="1"/>
  <c r="Y93" i="10" s="1"/>
  <c r="F90" i="10"/>
  <c r="G90" i="10" s="1"/>
  <c r="Y90" i="10" s="1"/>
  <c r="F103" i="10"/>
  <c r="G103" i="10" s="1"/>
  <c r="Y103" i="10" s="1"/>
  <c r="F116" i="10"/>
  <c r="G116" i="10" s="1"/>
  <c r="Y116" i="10" s="1"/>
  <c r="F24" i="10"/>
  <c r="G24" i="10" s="1"/>
  <c r="Y24" i="10" s="1"/>
  <c r="F55" i="10"/>
  <c r="G55" i="10" s="1"/>
  <c r="Y55" i="10" s="1"/>
  <c r="F73" i="10"/>
  <c r="G73" i="10" s="1"/>
  <c r="Y73" i="10" s="1"/>
  <c r="F91" i="10"/>
  <c r="G91" i="10" s="1"/>
  <c r="Y91" i="10" s="1"/>
  <c r="F97" i="10"/>
  <c r="G97" i="10" s="1"/>
  <c r="Y97" i="10" s="1"/>
  <c r="F98" i="10"/>
  <c r="G98" i="10" s="1"/>
  <c r="Y98" i="10" s="1"/>
  <c r="F108" i="10"/>
  <c r="G108" i="10" s="1"/>
  <c r="Y108" i="10" s="1"/>
  <c r="F39" i="10"/>
  <c r="G39" i="10" s="1"/>
  <c r="Y39" i="10" s="1"/>
  <c r="F53" i="10"/>
  <c r="G53" i="10" s="1"/>
  <c r="Y53" i="10" s="1"/>
  <c r="F80" i="10"/>
  <c r="G80" i="10" s="1"/>
  <c r="Y80" i="10" s="1"/>
  <c r="F66" i="10"/>
  <c r="G66" i="10" s="1"/>
  <c r="Y66" i="10" s="1"/>
  <c r="F118" i="10"/>
  <c r="G118" i="10" s="1"/>
  <c r="Y118" i="10" s="1"/>
  <c r="F49" i="10"/>
  <c r="G49" i="10" s="1"/>
  <c r="Y49" i="10" s="1"/>
  <c r="F67" i="10"/>
  <c r="G67" i="10" s="1"/>
  <c r="Y67" i="10" s="1"/>
  <c r="F59" i="10"/>
  <c r="G59" i="10" s="1"/>
  <c r="Y59" i="10" s="1"/>
  <c r="F33" i="10"/>
  <c r="G33" i="10" s="1"/>
  <c r="Y33" i="10" s="1"/>
  <c r="F51" i="10"/>
  <c r="G51" i="10" s="1"/>
  <c r="Y51" i="10" s="1"/>
  <c r="F78" i="10"/>
  <c r="G78" i="10" s="1"/>
  <c r="Y78" i="10" s="1"/>
  <c r="F62" i="10"/>
  <c r="G62" i="10" s="1"/>
  <c r="Y62" i="10" s="1"/>
  <c r="F111" i="10"/>
  <c r="G111" i="10" s="1"/>
  <c r="Y111" i="10" s="1"/>
  <c r="F110" i="10"/>
  <c r="G110" i="10" s="1"/>
  <c r="Y110" i="10" s="1"/>
  <c r="F40" i="10"/>
  <c r="G40" i="10" s="1"/>
  <c r="Y40" i="10" s="1"/>
  <c r="F44" i="10"/>
  <c r="G44" i="10" s="1"/>
  <c r="Y44" i="10" s="1"/>
  <c r="F63" i="10"/>
  <c r="G63" i="10" s="1"/>
  <c r="Y63" i="10" s="1"/>
  <c r="F92" i="10"/>
  <c r="G92" i="10" s="1"/>
  <c r="Y92" i="10" s="1"/>
  <c r="F105" i="10"/>
  <c r="G105" i="10" s="1"/>
  <c r="Y105" i="10" s="1"/>
  <c r="F104" i="10"/>
  <c r="G104" i="10" s="1"/>
  <c r="Y104" i="10" s="1"/>
  <c r="F32" i="10"/>
  <c r="G32" i="10" s="1"/>
  <c r="Y32" i="10" s="1"/>
  <c r="F54" i="10"/>
  <c r="G54" i="10" s="1"/>
  <c r="Y54" i="10" s="1"/>
  <c r="F69" i="10"/>
  <c r="G69" i="10" s="1"/>
  <c r="Y69" i="10" s="1"/>
  <c r="F84" i="10"/>
  <c r="G84" i="10" s="1"/>
  <c r="Y84" i="10" s="1"/>
  <c r="F76" i="10"/>
  <c r="G76" i="10" s="1"/>
  <c r="Y76" i="10" s="1"/>
  <c r="F102" i="10"/>
  <c r="G102" i="10" s="1"/>
  <c r="Y102" i="10" s="1"/>
  <c r="F43" i="10"/>
  <c r="G43" i="10" s="1"/>
  <c r="Y43" i="10" s="1"/>
  <c r="F56" i="10"/>
  <c r="G56" i="10" s="1"/>
  <c r="Y56" i="10" s="1"/>
  <c r="F119" i="10"/>
  <c r="G119" i="10" s="1"/>
  <c r="Y119" i="10" s="1"/>
  <c r="F25" i="10"/>
  <c r="G25" i="10" s="1"/>
  <c r="Y25" i="10" s="1"/>
  <c r="F72" i="10"/>
  <c r="G72" i="10" s="1"/>
  <c r="Y72" i="10" s="1"/>
  <c r="F109" i="10"/>
  <c r="G109" i="10" s="1"/>
  <c r="Y109" i="10" s="1"/>
  <c r="F29" i="10"/>
  <c r="G29" i="10" s="1"/>
  <c r="Y29" i="10" s="1"/>
  <c r="F87" i="10"/>
  <c r="G87" i="10" s="1"/>
  <c r="Y87" i="10" s="1"/>
  <c r="F96" i="10"/>
  <c r="G96" i="10" s="1"/>
  <c r="Y96" i="10" s="1"/>
  <c r="F88" i="10"/>
  <c r="G88" i="10" s="1"/>
  <c r="Y88" i="10" s="1"/>
  <c r="F101" i="10"/>
  <c r="G101" i="10" s="1"/>
  <c r="Y101" i="10" s="1"/>
  <c r="F38" i="10"/>
  <c r="G38" i="10" s="1"/>
  <c r="Y38" i="10" s="1"/>
  <c r="F94" i="10"/>
  <c r="G94" i="10" s="1"/>
  <c r="Y94" i="10" s="1"/>
  <c r="F106" i="10"/>
  <c r="G106" i="10" s="1"/>
  <c r="Y106" i="10" s="1"/>
  <c r="F112" i="10"/>
  <c r="G112" i="10" s="1"/>
  <c r="Y112" i="10" s="1"/>
  <c r="N103" i="10"/>
  <c r="P21" i="12"/>
  <c r="R21" i="12" s="1"/>
  <c r="S21" i="12"/>
  <c r="T21" i="12" s="1"/>
  <c r="O21" i="12"/>
  <c r="B111" i="13" s="1"/>
  <c r="N102" i="10"/>
  <c r="G5" i="12"/>
  <c r="B22" i="12" s="1"/>
  <c r="C12" i="7"/>
  <c r="J23" i="10" l="1"/>
  <c r="H51" i="10"/>
  <c r="K51" i="10" s="1"/>
  <c r="L51" i="10" s="1"/>
  <c r="M51" i="10" s="1"/>
  <c r="D106" i="13"/>
  <c r="F106" i="13" s="1"/>
  <c r="D38" i="13"/>
  <c r="F38" i="13" s="1"/>
  <c r="H80" i="10"/>
  <c r="K80" i="10" s="1"/>
  <c r="L80" i="10" s="1"/>
  <c r="M80" i="10" s="1"/>
  <c r="D59" i="13"/>
  <c r="F59" i="13" s="1"/>
  <c r="N39" i="10"/>
  <c r="N96" i="10"/>
  <c r="D77" i="13"/>
  <c r="F77" i="13" s="1"/>
  <c r="X23" i="10"/>
  <c r="D43" i="13"/>
  <c r="F43" i="13" s="1"/>
  <c r="N80" i="10"/>
  <c r="N92" i="10"/>
  <c r="H52" i="10"/>
  <c r="K52" i="10" s="1"/>
  <c r="L52" i="10" s="1"/>
  <c r="M52" i="10" s="1"/>
  <c r="H96" i="10"/>
  <c r="K96" i="10" s="1"/>
  <c r="L96" i="10" s="1"/>
  <c r="M96" i="10" s="1"/>
  <c r="D18" i="13"/>
  <c r="F18" i="13" s="1"/>
  <c r="H72" i="10"/>
  <c r="K72" i="10" s="1"/>
  <c r="L72" i="10" s="1"/>
  <c r="M72" i="10" s="1"/>
  <c r="N71" i="10"/>
  <c r="N78" i="10"/>
  <c r="H103" i="10"/>
  <c r="K103" i="10" s="1"/>
  <c r="L103" i="10" s="1"/>
  <c r="M103" i="10" s="1"/>
  <c r="N43" i="10"/>
  <c r="I22" i="10"/>
  <c r="Y22" i="10"/>
  <c r="Z22" i="10" s="1"/>
  <c r="AB22" i="10" s="1"/>
  <c r="N76" i="10"/>
  <c r="D79" i="13"/>
  <c r="F79" i="13" s="1"/>
  <c r="D108" i="13"/>
  <c r="D109" i="13" s="1"/>
  <c r="F109" i="13" s="1"/>
  <c r="H83" i="10"/>
  <c r="K83" i="10" s="1"/>
  <c r="L83" i="10" s="1"/>
  <c r="M83" i="10" s="1"/>
  <c r="H36" i="10"/>
  <c r="K36" i="10" s="1"/>
  <c r="L36" i="10" s="1"/>
  <c r="M36" i="10" s="1"/>
  <c r="H108" i="10"/>
  <c r="K108" i="10" s="1"/>
  <c r="L108" i="10" s="1"/>
  <c r="M108" i="10" s="1"/>
  <c r="H79" i="10"/>
  <c r="K79" i="10" s="1"/>
  <c r="L79" i="10" s="1"/>
  <c r="M79" i="10" s="1"/>
  <c r="N59" i="10"/>
  <c r="N26" i="10"/>
  <c r="N79" i="10"/>
  <c r="H115" i="10"/>
  <c r="K115" i="10" s="1"/>
  <c r="L115" i="10" s="1"/>
  <c r="M115" i="10" s="1"/>
  <c r="H70" i="10"/>
  <c r="K70" i="10" s="1"/>
  <c r="L70" i="10" s="1"/>
  <c r="M70" i="10" s="1"/>
  <c r="D84" i="13"/>
  <c r="F84" i="13" s="1"/>
  <c r="N70" i="10"/>
  <c r="N95" i="10"/>
  <c r="D93" i="13"/>
  <c r="F93" i="13" s="1"/>
  <c r="D63" i="13"/>
  <c r="F63" i="13" s="1"/>
  <c r="N83" i="10"/>
  <c r="H22" i="10"/>
  <c r="J22" i="10" s="1"/>
  <c r="C9" i="13"/>
  <c r="P23" i="10"/>
  <c r="H112" i="10"/>
  <c r="K112" i="10" s="1"/>
  <c r="L112" i="10" s="1"/>
  <c r="M112" i="10" s="1"/>
  <c r="N99" i="10"/>
  <c r="N121" i="10"/>
  <c r="N67" i="10"/>
  <c r="N108" i="10"/>
  <c r="N62" i="10"/>
  <c r="D14" i="13"/>
  <c r="F14" i="13" s="1"/>
  <c r="D37" i="13"/>
  <c r="F37" i="13" s="1"/>
  <c r="H44" i="10"/>
  <c r="K44" i="10" s="1"/>
  <c r="L44" i="10" s="1"/>
  <c r="M44" i="10" s="1"/>
  <c r="N77" i="10"/>
  <c r="D39" i="13"/>
  <c r="F39" i="13" s="1"/>
  <c r="H71" i="10"/>
  <c r="K71" i="10" s="1"/>
  <c r="L71" i="10" s="1"/>
  <c r="M71" i="10" s="1"/>
  <c r="H64" i="10"/>
  <c r="K64" i="10" s="1"/>
  <c r="L64" i="10" s="1"/>
  <c r="M64" i="10" s="1"/>
  <c r="D41" i="13"/>
  <c r="F41" i="13" s="1"/>
  <c r="D81" i="13"/>
  <c r="F81" i="13" s="1"/>
  <c r="D15" i="13"/>
  <c r="F15" i="13" s="1"/>
  <c r="N40" i="10"/>
  <c r="N90" i="10"/>
  <c r="N105" i="10"/>
  <c r="H94" i="10"/>
  <c r="K94" i="10" s="1"/>
  <c r="L94" i="10" s="1"/>
  <c r="M94" i="10" s="1"/>
  <c r="B25" i="10"/>
  <c r="E12" i="13" s="1"/>
  <c r="H56" i="10"/>
  <c r="K56" i="10" s="1"/>
  <c r="L56" i="10" s="1"/>
  <c r="M56" i="10" s="1"/>
  <c r="D91" i="13"/>
  <c r="F91" i="13" s="1"/>
  <c r="H28" i="10"/>
  <c r="K28" i="10" s="1"/>
  <c r="L28" i="10" s="1"/>
  <c r="M28" i="10" s="1"/>
  <c r="H40" i="10"/>
  <c r="K40" i="10" s="1"/>
  <c r="L40" i="10" s="1"/>
  <c r="M40" i="10" s="1"/>
  <c r="D47" i="13"/>
  <c r="F47" i="13" s="1"/>
  <c r="N119" i="10"/>
  <c r="D65" i="13"/>
  <c r="F65" i="13" s="1"/>
  <c r="D26" i="13"/>
  <c r="F26" i="13" s="1"/>
  <c r="H42" i="10"/>
  <c r="K42" i="10" s="1"/>
  <c r="L42" i="10" s="1"/>
  <c r="M42" i="10" s="1"/>
  <c r="H58" i="10"/>
  <c r="K58" i="10" s="1"/>
  <c r="L58" i="10" s="1"/>
  <c r="M58" i="10" s="1"/>
  <c r="H31" i="10"/>
  <c r="K31" i="10" s="1"/>
  <c r="L31" i="10" s="1"/>
  <c r="M31" i="10" s="1"/>
  <c r="D61" i="13"/>
  <c r="F61" i="13" s="1"/>
  <c r="D92" i="13"/>
  <c r="F92" i="13" s="1"/>
  <c r="N41" i="10"/>
  <c r="D12" i="13"/>
  <c r="F12" i="13" s="1"/>
  <c r="N69" i="10"/>
  <c r="H68" i="10"/>
  <c r="K68" i="10" s="1"/>
  <c r="L68" i="10" s="1"/>
  <c r="M68" i="10" s="1"/>
  <c r="H47" i="10"/>
  <c r="K47" i="10" s="1"/>
  <c r="L47" i="10" s="1"/>
  <c r="M47" i="10" s="1"/>
  <c r="H46" i="10"/>
  <c r="K46" i="10" s="1"/>
  <c r="L46" i="10" s="1"/>
  <c r="M46" i="10" s="1"/>
  <c r="D22" i="13"/>
  <c r="F22" i="13" s="1"/>
  <c r="H54" i="10"/>
  <c r="K54" i="10" s="1"/>
  <c r="L54" i="10" s="1"/>
  <c r="M54" i="10" s="1"/>
  <c r="H61" i="10"/>
  <c r="K61" i="10" s="1"/>
  <c r="L61" i="10" s="1"/>
  <c r="M61" i="10" s="1"/>
  <c r="H25" i="10"/>
  <c r="K25" i="10" s="1"/>
  <c r="L25" i="10" s="1"/>
  <c r="M25" i="10" s="1"/>
  <c r="D56" i="13"/>
  <c r="F56" i="13" s="1"/>
  <c r="H100" i="10"/>
  <c r="K100" i="10" s="1"/>
  <c r="L100" i="10" s="1"/>
  <c r="M100" i="10" s="1"/>
  <c r="N104" i="10"/>
  <c r="D19" i="13"/>
  <c r="F19" i="13" s="1"/>
  <c r="O23" i="10"/>
  <c r="B10" i="13" s="1"/>
  <c r="D76" i="13"/>
  <c r="F76" i="13" s="1"/>
  <c r="H117" i="10"/>
  <c r="K117" i="10" s="1"/>
  <c r="L117" i="10" s="1"/>
  <c r="M117" i="10" s="1"/>
  <c r="N68" i="10"/>
  <c r="D82" i="13"/>
  <c r="F82" i="13" s="1"/>
  <c r="D29" i="13"/>
  <c r="F29" i="13" s="1"/>
  <c r="N74" i="10"/>
  <c r="H59" i="10"/>
  <c r="K59" i="10" s="1"/>
  <c r="L59" i="10" s="1"/>
  <c r="M59" i="10" s="1"/>
  <c r="D87" i="13"/>
  <c r="F87" i="13" s="1"/>
  <c r="D34" i="13"/>
  <c r="F34" i="13" s="1"/>
  <c r="N46" i="10"/>
  <c r="H60" i="10"/>
  <c r="K60" i="10" s="1"/>
  <c r="L60" i="10" s="1"/>
  <c r="M60" i="10" s="1"/>
  <c r="N35" i="10"/>
  <c r="H32" i="10"/>
  <c r="K32" i="10" s="1"/>
  <c r="L32" i="10" s="1"/>
  <c r="M32" i="10" s="1"/>
  <c r="D51" i="13"/>
  <c r="F51" i="13" s="1"/>
  <c r="D10" i="13"/>
  <c r="F10" i="13" s="1"/>
  <c r="H10" i="13" s="1"/>
  <c r="H66" i="10"/>
  <c r="K66" i="10" s="1"/>
  <c r="L66" i="10" s="1"/>
  <c r="M66" i="10" s="1"/>
  <c r="C10" i="13"/>
  <c r="N33" i="10"/>
  <c r="D86" i="13"/>
  <c r="F86" i="13" s="1"/>
  <c r="N23" i="10"/>
  <c r="N61" i="10"/>
  <c r="N58" i="10"/>
  <c r="D69" i="13"/>
  <c r="F69" i="13" s="1"/>
  <c r="N113" i="10"/>
  <c r="D13" i="13"/>
  <c r="F13" i="13" s="1"/>
  <c r="N112" i="10"/>
  <c r="D23" i="13"/>
  <c r="F23" i="13" s="1"/>
  <c r="D54" i="13"/>
  <c r="F54" i="13" s="1"/>
  <c r="N115" i="10"/>
  <c r="H62" i="10"/>
  <c r="K62" i="10" s="1"/>
  <c r="L62" i="10" s="1"/>
  <c r="M62" i="10" s="1"/>
  <c r="N50" i="10"/>
  <c r="H113" i="10"/>
  <c r="K113" i="10" s="1"/>
  <c r="L113" i="10" s="1"/>
  <c r="M113" i="10" s="1"/>
  <c r="P22" i="10"/>
  <c r="R22" i="10" s="1"/>
  <c r="N97" i="10"/>
  <c r="D9" i="13"/>
  <c r="F9" i="13" s="1"/>
  <c r="G9" i="13" s="1"/>
  <c r="H43" i="10"/>
  <c r="K43" i="10" s="1"/>
  <c r="L43" i="10" s="1"/>
  <c r="M43" i="10" s="1"/>
  <c r="H27" i="10"/>
  <c r="K27" i="10" s="1"/>
  <c r="L27" i="10" s="1"/>
  <c r="M27" i="10" s="1"/>
  <c r="D31" i="13"/>
  <c r="F31" i="13" s="1"/>
  <c r="O22" i="10"/>
  <c r="B9" i="13" s="1"/>
  <c r="G11" i="13"/>
  <c r="H11" i="13"/>
  <c r="N106" i="10"/>
  <c r="N66" i="10"/>
  <c r="H33" i="10"/>
  <c r="K33" i="10" s="1"/>
  <c r="L33" i="10" s="1"/>
  <c r="M33" i="10" s="1"/>
  <c r="K23" i="10"/>
  <c r="L23" i="10" s="1"/>
  <c r="M23" i="10" s="1"/>
  <c r="K76" i="10"/>
  <c r="L76" i="10" s="1"/>
  <c r="M76" i="10" s="1"/>
  <c r="K99" i="10"/>
  <c r="L99" i="10" s="1"/>
  <c r="M99" i="10" s="1"/>
  <c r="H77" i="10"/>
  <c r="K77" i="10" s="1"/>
  <c r="L77" i="10" s="1"/>
  <c r="M77" i="10" s="1"/>
  <c r="H65" i="10"/>
  <c r="K65" i="10" s="1"/>
  <c r="L65" i="10" s="1"/>
  <c r="M65" i="10" s="1"/>
  <c r="N65" i="10"/>
  <c r="N89" i="10"/>
  <c r="H82" i="10"/>
  <c r="K82" i="10" s="1"/>
  <c r="L82" i="10" s="1"/>
  <c r="M82" i="10" s="1"/>
  <c r="H116" i="10"/>
  <c r="K116" i="10" s="1"/>
  <c r="L116" i="10" s="1"/>
  <c r="M116" i="10" s="1"/>
  <c r="D42" i="13"/>
  <c r="F42" i="13" s="1"/>
  <c r="H30" i="10"/>
  <c r="K30" i="10" s="1"/>
  <c r="L30" i="10" s="1"/>
  <c r="M30" i="10" s="1"/>
  <c r="H86" i="10"/>
  <c r="K86" i="10" s="1"/>
  <c r="L86" i="10" s="1"/>
  <c r="M86" i="10" s="1"/>
  <c r="N111" i="10"/>
  <c r="K121" i="10"/>
  <c r="L121" i="10" s="1"/>
  <c r="M121" i="10" s="1"/>
  <c r="Z24" i="10"/>
  <c r="K89" i="10"/>
  <c r="L89" i="10" s="1"/>
  <c r="M89" i="10" s="1"/>
  <c r="H120" i="10"/>
  <c r="K120" i="10" s="1"/>
  <c r="L120" i="10" s="1"/>
  <c r="M120" i="10" s="1"/>
  <c r="D85" i="13"/>
  <c r="F85" i="13" s="1"/>
  <c r="D101" i="13"/>
  <c r="F101" i="13" s="1"/>
  <c r="D78" i="13"/>
  <c r="F78" i="13" s="1"/>
  <c r="H38" i="10"/>
  <c r="K38" i="10" s="1"/>
  <c r="L38" i="10" s="1"/>
  <c r="M38" i="10" s="1"/>
  <c r="K104" i="10"/>
  <c r="L104" i="10" s="1"/>
  <c r="M104" i="10" s="1"/>
  <c r="D21" i="13"/>
  <c r="F21" i="13" s="1"/>
  <c r="D104" i="13"/>
  <c r="F104" i="13" s="1"/>
  <c r="H110" i="10"/>
  <c r="K110" i="10" s="1"/>
  <c r="L110" i="10" s="1"/>
  <c r="M110" i="10" s="1"/>
  <c r="N116" i="10"/>
  <c r="D71" i="13"/>
  <c r="F71" i="13" s="1"/>
  <c r="H75" i="10"/>
  <c r="K75" i="10" s="1"/>
  <c r="L75" i="10" s="1"/>
  <c r="M75" i="10" s="1"/>
  <c r="N118" i="10"/>
  <c r="D35" i="13"/>
  <c r="F35" i="13" s="1"/>
  <c r="H24" i="10"/>
  <c r="J24" i="10" s="1"/>
  <c r="N30" i="10"/>
  <c r="D98" i="13"/>
  <c r="F98" i="13" s="1"/>
  <c r="H34" i="10"/>
  <c r="K34" i="10" s="1"/>
  <c r="L34" i="10" s="1"/>
  <c r="M34" i="10" s="1"/>
  <c r="H98" i="10"/>
  <c r="K98" i="10" s="1"/>
  <c r="L98" i="10" s="1"/>
  <c r="M98" i="10" s="1"/>
  <c r="D73" i="13"/>
  <c r="F73" i="13" s="1"/>
  <c r="N114" i="10"/>
  <c r="N63" i="10"/>
  <c r="H53" i="10"/>
  <c r="K53" i="10" s="1"/>
  <c r="L53" i="10" s="1"/>
  <c r="M53" i="10" s="1"/>
  <c r="W23" i="10"/>
  <c r="D40" i="13"/>
  <c r="F40" i="13" s="1"/>
  <c r="D44" i="13"/>
  <c r="F44" i="13" s="1"/>
  <c r="H57" i="10"/>
  <c r="K57" i="10" s="1"/>
  <c r="L57" i="10" s="1"/>
  <c r="M57" i="10" s="1"/>
  <c r="N57" i="10"/>
  <c r="C11" i="13"/>
  <c r="O24" i="10"/>
  <c r="B11" i="13" s="1"/>
  <c r="D97" i="13"/>
  <c r="F97" i="13" s="1"/>
  <c r="H55" i="10"/>
  <c r="K55" i="10" s="1"/>
  <c r="L55" i="10" s="1"/>
  <c r="M55" i="10" s="1"/>
  <c r="H84" i="10"/>
  <c r="K84" i="10" s="1"/>
  <c r="L84" i="10" s="1"/>
  <c r="M84" i="10" s="1"/>
  <c r="N75" i="10"/>
  <c r="H118" i="10"/>
  <c r="K118" i="10" s="1"/>
  <c r="L118" i="10" s="1"/>
  <c r="M118" i="10" s="1"/>
  <c r="H48" i="10"/>
  <c r="K48" i="10" s="1"/>
  <c r="L48" i="10" s="1"/>
  <c r="M48" i="10" s="1"/>
  <c r="N24" i="10"/>
  <c r="K35" i="10"/>
  <c r="L35" i="10" s="1"/>
  <c r="M35" i="10" s="1"/>
  <c r="N120" i="10"/>
  <c r="H91" i="10"/>
  <c r="K91" i="10" s="1"/>
  <c r="L91" i="10" s="1"/>
  <c r="M91" i="10" s="1"/>
  <c r="D74" i="13"/>
  <c r="F74" i="13" s="1"/>
  <c r="H109" i="10"/>
  <c r="K109" i="10" s="1"/>
  <c r="L109" i="10" s="1"/>
  <c r="M109" i="10" s="1"/>
  <c r="H29" i="10"/>
  <c r="K29" i="10" s="1"/>
  <c r="L29" i="10" s="1"/>
  <c r="M29" i="10" s="1"/>
  <c r="D16" i="13"/>
  <c r="F16" i="13" s="1"/>
  <c r="H85" i="10"/>
  <c r="K85" i="10" s="1"/>
  <c r="L85" i="10" s="1"/>
  <c r="M85" i="10" s="1"/>
  <c r="D72" i="13"/>
  <c r="F72" i="13" s="1"/>
  <c r="N85" i="10"/>
  <c r="H73" i="10"/>
  <c r="K73" i="10" s="1"/>
  <c r="L73" i="10" s="1"/>
  <c r="M73" i="10" s="1"/>
  <c r="D60" i="13"/>
  <c r="F60" i="13" s="1"/>
  <c r="N73" i="10"/>
  <c r="D88" i="13"/>
  <c r="F88" i="13" s="1"/>
  <c r="N101" i="10"/>
  <c r="P24" i="10"/>
  <c r="H63" i="10"/>
  <c r="K63" i="10" s="1"/>
  <c r="L63" i="10" s="1"/>
  <c r="M63" i="10" s="1"/>
  <c r="H87" i="10"/>
  <c r="K87" i="10" s="1"/>
  <c r="L87" i="10" s="1"/>
  <c r="M87" i="10" s="1"/>
  <c r="D25" i="13"/>
  <c r="F25" i="13" s="1"/>
  <c r="N109" i="10"/>
  <c r="N29" i="10"/>
  <c r="N49" i="10"/>
  <c r="D36" i="13"/>
  <c r="F36" i="13" s="1"/>
  <c r="H49" i="10"/>
  <c r="K49" i="10" s="1"/>
  <c r="L49" i="10" s="1"/>
  <c r="M49" i="10" s="1"/>
  <c r="H45" i="10"/>
  <c r="K45" i="10" s="1"/>
  <c r="L45" i="10" s="1"/>
  <c r="M45" i="10" s="1"/>
  <c r="D32" i="13"/>
  <c r="F32" i="13" s="1"/>
  <c r="N45" i="10"/>
  <c r="D80" i="13"/>
  <c r="F80" i="13" s="1"/>
  <c r="H93" i="10"/>
  <c r="K93" i="10" s="1"/>
  <c r="L93" i="10" s="1"/>
  <c r="M93" i="10" s="1"/>
  <c r="D24" i="13"/>
  <c r="F24" i="13" s="1"/>
  <c r="H37" i="10"/>
  <c r="K37" i="10" s="1"/>
  <c r="L37" i="10" s="1"/>
  <c r="M37" i="10" s="1"/>
  <c r="W22" i="10"/>
  <c r="K95" i="10"/>
  <c r="L95" i="10" s="1"/>
  <c r="M95" i="10" s="1"/>
  <c r="K74" i="10"/>
  <c r="L74" i="10" s="1"/>
  <c r="M74" i="10" s="1"/>
  <c r="Q21" i="12"/>
  <c r="S22" i="10"/>
  <c r="T22" i="10" s="1"/>
  <c r="N81" i="10"/>
  <c r="D68" i="13"/>
  <c r="F68" i="13" s="1"/>
  <c r="H81" i="10"/>
  <c r="K81" i="10" s="1"/>
  <c r="L81" i="10" s="1"/>
  <c r="M81" i="10" s="1"/>
  <c r="H107" i="10"/>
  <c r="K107" i="10" s="1"/>
  <c r="L107" i="10" s="1"/>
  <c r="M107" i="10" s="1"/>
  <c r="D94" i="13"/>
  <c r="F94" i="13" s="1"/>
  <c r="N107" i="10"/>
  <c r="K78" i="10"/>
  <c r="L78" i="10" s="1"/>
  <c r="M78" i="10" s="1"/>
  <c r="K105" i="10"/>
  <c r="L105" i="10" s="1"/>
  <c r="M105" i="10" s="1"/>
  <c r="X24" i="10"/>
  <c r="W24" i="10" s="1"/>
  <c r="K114" i="10"/>
  <c r="L114" i="10" s="1"/>
  <c r="M114" i="10" s="1"/>
  <c r="K41" i="10"/>
  <c r="L41" i="10" s="1"/>
  <c r="M41" i="10" s="1"/>
  <c r="K69" i="10"/>
  <c r="L69" i="10" s="1"/>
  <c r="M69" i="10" s="1"/>
  <c r="K90" i="10"/>
  <c r="L90" i="10" s="1"/>
  <c r="M90" i="10" s="1"/>
  <c r="K67" i="10"/>
  <c r="L67" i="10" s="1"/>
  <c r="M67" i="10" s="1"/>
  <c r="K92" i="10"/>
  <c r="L92" i="10" s="1"/>
  <c r="M92" i="10" s="1"/>
  <c r="G126" i="10"/>
  <c r="G127" i="10" s="1"/>
  <c r="G128" i="10" s="1"/>
  <c r="B18" i="10"/>
  <c r="K50" i="10"/>
  <c r="L50" i="10" s="1"/>
  <c r="M50" i="10" s="1"/>
  <c r="K102" i="10"/>
  <c r="L102" i="10" s="1"/>
  <c r="M102" i="10" s="1"/>
  <c r="I24" i="10"/>
  <c r="S23" i="10"/>
  <c r="I23" i="10"/>
  <c r="Z23" i="10"/>
  <c r="K101" i="10"/>
  <c r="L101" i="10" s="1"/>
  <c r="M101" i="10" s="1"/>
  <c r="K97" i="10"/>
  <c r="L97" i="10" s="1"/>
  <c r="M97" i="10" s="1"/>
  <c r="K26" i="10"/>
  <c r="L26" i="10" s="1"/>
  <c r="M26" i="10" s="1"/>
  <c r="K119" i="10"/>
  <c r="L119" i="10" s="1"/>
  <c r="M119" i="10" s="1"/>
  <c r="K111" i="10"/>
  <c r="L111" i="10" s="1"/>
  <c r="M111" i="10" s="1"/>
  <c r="K39" i="10"/>
  <c r="L39" i="10" s="1"/>
  <c r="M39" i="10" s="1"/>
  <c r="S24" i="10"/>
  <c r="K106" i="10"/>
  <c r="L106" i="10" s="1"/>
  <c r="M106" i="10" s="1"/>
  <c r="K88" i="10"/>
  <c r="L88" i="10" s="1"/>
  <c r="M88" i="10" s="1"/>
  <c r="B23" i="12"/>
  <c r="E112" i="13"/>
  <c r="G2" i="12"/>
  <c r="F28" i="12" s="1"/>
  <c r="G28" i="12" s="1"/>
  <c r="W28" i="12" s="1"/>
  <c r="U22" i="12"/>
  <c r="G3" i="12"/>
  <c r="E65" i="12" s="1"/>
  <c r="C13" i="7"/>
  <c r="H12" i="13" l="1"/>
  <c r="F108" i="13"/>
  <c r="Q22" i="10"/>
  <c r="Q23" i="10" s="1"/>
  <c r="Q24" i="10" s="1"/>
  <c r="R23" i="10"/>
  <c r="R24" i="10" s="1"/>
  <c r="V22" i="10"/>
  <c r="V23" i="10" s="1"/>
  <c r="V24" i="10" s="1"/>
  <c r="G12" i="13"/>
  <c r="S25" i="10"/>
  <c r="B26" i="10"/>
  <c r="E13" i="13" s="1"/>
  <c r="G13" i="13" s="1"/>
  <c r="K22" i="10"/>
  <c r="L22" i="10" s="1"/>
  <c r="M22" i="10" s="1"/>
  <c r="P25" i="10"/>
  <c r="Z25" i="10"/>
  <c r="O25" i="10"/>
  <c r="B12" i="13" s="1"/>
  <c r="J25" i="10"/>
  <c r="I25" i="10"/>
  <c r="C12" i="13"/>
  <c r="G10" i="13"/>
  <c r="H9" i="13"/>
  <c r="I9" i="13" s="1"/>
  <c r="I10" i="13" s="1"/>
  <c r="I11" i="13" s="1"/>
  <c r="I12" i="13" s="1"/>
  <c r="K24" i="10"/>
  <c r="L24" i="10" s="1"/>
  <c r="M24" i="10" s="1"/>
  <c r="U22" i="10"/>
  <c r="U23" i="10" s="1"/>
  <c r="U24" i="10" s="1"/>
  <c r="AB23" i="10"/>
  <c r="AB24" i="10" s="1"/>
  <c r="F92" i="12"/>
  <c r="G92" i="12" s="1"/>
  <c r="W92" i="12" s="1"/>
  <c r="F88" i="12"/>
  <c r="G88" i="12" s="1"/>
  <c r="W88" i="12" s="1"/>
  <c r="E49" i="12"/>
  <c r="D139" i="13" s="1"/>
  <c r="F139" i="13" s="1"/>
  <c r="E94" i="12"/>
  <c r="N94" i="12" s="1"/>
  <c r="E100" i="12"/>
  <c r="X25" i="10"/>
  <c r="E116" i="12"/>
  <c r="E109" i="12"/>
  <c r="F111" i="12"/>
  <c r="G111" i="12" s="1"/>
  <c r="W111" i="12" s="1"/>
  <c r="F29" i="12"/>
  <c r="G29" i="12" s="1"/>
  <c r="W29" i="12" s="1"/>
  <c r="E24" i="12"/>
  <c r="F46" i="12"/>
  <c r="G46" i="12" s="1"/>
  <c r="W46" i="12" s="1"/>
  <c r="F50" i="12"/>
  <c r="G50" i="12" s="1"/>
  <c r="W50" i="12" s="1"/>
  <c r="F27" i="12"/>
  <c r="G27" i="12" s="1"/>
  <c r="W27" i="12" s="1"/>
  <c r="F105" i="12"/>
  <c r="G105" i="12" s="1"/>
  <c r="W105" i="12" s="1"/>
  <c r="F91" i="12"/>
  <c r="G91" i="12" s="1"/>
  <c r="W91" i="12" s="1"/>
  <c r="F39" i="12"/>
  <c r="G39" i="12" s="1"/>
  <c r="W39" i="12" s="1"/>
  <c r="F45" i="12"/>
  <c r="G45" i="12" s="1"/>
  <c r="W45" i="12" s="1"/>
  <c r="F36" i="12"/>
  <c r="G36" i="12" s="1"/>
  <c r="W36" i="12" s="1"/>
  <c r="F114" i="12"/>
  <c r="G114" i="12" s="1"/>
  <c r="W114" i="12" s="1"/>
  <c r="F94" i="12"/>
  <c r="G94" i="12" s="1"/>
  <c r="W94" i="12" s="1"/>
  <c r="F68" i="12"/>
  <c r="G68" i="12" s="1"/>
  <c r="W68" i="12" s="1"/>
  <c r="F121" i="12"/>
  <c r="G121" i="12" s="1"/>
  <c r="W121" i="12" s="1"/>
  <c r="F116" i="12"/>
  <c r="G116" i="12" s="1"/>
  <c r="W116" i="12" s="1"/>
  <c r="F106" i="12"/>
  <c r="G106" i="12" s="1"/>
  <c r="W106" i="12" s="1"/>
  <c r="F30" i="12"/>
  <c r="G30" i="12" s="1"/>
  <c r="W30" i="12" s="1"/>
  <c r="E26" i="12"/>
  <c r="E50" i="12"/>
  <c r="E110" i="12"/>
  <c r="T23" i="10"/>
  <c r="T24" i="10" s="1"/>
  <c r="E68" i="12"/>
  <c r="E115" i="12"/>
  <c r="E54" i="12"/>
  <c r="E36" i="12"/>
  <c r="E78" i="12"/>
  <c r="D168" i="13" s="1"/>
  <c r="F168" i="13" s="1"/>
  <c r="E62" i="12"/>
  <c r="E52" i="12"/>
  <c r="E51" i="12"/>
  <c r="E28" i="12"/>
  <c r="H28" i="12" s="1"/>
  <c r="K28" i="12" s="1"/>
  <c r="L28" i="12" s="1"/>
  <c r="M28" i="12" s="1"/>
  <c r="F40" i="12"/>
  <c r="G40" i="12" s="1"/>
  <c r="W40" i="12" s="1"/>
  <c r="F104" i="12"/>
  <c r="G104" i="12" s="1"/>
  <c r="W104" i="12" s="1"/>
  <c r="F81" i="12"/>
  <c r="G81" i="12" s="1"/>
  <c r="W81" i="12" s="1"/>
  <c r="E84" i="12"/>
  <c r="E30" i="12"/>
  <c r="F97" i="12"/>
  <c r="G97" i="12" s="1"/>
  <c r="W97" i="12" s="1"/>
  <c r="E61" i="12"/>
  <c r="E113" i="12"/>
  <c r="E63" i="12"/>
  <c r="F109" i="12"/>
  <c r="G109" i="12" s="1"/>
  <c r="W109" i="12" s="1"/>
  <c r="E99" i="12"/>
  <c r="E114" i="12"/>
  <c r="E93" i="12"/>
  <c r="E83" i="12"/>
  <c r="E64" i="12"/>
  <c r="E118" i="12"/>
  <c r="E95" i="12"/>
  <c r="E120" i="12"/>
  <c r="E46" i="12"/>
  <c r="E88" i="12"/>
  <c r="E29" i="12"/>
  <c r="E90" i="12"/>
  <c r="E81" i="12"/>
  <c r="E92" i="12"/>
  <c r="D182" i="13" s="1"/>
  <c r="F182" i="13" s="1"/>
  <c r="E31" i="12"/>
  <c r="E45" i="12"/>
  <c r="E69" i="12"/>
  <c r="E56" i="12"/>
  <c r="E35" i="12"/>
  <c r="E27" i="12"/>
  <c r="E82" i="12"/>
  <c r="E77" i="12"/>
  <c r="E108" i="12"/>
  <c r="E67" i="12"/>
  <c r="E66" i="12"/>
  <c r="E25" i="12"/>
  <c r="E91" i="12"/>
  <c r="E44" i="12"/>
  <c r="H61" i="12"/>
  <c r="F22" i="12"/>
  <c r="G22" i="12" s="1"/>
  <c r="F107" i="12"/>
  <c r="G107" i="12" s="1"/>
  <c r="W107" i="12" s="1"/>
  <c r="F51" i="12"/>
  <c r="G51" i="12" s="1"/>
  <c r="W51" i="12" s="1"/>
  <c r="F112" i="12"/>
  <c r="G112" i="12" s="1"/>
  <c r="W112" i="12" s="1"/>
  <c r="F67" i="12"/>
  <c r="G67" i="12" s="1"/>
  <c r="W67" i="12" s="1"/>
  <c r="F54" i="12"/>
  <c r="G54" i="12" s="1"/>
  <c r="W54" i="12" s="1"/>
  <c r="F113" i="12"/>
  <c r="G113" i="12" s="1"/>
  <c r="W113" i="12" s="1"/>
  <c r="F49" i="12"/>
  <c r="G49" i="12" s="1"/>
  <c r="W49" i="12" s="1"/>
  <c r="F108" i="12"/>
  <c r="G108" i="12" s="1"/>
  <c r="W108" i="12" s="1"/>
  <c r="F87" i="12"/>
  <c r="G87" i="12" s="1"/>
  <c r="W87" i="12" s="1"/>
  <c r="F31" i="12"/>
  <c r="G31" i="12" s="1"/>
  <c r="W31" i="12" s="1"/>
  <c r="F79" i="12"/>
  <c r="G79" i="12" s="1"/>
  <c r="W79" i="12" s="1"/>
  <c r="F71" i="12"/>
  <c r="G71" i="12" s="1"/>
  <c r="W71" i="12" s="1"/>
  <c r="F26" i="12"/>
  <c r="G26" i="12" s="1"/>
  <c r="W26" i="12" s="1"/>
  <c r="F86" i="12"/>
  <c r="G86" i="12" s="1"/>
  <c r="W86" i="12" s="1"/>
  <c r="F23" i="12"/>
  <c r="G23" i="12" s="1"/>
  <c r="F78" i="12"/>
  <c r="G78" i="12" s="1"/>
  <c r="W78" i="12" s="1"/>
  <c r="F37" i="12"/>
  <c r="G37" i="12" s="1"/>
  <c r="W37" i="12" s="1"/>
  <c r="F99" i="12"/>
  <c r="G99" i="12" s="1"/>
  <c r="W99" i="12" s="1"/>
  <c r="F75" i="12"/>
  <c r="G75" i="12" s="1"/>
  <c r="W75" i="12" s="1"/>
  <c r="F34" i="12"/>
  <c r="G34" i="12" s="1"/>
  <c r="W34" i="12" s="1"/>
  <c r="F84" i="12"/>
  <c r="G84" i="12" s="1"/>
  <c r="W84" i="12" s="1"/>
  <c r="F102" i="12"/>
  <c r="G102" i="12" s="1"/>
  <c r="W102" i="12" s="1"/>
  <c r="F76" i="12"/>
  <c r="G76" i="12" s="1"/>
  <c r="W76" i="12" s="1"/>
  <c r="F24" i="12"/>
  <c r="G24" i="12" s="1"/>
  <c r="W24" i="12" s="1"/>
  <c r="F58" i="12"/>
  <c r="G58" i="12" s="1"/>
  <c r="W58" i="12" s="1"/>
  <c r="F89" i="12"/>
  <c r="G89" i="12" s="1"/>
  <c r="W89" i="12" s="1"/>
  <c r="F83" i="12"/>
  <c r="G83" i="12" s="1"/>
  <c r="W83" i="12" s="1"/>
  <c r="F66" i="12"/>
  <c r="G66" i="12" s="1"/>
  <c r="W66" i="12" s="1"/>
  <c r="F47" i="12"/>
  <c r="G47" i="12" s="1"/>
  <c r="W47" i="12" s="1"/>
  <c r="F118" i="12"/>
  <c r="G118" i="12" s="1"/>
  <c r="W118" i="12" s="1"/>
  <c r="F77" i="12"/>
  <c r="G77" i="12" s="1"/>
  <c r="W77" i="12" s="1"/>
  <c r="F65" i="12"/>
  <c r="G65" i="12" s="1"/>
  <c r="W65" i="12" s="1"/>
  <c r="F48" i="12"/>
  <c r="G48" i="12" s="1"/>
  <c r="W48" i="12" s="1"/>
  <c r="F119" i="12"/>
  <c r="G119" i="12" s="1"/>
  <c r="W119" i="12" s="1"/>
  <c r="F90" i="12"/>
  <c r="G90" i="12" s="1"/>
  <c r="W90" i="12" s="1"/>
  <c r="F93" i="12"/>
  <c r="G93" i="12" s="1"/>
  <c r="W93" i="12" s="1"/>
  <c r="F43" i="12"/>
  <c r="G43" i="12" s="1"/>
  <c r="W43" i="12" s="1"/>
  <c r="F117" i="12"/>
  <c r="G117" i="12" s="1"/>
  <c r="W117" i="12" s="1"/>
  <c r="F74" i="12"/>
  <c r="G74" i="12" s="1"/>
  <c r="W74" i="12" s="1"/>
  <c r="F61" i="12"/>
  <c r="G61" i="12" s="1"/>
  <c r="W61" i="12" s="1"/>
  <c r="F55" i="12"/>
  <c r="G55" i="12" s="1"/>
  <c r="W55" i="12" s="1"/>
  <c r="F41" i="12"/>
  <c r="G41" i="12" s="1"/>
  <c r="W41" i="12" s="1"/>
  <c r="F85" i="12"/>
  <c r="G85" i="12" s="1"/>
  <c r="W85" i="12" s="1"/>
  <c r="F59" i="12"/>
  <c r="G59" i="12" s="1"/>
  <c r="W59" i="12" s="1"/>
  <c r="F96" i="12"/>
  <c r="G96" i="12" s="1"/>
  <c r="W96" i="12" s="1"/>
  <c r="F72" i="12"/>
  <c r="G72" i="12" s="1"/>
  <c r="W72" i="12" s="1"/>
  <c r="F63" i="12"/>
  <c r="G63" i="12" s="1"/>
  <c r="W63" i="12" s="1"/>
  <c r="F52" i="12"/>
  <c r="G52" i="12" s="1"/>
  <c r="W52" i="12" s="1"/>
  <c r="F110" i="12"/>
  <c r="G110" i="12" s="1"/>
  <c r="W110" i="12" s="1"/>
  <c r="F69" i="12"/>
  <c r="G69" i="12" s="1"/>
  <c r="W69" i="12" s="1"/>
  <c r="F62" i="12"/>
  <c r="G62" i="12" s="1"/>
  <c r="W62" i="12" s="1"/>
  <c r="F44" i="12"/>
  <c r="G44" i="12" s="1"/>
  <c r="W44" i="12" s="1"/>
  <c r="F103" i="12"/>
  <c r="G103" i="12" s="1"/>
  <c r="W103" i="12" s="1"/>
  <c r="F57" i="12"/>
  <c r="G57" i="12" s="1"/>
  <c r="W57" i="12" s="1"/>
  <c r="F32" i="12"/>
  <c r="G32" i="12" s="1"/>
  <c r="W32" i="12" s="1"/>
  <c r="F80" i="12"/>
  <c r="G80" i="12" s="1"/>
  <c r="W80" i="12" s="1"/>
  <c r="F42" i="12"/>
  <c r="G42" i="12" s="1"/>
  <c r="W42" i="12" s="1"/>
  <c r="F101" i="12"/>
  <c r="G101" i="12" s="1"/>
  <c r="W101" i="12" s="1"/>
  <c r="F56" i="12"/>
  <c r="G56" i="12" s="1"/>
  <c r="W56" i="12" s="1"/>
  <c r="F98" i="12"/>
  <c r="G98" i="12" s="1"/>
  <c r="W98" i="12" s="1"/>
  <c r="F33" i="12"/>
  <c r="G33" i="12" s="1"/>
  <c r="W33" i="12" s="1"/>
  <c r="F120" i="12"/>
  <c r="G120" i="12" s="1"/>
  <c r="W120" i="12" s="1"/>
  <c r="F25" i="12"/>
  <c r="G25" i="12" s="1"/>
  <c r="W25" i="12" s="1"/>
  <c r="F70" i="12"/>
  <c r="G70" i="12" s="1"/>
  <c r="W70" i="12" s="1"/>
  <c r="F115" i="12"/>
  <c r="G115" i="12" s="1"/>
  <c r="W115" i="12" s="1"/>
  <c r="F95" i="12"/>
  <c r="G95" i="12" s="1"/>
  <c r="W95" i="12" s="1"/>
  <c r="E101" i="12"/>
  <c r="E42" i="12"/>
  <c r="E43" i="12"/>
  <c r="E80" i="12"/>
  <c r="F100" i="12"/>
  <c r="G100" i="12" s="1"/>
  <c r="W100" i="12" s="1"/>
  <c r="E76" i="12"/>
  <c r="U23" i="12"/>
  <c r="F53" i="12"/>
  <c r="G53" i="12" s="1"/>
  <c r="W53" i="12" s="1"/>
  <c r="F73" i="12"/>
  <c r="G73" i="12" s="1"/>
  <c r="W73" i="12" s="1"/>
  <c r="F60" i="12"/>
  <c r="G60" i="12" s="1"/>
  <c r="W60" i="12" s="1"/>
  <c r="F35" i="12"/>
  <c r="G35" i="12" s="1"/>
  <c r="W35" i="12" s="1"/>
  <c r="F38" i="12"/>
  <c r="G38" i="12" s="1"/>
  <c r="W38" i="12" s="1"/>
  <c r="E40" i="12"/>
  <c r="E59" i="12"/>
  <c r="E89" i="12"/>
  <c r="E39" i="12"/>
  <c r="F64" i="12"/>
  <c r="G64" i="12" s="1"/>
  <c r="W64" i="12" s="1"/>
  <c r="F82" i="12"/>
  <c r="G82" i="12" s="1"/>
  <c r="W82" i="12" s="1"/>
  <c r="E32" i="12"/>
  <c r="E102" i="12"/>
  <c r="E98" i="12"/>
  <c r="E117" i="12"/>
  <c r="E104" i="12"/>
  <c r="E37" i="12"/>
  <c r="E106" i="12"/>
  <c r="E57" i="12"/>
  <c r="E103" i="12"/>
  <c r="E53" i="12"/>
  <c r="E58" i="12"/>
  <c r="E87" i="12"/>
  <c r="B24" i="12"/>
  <c r="E113" i="13"/>
  <c r="H64" i="12"/>
  <c r="K64" i="12" s="1"/>
  <c r="L64" i="12" s="1"/>
  <c r="M64" i="12" s="1"/>
  <c r="D155" i="13"/>
  <c r="F155" i="13" s="1"/>
  <c r="N65" i="12"/>
  <c r="H65" i="12"/>
  <c r="E121" i="12"/>
  <c r="E70" i="12"/>
  <c r="E71" i="12"/>
  <c r="E34" i="12"/>
  <c r="E85" i="12"/>
  <c r="E23" i="12"/>
  <c r="C113" i="13" s="1"/>
  <c r="E75" i="12"/>
  <c r="E112" i="12"/>
  <c r="E97" i="12"/>
  <c r="E38" i="12"/>
  <c r="E111" i="12"/>
  <c r="E73" i="12"/>
  <c r="E22" i="12"/>
  <c r="C112" i="13" s="1"/>
  <c r="E41" i="12"/>
  <c r="E55" i="12"/>
  <c r="E72" i="12"/>
  <c r="E96" i="12"/>
  <c r="E79" i="12"/>
  <c r="E107" i="12"/>
  <c r="E74" i="12"/>
  <c r="E105" i="12"/>
  <c r="E33" i="12"/>
  <c r="E86" i="12"/>
  <c r="E119" i="12"/>
  <c r="E47" i="12"/>
  <c r="E48" i="12"/>
  <c r="E60" i="12"/>
  <c r="V25" i="10" l="1"/>
  <c r="J26" i="10"/>
  <c r="P26" i="10"/>
  <c r="B27" i="10"/>
  <c r="E14" i="13" s="1"/>
  <c r="H14" i="13" s="1"/>
  <c r="C13" i="13"/>
  <c r="I26" i="10"/>
  <c r="Z26" i="10"/>
  <c r="S26" i="10"/>
  <c r="O26" i="10"/>
  <c r="B13" i="13" s="1"/>
  <c r="I22" i="12"/>
  <c r="W22" i="12"/>
  <c r="X22" i="12" s="1"/>
  <c r="W23" i="12"/>
  <c r="X23" i="12" s="1"/>
  <c r="N78" i="12"/>
  <c r="T25" i="10"/>
  <c r="U25" i="10"/>
  <c r="N49" i="12"/>
  <c r="X26" i="10"/>
  <c r="W26" i="10" s="1"/>
  <c r="N28" i="12"/>
  <c r="H78" i="12"/>
  <c r="K78" i="12" s="1"/>
  <c r="L78" i="12" s="1"/>
  <c r="M78" i="12" s="1"/>
  <c r="H13" i="13"/>
  <c r="I13" i="13" s="1"/>
  <c r="R25" i="10"/>
  <c r="Q25" i="10"/>
  <c r="H53" i="12"/>
  <c r="K53" i="12" s="1"/>
  <c r="L53" i="12" s="1"/>
  <c r="M53" i="12" s="1"/>
  <c r="D127" i="13"/>
  <c r="F127" i="13" s="1"/>
  <c r="D192" i="13"/>
  <c r="F192" i="13" s="1"/>
  <c r="N39" i="12"/>
  <c r="H80" i="12"/>
  <c r="K80" i="12" s="1"/>
  <c r="L80" i="12" s="1"/>
  <c r="M80" i="12" s="1"/>
  <c r="D134" i="13"/>
  <c r="F134" i="13" s="1"/>
  <c r="D135" i="13"/>
  <c r="F135" i="13" s="1"/>
  <c r="H90" i="12"/>
  <c r="K90" i="12" s="1"/>
  <c r="L90" i="12" s="1"/>
  <c r="M90" i="12" s="1"/>
  <c r="D210" i="13"/>
  <c r="F210" i="13" s="1"/>
  <c r="D173" i="13"/>
  <c r="F173" i="13" s="1"/>
  <c r="D142" i="13"/>
  <c r="F142" i="13" s="1"/>
  <c r="N54" i="12"/>
  <c r="D200" i="13"/>
  <c r="F200" i="13" s="1"/>
  <c r="H100" i="12"/>
  <c r="K100" i="12" s="1"/>
  <c r="L100" i="12" s="1"/>
  <c r="M100" i="12" s="1"/>
  <c r="D193" i="13"/>
  <c r="F193" i="13" s="1"/>
  <c r="H104" i="12"/>
  <c r="K104" i="12" s="1"/>
  <c r="L104" i="12" s="1"/>
  <c r="M104" i="12" s="1"/>
  <c r="N89" i="12"/>
  <c r="H43" i="12"/>
  <c r="K43" i="12" s="1"/>
  <c r="L43" i="12" s="1"/>
  <c r="M43" i="12" s="1"/>
  <c r="H91" i="12"/>
  <c r="K91" i="12" s="1"/>
  <c r="L91" i="12" s="1"/>
  <c r="M91" i="12" s="1"/>
  <c r="D198" i="13"/>
  <c r="F198" i="13" s="1"/>
  <c r="D125" i="13"/>
  <c r="F125" i="13" s="1"/>
  <c r="D121" i="13"/>
  <c r="F121" i="13" s="1"/>
  <c r="D119" i="13"/>
  <c r="F119" i="13" s="1"/>
  <c r="N95" i="12"/>
  <c r="N93" i="12"/>
  <c r="D153" i="13"/>
  <c r="F153" i="13" s="1"/>
  <c r="D120" i="13"/>
  <c r="F120" i="13" s="1"/>
  <c r="N62" i="12"/>
  <c r="H115" i="12"/>
  <c r="K115" i="12" s="1"/>
  <c r="L115" i="12" s="1"/>
  <c r="M115" i="12" s="1"/>
  <c r="D140" i="13"/>
  <c r="F140" i="13" s="1"/>
  <c r="N109" i="12"/>
  <c r="H94" i="12"/>
  <c r="K94" i="12" s="1"/>
  <c r="L94" i="12" s="1"/>
  <c r="M94" i="12" s="1"/>
  <c r="H57" i="12"/>
  <c r="K57" i="12" s="1"/>
  <c r="L57" i="12" s="1"/>
  <c r="M57" i="12" s="1"/>
  <c r="D207" i="13"/>
  <c r="F207" i="13" s="1"/>
  <c r="H59" i="12"/>
  <c r="K59" i="12" s="1"/>
  <c r="L59" i="12" s="1"/>
  <c r="M59" i="12" s="1"/>
  <c r="N42" i="12"/>
  <c r="N25" i="12"/>
  <c r="D167" i="13"/>
  <c r="F167" i="13" s="1"/>
  <c r="N56" i="12"/>
  <c r="N92" i="12"/>
  <c r="D178" i="13"/>
  <c r="F178" i="13" s="1"/>
  <c r="N118" i="12"/>
  <c r="D204" i="13"/>
  <c r="F204" i="13" s="1"/>
  <c r="N113" i="12"/>
  <c r="N84" i="12"/>
  <c r="D118" i="13"/>
  <c r="F118" i="13" s="1"/>
  <c r="N68" i="12"/>
  <c r="H26" i="12"/>
  <c r="K26" i="12" s="1"/>
  <c r="L26" i="12" s="1"/>
  <c r="M26" i="12" s="1"/>
  <c r="H24" i="12"/>
  <c r="J24" i="12" s="1"/>
  <c r="C114" i="13"/>
  <c r="H116" i="12"/>
  <c r="K116" i="12" s="1"/>
  <c r="L116" i="12" s="1"/>
  <c r="M116" i="12" s="1"/>
  <c r="H49" i="12"/>
  <c r="K49" i="12" s="1"/>
  <c r="L49" i="12" s="1"/>
  <c r="M49" i="12" s="1"/>
  <c r="N106" i="12"/>
  <c r="N98" i="12"/>
  <c r="N40" i="12"/>
  <c r="N101" i="12"/>
  <c r="N82" i="12"/>
  <c r="D159" i="13"/>
  <c r="F159" i="13" s="1"/>
  <c r="D171" i="13"/>
  <c r="F171" i="13" s="1"/>
  <c r="D136" i="13"/>
  <c r="F136" i="13" s="1"/>
  <c r="D154" i="13"/>
  <c r="F154" i="13" s="1"/>
  <c r="N99" i="12"/>
  <c r="D141" i="13"/>
  <c r="F141" i="13" s="1"/>
  <c r="H36" i="12"/>
  <c r="K36" i="12" s="1"/>
  <c r="L36" i="12" s="1"/>
  <c r="M36" i="12" s="1"/>
  <c r="N115" i="12"/>
  <c r="D205" i="13"/>
  <c r="F205" i="13" s="1"/>
  <c r="N46" i="12"/>
  <c r="H99" i="12"/>
  <c r="K99" i="12" s="1"/>
  <c r="L99" i="12" s="1"/>
  <c r="M99" i="12" s="1"/>
  <c r="D172" i="13"/>
  <c r="F172" i="13" s="1"/>
  <c r="D189" i="13"/>
  <c r="F189" i="13" s="1"/>
  <c r="H82" i="12"/>
  <c r="K82" i="12" s="1"/>
  <c r="L82" i="12" s="1"/>
  <c r="M82" i="12" s="1"/>
  <c r="H46" i="12"/>
  <c r="K46" i="12" s="1"/>
  <c r="L46" i="12" s="1"/>
  <c r="M46" i="12" s="1"/>
  <c r="H81" i="12"/>
  <c r="K81" i="12" s="1"/>
  <c r="L81" i="12" s="1"/>
  <c r="M81" i="12" s="1"/>
  <c r="N81" i="12"/>
  <c r="N64" i="12"/>
  <c r="N69" i="12"/>
  <c r="AB25" i="10"/>
  <c r="W25" i="10"/>
  <c r="H110" i="12"/>
  <c r="K110" i="12" s="1"/>
  <c r="L110" i="12" s="1"/>
  <c r="M110" i="12" s="1"/>
  <c r="N110" i="12"/>
  <c r="D144" i="13"/>
  <c r="F144" i="13" s="1"/>
  <c r="D190" i="13"/>
  <c r="F190" i="13" s="1"/>
  <c r="N100" i="12"/>
  <c r="D184" i="13"/>
  <c r="F184" i="13" s="1"/>
  <c r="D180" i="13"/>
  <c r="F180" i="13" s="1"/>
  <c r="H44" i="12"/>
  <c r="K44" i="12" s="1"/>
  <c r="L44" i="12" s="1"/>
  <c r="M44" i="12" s="1"/>
  <c r="D206" i="13"/>
  <c r="F206" i="13" s="1"/>
  <c r="H69" i="12"/>
  <c r="K69" i="12" s="1"/>
  <c r="L69" i="12" s="1"/>
  <c r="M69" i="12" s="1"/>
  <c r="S23" i="12"/>
  <c r="H62" i="12"/>
  <c r="K62" i="12" s="1"/>
  <c r="L62" i="12" s="1"/>
  <c r="M62" i="12" s="1"/>
  <c r="N116" i="12"/>
  <c r="N88" i="12"/>
  <c r="D174" i="13"/>
  <c r="F174" i="13" s="1"/>
  <c r="D188" i="13"/>
  <c r="F188" i="13" s="1"/>
  <c r="D191" i="13"/>
  <c r="F191" i="13" s="1"/>
  <c r="D130" i="13"/>
  <c r="F130" i="13" s="1"/>
  <c r="H40" i="12"/>
  <c r="K40" i="12" s="1"/>
  <c r="L40" i="12" s="1"/>
  <c r="M40" i="12" s="1"/>
  <c r="H106" i="12"/>
  <c r="K106" i="12" s="1"/>
  <c r="L106" i="12" s="1"/>
  <c r="M106" i="12" s="1"/>
  <c r="H101" i="12"/>
  <c r="K101" i="12" s="1"/>
  <c r="L101" i="12" s="1"/>
  <c r="M101" i="12" s="1"/>
  <c r="K61" i="12"/>
  <c r="L61" i="12" s="1"/>
  <c r="M61" i="12" s="1"/>
  <c r="N59" i="12"/>
  <c r="D132" i="13"/>
  <c r="F132" i="13" s="1"/>
  <c r="D208" i="13"/>
  <c r="F208" i="13" s="1"/>
  <c r="H114" i="12"/>
  <c r="K114" i="12" s="1"/>
  <c r="L114" i="12" s="1"/>
  <c r="M114" i="12" s="1"/>
  <c r="H109" i="12"/>
  <c r="K109" i="12" s="1"/>
  <c r="L109" i="12" s="1"/>
  <c r="M109" i="12" s="1"/>
  <c r="D199" i="13"/>
  <c r="F199" i="13" s="1"/>
  <c r="H52" i="12"/>
  <c r="K52" i="12" s="1"/>
  <c r="L52" i="12" s="1"/>
  <c r="M52" i="12" s="1"/>
  <c r="H84" i="12"/>
  <c r="K84" i="12" s="1"/>
  <c r="L84" i="12" s="1"/>
  <c r="M84" i="12" s="1"/>
  <c r="D152" i="13"/>
  <c r="F152" i="13" s="1"/>
  <c r="N24" i="12"/>
  <c r="H77" i="12"/>
  <c r="K77" i="12" s="1"/>
  <c r="L77" i="12" s="1"/>
  <c r="M77" i="12" s="1"/>
  <c r="H56" i="12"/>
  <c r="K56" i="12" s="1"/>
  <c r="L56" i="12" s="1"/>
  <c r="M56" i="12" s="1"/>
  <c r="N80" i="12"/>
  <c r="H54" i="12"/>
  <c r="K54" i="12" s="1"/>
  <c r="L54" i="12" s="1"/>
  <c r="M54" i="12" s="1"/>
  <c r="S22" i="12"/>
  <c r="T22" i="12" s="1"/>
  <c r="D114" i="13"/>
  <c r="F114" i="13" s="1"/>
  <c r="V24" i="12"/>
  <c r="H88" i="12"/>
  <c r="K88" i="12" s="1"/>
  <c r="L88" i="12" s="1"/>
  <c r="M88" i="12" s="1"/>
  <c r="N77" i="12"/>
  <c r="I23" i="12"/>
  <c r="H50" i="12"/>
  <c r="K50" i="12" s="1"/>
  <c r="L50" i="12" s="1"/>
  <c r="M50" i="12" s="1"/>
  <c r="D158" i="13"/>
  <c r="F158" i="13" s="1"/>
  <c r="N52" i="12"/>
  <c r="D149" i="13"/>
  <c r="F149" i="13" s="1"/>
  <c r="D115" i="13"/>
  <c r="F115" i="13" s="1"/>
  <c r="D146" i="13"/>
  <c r="F146" i="13" s="1"/>
  <c r="H118" i="12"/>
  <c r="K118" i="12" s="1"/>
  <c r="L118" i="12" s="1"/>
  <c r="M118" i="12" s="1"/>
  <c r="N114" i="12"/>
  <c r="N50" i="12"/>
  <c r="D126" i="13"/>
  <c r="F126" i="13" s="1"/>
  <c r="H25" i="12"/>
  <c r="K25" i="12" s="1"/>
  <c r="L25" i="12" s="1"/>
  <c r="M25" i="12" s="1"/>
  <c r="N31" i="12"/>
  <c r="H35" i="12"/>
  <c r="K35" i="12" s="1"/>
  <c r="L35" i="12" s="1"/>
  <c r="M35" i="12" s="1"/>
  <c r="H92" i="12"/>
  <c r="K92" i="12" s="1"/>
  <c r="L92" i="12" s="1"/>
  <c r="M92" i="12" s="1"/>
  <c r="H42" i="12"/>
  <c r="K42" i="12" s="1"/>
  <c r="L42" i="12" s="1"/>
  <c r="M42" i="12" s="1"/>
  <c r="D116" i="13"/>
  <c r="F116" i="13" s="1"/>
  <c r="N26" i="12"/>
  <c r="N30" i="12"/>
  <c r="N37" i="12"/>
  <c r="H29" i="12"/>
  <c r="K29" i="12" s="1"/>
  <c r="L29" i="12" s="1"/>
  <c r="M29" i="12" s="1"/>
  <c r="D185" i="13"/>
  <c r="F185" i="13" s="1"/>
  <c r="H95" i="12"/>
  <c r="K95" i="12" s="1"/>
  <c r="L95" i="12" s="1"/>
  <c r="M95" i="12" s="1"/>
  <c r="N35" i="12"/>
  <c r="H68" i="12"/>
  <c r="K68" i="12" s="1"/>
  <c r="L68" i="12" s="1"/>
  <c r="M68" i="12" s="1"/>
  <c r="H30" i="12"/>
  <c r="K30" i="12" s="1"/>
  <c r="L30" i="12" s="1"/>
  <c r="M30" i="12" s="1"/>
  <c r="H31" i="12"/>
  <c r="K31" i="12" s="1"/>
  <c r="L31" i="12" s="1"/>
  <c r="M31" i="12" s="1"/>
  <c r="H39" i="12"/>
  <c r="K39" i="12" s="1"/>
  <c r="L39" i="12" s="1"/>
  <c r="M39" i="12" s="1"/>
  <c r="N53" i="12"/>
  <c r="D183" i="13"/>
  <c r="F183" i="13" s="1"/>
  <c r="H93" i="12"/>
  <c r="K93" i="12" s="1"/>
  <c r="L93" i="12" s="1"/>
  <c r="M93" i="12" s="1"/>
  <c r="N36" i="12"/>
  <c r="N29" i="12"/>
  <c r="D170" i="13"/>
  <c r="F170" i="13" s="1"/>
  <c r="H108" i="12"/>
  <c r="K108" i="12" s="1"/>
  <c r="L108" i="12" s="1"/>
  <c r="M108" i="12" s="1"/>
  <c r="N108" i="12"/>
  <c r="N43" i="12"/>
  <c r="N51" i="12"/>
  <c r="H51" i="12"/>
  <c r="K51" i="12" s="1"/>
  <c r="L51" i="12" s="1"/>
  <c r="M51" i="12" s="1"/>
  <c r="H45" i="12"/>
  <c r="K45" i="12" s="1"/>
  <c r="L45" i="12" s="1"/>
  <c r="M45" i="12" s="1"/>
  <c r="D129" i="13"/>
  <c r="F129" i="13" s="1"/>
  <c r="N83" i="12"/>
  <c r="H63" i="12"/>
  <c r="K63" i="12" s="1"/>
  <c r="L63" i="12" s="1"/>
  <c r="M63" i="12" s="1"/>
  <c r="N63" i="12"/>
  <c r="H120" i="12"/>
  <c r="K120" i="12" s="1"/>
  <c r="L120" i="12" s="1"/>
  <c r="M120" i="12" s="1"/>
  <c r="N45" i="12"/>
  <c r="N44" i="12"/>
  <c r="H102" i="12"/>
  <c r="K102" i="12" s="1"/>
  <c r="L102" i="12" s="1"/>
  <c r="M102" i="12" s="1"/>
  <c r="N90" i="12"/>
  <c r="H83" i="12"/>
  <c r="K83" i="12" s="1"/>
  <c r="L83" i="12" s="1"/>
  <c r="M83" i="12" s="1"/>
  <c r="D203" i="13"/>
  <c r="F203" i="13" s="1"/>
  <c r="H113" i="12"/>
  <c r="K113" i="12" s="1"/>
  <c r="L113" i="12" s="1"/>
  <c r="M113" i="12" s="1"/>
  <c r="N120" i="12"/>
  <c r="N102" i="12"/>
  <c r="H37" i="12"/>
  <c r="K37" i="12" s="1"/>
  <c r="L37" i="12" s="1"/>
  <c r="M37" i="12" s="1"/>
  <c r="D151" i="13"/>
  <c r="F151" i="13" s="1"/>
  <c r="N61" i="12"/>
  <c r="N27" i="12"/>
  <c r="D117" i="13"/>
  <c r="F117" i="13" s="1"/>
  <c r="H27" i="12"/>
  <c r="K27" i="12" s="1"/>
  <c r="L27" i="12" s="1"/>
  <c r="M27" i="12" s="1"/>
  <c r="H117" i="12"/>
  <c r="K117" i="12" s="1"/>
  <c r="L117" i="12" s="1"/>
  <c r="M117" i="12" s="1"/>
  <c r="D133" i="13"/>
  <c r="F133" i="13" s="1"/>
  <c r="D181" i="13"/>
  <c r="F181" i="13" s="1"/>
  <c r="N91" i="12"/>
  <c r="N66" i="12"/>
  <c r="H66" i="12"/>
  <c r="K66" i="12" s="1"/>
  <c r="L66" i="12" s="1"/>
  <c r="M66" i="12" s="1"/>
  <c r="D156" i="13"/>
  <c r="F156" i="13" s="1"/>
  <c r="N117" i="12"/>
  <c r="D157" i="13"/>
  <c r="F157" i="13" s="1"/>
  <c r="N67" i="12"/>
  <c r="H67" i="12"/>
  <c r="K67" i="12" s="1"/>
  <c r="L67" i="12" s="1"/>
  <c r="M67" i="12" s="1"/>
  <c r="D143" i="13"/>
  <c r="F143" i="13" s="1"/>
  <c r="H76" i="12"/>
  <c r="K76" i="12" s="1"/>
  <c r="L76" i="12" s="1"/>
  <c r="M76" i="12" s="1"/>
  <c r="D166" i="13"/>
  <c r="F166" i="13" s="1"/>
  <c r="N76" i="12"/>
  <c r="D196" i="13"/>
  <c r="F196" i="13" s="1"/>
  <c r="H98" i="12"/>
  <c r="K98" i="12" s="1"/>
  <c r="L98" i="12" s="1"/>
  <c r="M98" i="12" s="1"/>
  <c r="I24" i="12"/>
  <c r="P24" i="12"/>
  <c r="D179" i="13"/>
  <c r="F179" i="13" s="1"/>
  <c r="H89" i="12"/>
  <c r="K89" i="12" s="1"/>
  <c r="L89" i="12" s="1"/>
  <c r="M89" i="12" s="1"/>
  <c r="N103" i="12"/>
  <c r="H103" i="12"/>
  <c r="K103" i="12" s="1"/>
  <c r="L103" i="12" s="1"/>
  <c r="M103" i="12" s="1"/>
  <c r="D194" i="13"/>
  <c r="F194" i="13" s="1"/>
  <c r="N104" i="12"/>
  <c r="H87" i="12"/>
  <c r="K87" i="12" s="1"/>
  <c r="L87" i="12" s="1"/>
  <c r="M87" i="12" s="1"/>
  <c r="D177" i="13"/>
  <c r="F177" i="13" s="1"/>
  <c r="N87" i="12"/>
  <c r="N57" i="12"/>
  <c r="D147" i="13"/>
  <c r="F147" i="13" s="1"/>
  <c r="H58" i="12"/>
  <c r="K58" i="12" s="1"/>
  <c r="L58" i="12" s="1"/>
  <c r="M58" i="12" s="1"/>
  <c r="N58" i="12"/>
  <c r="D148" i="13"/>
  <c r="F148" i="13" s="1"/>
  <c r="H32" i="12"/>
  <c r="K32" i="12" s="1"/>
  <c r="L32" i="12" s="1"/>
  <c r="M32" i="12" s="1"/>
  <c r="D122" i="13"/>
  <c r="F122" i="13" s="1"/>
  <c r="N32" i="12"/>
  <c r="U24" i="12"/>
  <c r="X24" i="12"/>
  <c r="S24" i="12"/>
  <c r="B25" i="12"/>
  <c r="X25" i="12" s="1"/>
  <c r="E114" i="13"/>
  <c r="O24" i="12"/>
  <c r="B114" i="13" s="1"/>
  <c r="K65" i="12"/>
  <c r="L65" i="12" s="1"/>
  <c r="M65" i="12" s="1"/>
  <c r="N34" i="12"/>
  <c r="D124" i="13"/>
  <c r="F124" i="13" s="1"/>
  <c r="H34" i="12"/>
  <c r="D161" i="13"/>
  <c r="F161" i="13" s="1"/>
  <c r="N71" i="12"/>
  <c r="H71" i="12"/>
  <c r="D160" i="13"/>
  <c r="F160" i="13" s="1"/>
  <c r="H70" i="12"/>
  <c r="N70" i="12"/>
  <c r="N85" i="12"/>
  <c r="D175" i="13"/>
  <c r="F175" i="13" s="1"/>
  <c r="H85" i="12"/>
  <c r="D211" i="13"/>
  <c r="F211" i="13" s="1"/>
  <c r="N121" i="12"/>
  <c r="H121" i="12"/>
  <c r="D137" i="13"/>
  <c r="F137" i="13" s="1"/>
  <c r="H47" i="12"/>
  <c r="N47" i="12"/>
  <c r="H105" i="12"/>
  <c r="D195" i="13"/>
  <c r="F195" i="13" s="1"/>
  <c r="N105" i="12"/>
  <c r="H96" i="12"/>
  <c r="N96" i="12"/>
  <c r="D186" i="13"/>
  <c r="F186" i="13" s="1"/>
  <c r="O22" i="12"/>
  <c r="H22" i="12"/>
  <c r="P22" i="12"/>
  <c r="R22" i="12" s="1"/>
  <c r="D112" i="13"/>
  <c r="F112" i="13" s="1"/>
  <c r="V22" i="12"/>
  <c r="N22" i="12"/>
  <c r="D187" i="13"/>
  <c r="F187" i="13" s="1"/>
  <c r="N97" i="12"/>
  <c r="H97" i="12"/>
  <c r="N119" i="12"/>
  <c r="H119" i="12"/>
  <c r="D209" i="13"/>
  <c r="F209" i="13" s="1"/>
  <c r="N74" i="12"/>
  <c r="H74" i="12"/>
  <c r="D164" i="13"/>
  <c r="F164" i="13" s="1"/>
  <c r="N72" i="12"/>
  <c r="H72" i="12"/>
  <c r="D162" i="13"/>
  <c r="F162" i="13" s="1"/>
  <c r="D163" i="13"/>
  <c r="F163" i="13" s="1"/>
  <c r="N73" i="12"/>
  <c r="H73" i="12"/>
  <c r="D202" i="13"/>
  <c r="F202" i="13" s="1"/>
  <c r="H112" i="12"/>
  <c r="N112" i="12"/>
  <c r="H60" i="12"/>
  <c r="N60" i="12"/>
  <c r="D150" i="13"/>
  <c r="F150" i="13" s="1"/>
  <c r="H86" i="12"/>
  <c r="D176" i="13"/>
  <c r="F176" i="13" s="1"/>
  <c r="N86" i="12"/>
  <c r="H107" i="12"/>
  <c r="D197" i="13"/>
  <c r="F197" i="13" s="1"/>
  <c r="N107" i="12"/>
  <c r="D145" i="13"/>
  <c r="F145" i="13" s="1"/>
  <c r="N55" i="12"/>
  <c r="H55" i="12"/>
  <c r="H111" i="12"/>
  <c r="N111" i="12"/>
  <c r="D201" i="13"/>
  <c r="F201" i="13" s="1"/>
  <c r="N75" i="12"/>
  <c r="H75" i="12"/>
  <c r="D165" i="13"/>
  <c r="F165" i="13" s="1"/>
  <c r="D138" i="13"/>
  <c r="F138" i="13" s="1"/>
  <c r="N48" i="12"/>
  <c r="H48" i="12"/>
  <c r="D123" i="13"/>
  <c r="F123" i="13" s="1"/>
  <c r="H33" i="12"/>
  <c r="N33" i="12"/>
  <c r="D169" i="13"/>
  <c r="F169" i="13" s="1"/>
  <c r="N79" i="12"/>
  <c r="H79" i="12"/>
  <c r="D131" i="13"/>
  <c r="F131" i="13" s="1"/>
  <c r="N41" i="12"/>
  <c r="H41" i="12"/>
  <c r="D128" i="13"/>
  <c r="F128" i="13" s="1"/>
  <c r="H38" i="12"/>
  <c r="N38" i="12"/>
  <c r="D113" i="13"/>
  <c r="F113" i="13" s="1"/>
  <c r="O23" i="12"/>
  <c r="B113" i="13" s="1"/>
  <c r="H23" i="12"/>
  <c r="V23" i="12"/>
  <c r="N23" i="12"/>
  <c r="P23" i="12"/>
  <c r="O27" i="10"/>
  <c r="B14" i="13" s="1"/>
  <c r="T26" i="10" l="1"/>
  <c r="Z27" i="10"/>
  <c r="G14" i="13"/>
  <c r="C14" i="13"/>
  <c r="P27" i="10"/>
  <c r="S27" i="10"/>
  <c r="J27" i="10"/>
  <c r="V26" i="10"/>
  <c r="V27" i="10" s="1"/>
  <c r="I27" i="10"/>
  <c r="B28" i="10"/>
  <c r="E15" i="13" s="1"/>
  <c r="H15" i="13" s="1"/>
  <c r="Q26" i="10"/>
  <c r="Q27" i="10" s="1"/>
  <c r="U26" i="10"/>
  <c r="R26" i="10"/>
  <c r="R27" i="10" s="1"/>
  <c r="AB26" i="10"/>
  <c r="X27" i="10"/>
  <c r="W27" i="10" s="1"/>
  <c r="K24" i="12"/>
  <c r="L24" i="12" s="1"/>
  <c r="M24" i="12" s="1"/>
  <c r="I14" i="13"/>
  <c r="C115" i="13"/>
  <c r="G112" i="13"/>
  <c r="H112" i="13"/>
  <c r="I112" i="13" s="1"/>
  <c r="H114" i="13"/>
  <c r="G15" i="13"/>
  <c r="G113" i="13"/>
  <c r="H113" i="13"/>
  <c r="G114" i="13"/>
  <c r="T23" i="12"/>
  <c r="T24" i="12" s="1"/>
  <c r="U25" i="12"/>
  <c r="B26" i="12"/>
  <c r="C116" i="13" s="1"/>
  <c r="E115" i="13"/>
  <c r="G115" i="13" s="1"/>
  <c r="O25" i="12"/>
  <c r="B115" i="13" s="1"/>
  <c r="I25" i="12"/>
  <c r="P25" i="12"/>
  <c r="V25" i="12"/>
  <c r="S25" i="12"/>
  <c r="J25" i="12"/>
  <c r="K85" i="12"/>
  <c r="L85" i="12" s="1"/>
  <c r="M85" i="12" s="1"/>
  <c r="K121" i="12"/>
  <c r="L121" i="12" s="1"/>
  <c r="M121" i="12" s="1"/>
  <c r="K70" i="12"/>
  <c r="L70" i="12" s="1"/>
  <c r="M70" i="12" s="1"/>
  <c r="K34" i="12"/>
  <c r="L34" i="12" s="1"/>
  <c r="M34" i="12" s="1"/>
  <c r="K71" i="12"/>
  <c r="L71" i="12" s="1"/>
  <c r="M71" i="12" s="1"/>
  <c r="K41" i="12"/>
  <c r="L41" i="12" s="1"/>
  <c r="M41" i="12" s="1"/>
  <c r="K48" i="12"/>
  <c r="L48" i="12" s="1"/>
  <c r="M48" i="12" s="1"/>
  <c r="K86" i="12"/>
  <c r="L86" i="12" s="1"/>
  <c r="M86" i="12" s="1"/>
  <c r="K73" i="12"/>
  <c r="L73" i="12" s="1"/>
  <c r="M73" i="12" s="1"/>
  <c r="R23" i="12"/>
  <c r="R24" i="12" s="1"/>
  <c r="K96" i="12"/>
  <c r="L96" i="12" s="1"/>
  <c r="M96" i="12" s="1"/>
  <c r="J23" i="12"/>
  <c r="K23" i="12"/>
  <c r="L23" i="12" s="1"/>
  <c r="M23" i="12" s="1"/>
  <c r="K55" i="12"/>
  <c r="L55" i="12" s="1"/>
  <c r="M55" i="12" s="1"/>
  <c r="K107" i="12"/>
  <c r="L107" i="12" s="1"/>
  <c r="M107" i="12" s="1"/>
  <c r="K112" i="12"/>
  <c r="L112" i="12" s="1"/>
  <c r="M112" i="12" s="1"/>
  <c r="K119" i="12"/>
  <c r="L119" i="12" s="1"/>
  <c r="M119" i="12" s="1"/>
  <c r="K97" i="12"/>
  <c r="L97" i="12" s="1"/>
  <c r="M97" i="12" s="1"/>
  <c r="K22" i="12"/>
  <c r="L22" i="12" s="1"/>
  <c r="M22" i="12" s="1"/>
  <c r="J22" i="12"/>
  <c r="K38" i="12"/>
  <c r="L38" i="12" s="1"/>
  <c r="M38" i="12" s="1"/>
  <c r="K33" i="12"/>
  <c r="L33" i="12" s="1"/>
  <c r="M33" i="12" s="1"/>
  <c r="K75" i="12"/>
  <c r="L75" i="12" s="1"/>
  <c r="M75" i="12" s="1"/>
  <c r="K74" i="12"/>
  <c r="L74" i="12" s="1"/>
  <c r="M74" i="12" s="1"/>
  <c r="B112" i="13"/>
  <c r="Q22" i="12"/>
  <c r="Q23" i="12" s="1"/>
  <c r="Q24" i="12" s="1"/>
  <c r="K79" i="12"/>
  <c r="L79" i="12" s="1"/>
  <c r="M79" i="12" s="1"/>
  <c r="K111" i="12"/>
  <c r="L111" i="12" s="1"/>
  <c r="M111" i="12" s="1"/>
  <c r="K60" i="12"/>
  <c r="L60" i="12" s="1"/>
  <c r="M60" i="12" s="1"/>
  <c r="K72" i="12"/>
  <c r="L72" i="12" s="1"/>
  <c r="M72" i="12" s="1"/>
  <c r="K105" i="12"/>
  <c r="L105" i="12" s="1"/>
  <c r="M105" i="12" s="1"/>
  <c r="K47" i="12"/>
  <c r="L47" i="12" s="1"/>
  <c r="M47" i="12" s="1"/>
  <c r="J28" i="10"/>
  <c r="C15" i="13" l="1"/>
  <c r="I28" i="10"/>
  <c r="O28" i="10"/>
  <c r="B15" i="13" s="1"/>
  <c r="T27" i="10"/>
  <c r="AB27" i="10"/>
  <c r="U27" i="10"/>
  <c r="X28" i="10"/>
  <c r="W28" i="10" s="1"/>
  <c r="B29" i="10"/>
  <c r="E16" i="13" s="1"/>
  <c r="H16" i="13" s="1"/>
  <c r="S28" i="10"/>
  <c r="Z28" i="10"/>
  <c r="P28" i="10"/>
  <c r="R28" i="10" s="1"/>
  <c r="Q25" i="12"/>
  <c r="I15" i="13"/>
  <c r="H115" i="13"/>
  <c r="I113" i="13"/>
  <c r="I114" i="13" s="1"/>
  <c r="T25" i="12"/>
  <c r="R25" i="12"/>
  <c r="B27" i="12"/>
  <c r="C117" i="13" s="1"/>
  <c r="E116" i="13"/>
  <c r="I26" i="12"/>
  <c r="S26" i="12"/>
  <c r="O26" i="12"/>
  <c r="B116" i="13" s="1"/>
  <c r="P26" i="12"/>
  <c r="V26" i="12"/>
  <c r="X26" i="12"/>
  <c r="J26" i="12"/>
  <c r="U26" i="12"/>
  <c r="V28" i="10"/>
  <c r="Q28" i="10"/>
  <c r="T28" i="10" l="1"/>
  <c r="AB28" i="10"/>
  <c r="U28" i="10"/>
  <c r="P29" i="10"/>
  <c r="R29" i="10" s="1"/>
  <c r="C16" i="13"/>
  <c r="Z29" i="10"/>
  <c r="J29" i="10"/>
  <c r="G16" i="13"/>
  <c r="O29" i="10"/>
  <c r="B16" i="13" s="1"/>
  <c r="I29" i="10"/>
  <c r="X29" i="10"/>
  <c r="W29" i="10" s="1"/>
  <c r="S29" i="10"/>
  <c r="B30" i="10"/>
  <c r="E17" i="13" s="1"/>
  <c r="G17" i="13" s="1"/>
  <c r="I16" i="13"/>
  <c r="G116" i="13"/>
  <c r="H116" i="13"/>
  <c r="I115" i="13"/>
  <c r="T26" i="12"/>
  <c r="R26" i="12"/>
  <c r="Q26" i="12"/>
  <c r="B28" i="12"/>
  <c r="C118" i="13" s="1"/>
  <c r="E117" i="13"/>
  <c r="V27" i="12"/>
  <c r="P27" i="12"/>
  <c r="O27" i="12"/>
  <c r="B117" i="13" s="1"/>
  <c r="S27" i="12"/>
  <c r="I27" i="12"/>
  <c r="J27" i="12"/>
  <c r="X27" i="12"/>
  <c r="U27" i="12"/>
  <c r="T29" i="10" l="1"/>
  <c r="AB29" i="10"/>
  <c r="U29" i="10"/>
  <c r="J30" i="10"/>
  <c r="B31" i="10"/>
  <c r="E18" i="13" s="1"/>
  <c r="G18" i="13" s="1"/>
  <c r="V29" i="10"/>
  <c r="I30" i="10"/>
  <c r="O30" i="10"/>
  <c r="B17" i="13" s="1"/>
  <c r="H17" i="13"/>
  <c r="I17" i="13" s="1"/>
  <c r="S30" i="10"/>
  <c r="Z30" i="10"/>
  <c r="P30" i="10"/>
  <c r="R30" i="10" s="1"/>
  <c r="Q29" i="10"/>
  <c r="X30" i="10"/>
  <c r="C17" i="13"/>
  <c r="I116" i="13"/>
  <c r="G117" i="13"/>
  <c r="H117" i="13"/>
  <c r="T27" i="12"/>
  <c r="R27" i="12"/>
  <c r="B29" i="12"/>
  <c r="C119" i="13" s="1"/>
  <c r="E118" i="13"/>
  <c r="I28" i="12"/>
  <c r="V28" i="12"/>
  <c r="S28" i="12"/>
  <c r="P28" i="12"/>
  <c r="O28" i="12"/>
  <c r="B118" i="13" s="1"/>
  <c r="X28" i="12"/>
  <c r="J28" i="12"/>
  <c r="Q27" i="12"/>
  <c r="U28" i="12"/>
  <c r="O31" i="10"/>
  <c r="B18" i="13" s="1"/>
  <c r="I31" i="10"/>
  <c r="W30" i="10"/>
  <c r="T30" i="10" l="1"/>
  <c r="AB30" i="10"/>
  <c r="U30" i="10"/>
  <c r="Q30" i="10"/>
  <c r="Q31" i="10" s="1"/>
  <c r="B32" i="10"/>
  <c r="E19" i="13" s="1"/>
  <c r="H19" i="13" s="1"/>
  <c r="X31" i="10"/>
  <c r="W31" i="10" s="1"/>
  <c r="H18" i="13"/>
  <c r="I18" i="13" s="1"/>
  <c r="J31" i="10"/>
  <c r="Z31" i="10"/>
  <c r="C18" i="13"/>
  <c r="S31" i="10"/>
  <c r="P31" i="10"/>
  <c r="R31" i="10" s="1"/>
  <c r="V30" i="10"/>
  <c r="V31" i="10" s="1"/>
  <c r="I117" i="13"/>
  <c r="G118" i="13"/>
  <c r="H118" i="13"/>
  <c r="T28" i="12"/>
  <c r="R28" i="12"/>
  <c r="Q28" i="12"/>
  <c r="U29" i="12"/>
  <c r="B30" i="12"/>
  <c r="C120" i="13" s="1"/>
  <c r="E119" i="13"/>
  <c r="V29" i="12"/>
  <c r="O29" i="12"/>
  <c r="B119" i="13" s="1"/>
  <c r="P29" i="12"/>
  <c r="S29" i="12"/>
  <c r="J29" i="12"/>
  <c r="I29" i="12"/>
  <c r="X29" i="12"/>
  <c r="C19" i="13"/>
  <c r="J32" i="10"/>
  <c r="S32" i="10"/>
  <c r="P32" i="10" l="1"/>
  <c r="B33" i="10"/>
  <c r="E20" i="13" s="1"/>
  <c r="H20" i="13" s="1"/>
  <c r="T31" i="10"/>
  <c r="T32" i="10" s="1"/>
  <c r="I32" i="10"/>
  <c r="X32" i="10"/>
  <c r="W32" i="10" s="1"/>
  <c r="AB31" i="10"/>
  <c r="Z32" i="10"/>
  <c r="O32" i="10"/>
  <c r="B19" i="13" s="1"/>
  <c r="U31" i="10"/>
  <c r="U32" i="10" s="1"/>
  <c r="G19" i="13"/>
  <c r="I19" i="13"/>
  <c r="I118" i="13"/>
  <c r="R32" i="10"/>
  <c r="G20" i="13"/>
  <c r="G119" i="13"/>
  <c r="H119" i="13"/>
  <c r="T29" i="12"/>
  <c r="R29" i="12"/>
  <c r="Q29" i="12"/>
  <c r="U30" i="12"/>
  <c r="B31" i="12"/>
  <c r="C121" i="13" s="1"/>
  <c r="E120" i="13"/>
  <c r="S30" i="12"/>
  <c r="V30" i="12"/>
  <c r="P30" i="12"/>
  <c r="O30" i="12"/>
  <c r="B120" i="13" s="1"/>
  <c r="I30" i="12"/>
  <c r="J30" i="12"/>
  <c r="X30" i="12"/>
  <c r="S33" i="10"/>
  <c r="O33" i="10"/>
  <c r="B20" i="13" s="1"/>
  <c r="C20" i="13"/>
  <c r="P33" i="10"/>
  <c r="J33" i="10"/>
  <c r="Z33" i="10"/>
  <c r="X33" i="10" l="1"/>
  <c r="I33" i="10"/>
  <c r="B34" i="10"/>
  <c r="E21" i="13" s="1"/>
  <c r="AB32" i="10"/>
  <c r="AB33" i="10" s="1"/>
  <c r="V32" i="10"/>
  <c r="V33" i="10" s="1"/>
  <c r="Q32" i="10"/>
  <c r="Q33" i="10" s="1"/>
  <c r="R33" i="10"/>
  <c r="I20" i="13"/>
  <c r="I119" i="13"/>
  <c r="G21" i="13"/>
  <c r="H21" i="13"/>
  <c r="G120" i="13"/>
  <c r="H120" i="13"/>
  <c r="R30" i="12"/>
  <c r="T30" i="12"/>
  <c r="T33" i="10"/>
  <c r="U31" i="12"/>
  <c r="B32" i="12"/>
  <c r="C122" i="13" s="1"/>
  <c r="E121" i="13"/>
  <c r="O31" i="12"/>
  <c r="B121" i="13" s="1"/>
  <c r="P31" i="12"/>
  <c r="V31" i="12"/>
  <c r="S31" i="12"/>
  <c r="J31" i="12"/>
  <c r="I31" i="12"/>
  <c r="X31" i="12"/>
  <c r="Q30" i="12"/>
  <c r="U33" i="10"/>
  <c r="B35" i="10"/>
  <c r="E22" i="13" s="1"/>
  <c r="C21" i="13"/>
  <c r="P34" i="10"/>
  <c r="O34" i="10"/>
  <c r="B21" i="13" s="1"/>
  <c r="S34" i="10"/>
  <c r="J34" i="10"/>
  <c r="I34" i="10"/>
  <c r="Z34" i="10"/>
  <c r="X34" i="10"/>
  <c r="W33" i="10"/>
  <c r="R31" i="12" l="1"/>
  <c r="I21" i="13"/>
  <c r="R34" i="10"/>
  <c r="I120" i="13"/>
  <c r="AB34" i="10"/>
  <c r="G22" i="13"/>
  <c r="H22" i="13"/>
  <c r="G121" i="13"/>
  <c r="H121" i="13"/>
  <c r="T31" i="12"/>
  <c r="T34" i="10"/>
  <c r="Q31" i="12"/>
  <c r="U32" i="12"/>
  <c r="B33" i="12"/>
  <c r="C123" i="13" s="1"/>
  <c r="E122" i="13"/>
  <c r="O32" i="12"/>
  <c r="B122" i="13" s="1"/>
  <c r="V32" i="12"/>
  <c r="P32" i="12"/>
  <c r="R32" i="12" s="1"/>
  <c r="S32" i="12"/>
  <c r="J32" i="12"/>
  <c r="I32" i="12"/>
  <c r="X32" i="12"/>
  <c r="V34" i="10"/>
  <c r="Q34" i="10"/>
  <c r="U34" i="10"/>
  <c r="X35" i="10"/>
  <c r="W34" i="10"/>
  <c r="B36" i="10"/>
  <c r="E23" i="13" s="1"/>
  <c r="C22" i="13"/>
  <c r="P35" i="10"/>
  <c r="O35" i="10"/>
  <c r="B22" i="13" s="1"/>
  <c r="J35" i="10"/>
  <c r="I35" i="10"/>
  <c r="S35" i="10"/>
  <c r="Z35" i="10"/>
  <c r="I22" i="13" l="1"/>
  <c r="AB35" i="10"/>
  <c r="R35" i="10"/>
  <c r="I121" i="13"/>
  <c r="G122" i="13"/>
  <c r="H122" i="13"/>
  <c r="G23" i="13"/>
  <c r="H23" i="13"/>
  <c r="T32" i="12"/>
  <c r="T35" i="10"/>
  <c r="U33" i="12"/>
  <c r="Q32" i="12"/>
  <c r="B34" i="12"/>
  <c r="C124" i="13" s="1"/>
  <c r="E123" i="13"/>
  <c r="S33" i="12"/>
  <c r="I33" i="12"/>
  <c r="O33" i="12"/>
  <c r="B123" i="13" s="1"/>
  <c r="P33" i="12"/>
  <c r="R33" i="12" s="1"/>
  <c r="X33" i="12"/>
  <c r="V33" i="12"/>
  <c r="J33" i="12"/>
  <c r="V35" i="10"/>
  <c r="U35" i="10"/>
  <c r="B37" i="10"/>
  <c r="E24" i="13" s="1"/>
  <c r="C23" i="13"/>
  <c r="O36" i="10"/>
  <c r="B23" i="13" s="1"/>
  <c r="P36" i="10"/>
  <c r="S36" i="10"/>
  <c r="J36" i="10"/>
  <c r="I36" i="10"/>
  <c r="Z36" i="10"/>
  <c r="X36" i="10"/>
  <c r="W35" i="10"/>
  <c r="Q35" i="10"/>
  <c r="I23" i="13" l="1"/>
  <c r="AB36" i="10"/>
  <c r="R36" i="10"/>
  <c r="I122" i="13"/>
  <c r="G123" i="13"/>
  <c r="H123" i="13"/>
  <c r="G24" i="13"/>
  <c r="H24" i="13"/>
  <c r="T33" i="12"/>
  <c r="Q36" i="10"/>
  <c r="T36" i="10"/>
  <c r="Q33" i="12"/>
  <c r="U34" i="12"/>
  <c r="B35" i="12"/>
  <c r="C125" i="13" s="1"/>
  <c r="E124" i="13"/>
  <c r="S34" i="12"/>
  <c r="I34" i="12"/>
  <c r="X34" i="12"/>
  <c r="O34" i="12"/>
  <c r="B124" i="13" s="1"/>
  <c r="P34" i="12"/>
  <c r="R34" i="12" s="1"/>
  <c r="V34" i="12"/>
  <c r="J34" i="12"/>
  <c r="U36" i="10"/>
  <c r="B38" i="10"/>
  <c r="E25" i="13" s="1"/>
  <c r="O37" i="10"/>
  <c r="B24" i="13" s="1"/>
  <c r="C24" i="13"/>
  <c r="P37" i="10"/>
  <c r="S37" i="10"/>
  <c r="I37" i="10"/>
  <c r="J37" i="10"/>
  <c r="Z37" i="10"/>
  <c r="X37" i="10"/>
  <c r="W36" i="10"/>
  <c r="V36" i="10"/>
  <c r="I24" i="13" l="1"/>
  <c r="I123" i="13"/>
  <c r="AB37" i="10"/>
  <c r="R37" i="10"/>
  <c r="G25" i="13"/>
  <c r="H25" i="13"/>
  <c r="G124" i="13"/>
  <c r="H124" i="13"/>
  <c r="T34" i="12"/>
  <c r="T37" i="10"/>
  <c r="B36" i="12"/>
  <c r="C126" i="13" s="1"/>
  <c r="E125" i="13"/>
  <c r="I35" i="12"/>
  <c r="S35" i="12"/>
  <c r="O35" i="12"/>
  <c r="B125" i="13" s="1"/>
  <c r="P35" i="12"/>
  <c r="R35" i="12" s="1"/>
  <c r="X35" i="12"/>
  <c r="V35" i="12"/>
  <c r="J35" i="12"/>
  <c r="U35" i="12"/>
  <c r="Q34" i="12"/>
  <c r="V37" i="10"/>
  <c r="B39" i="10"/>
  <c r="E26" i="13" s="1"/>
  <c r="O38" i="10"/>
  <c r="B25" i="13" s="1"/>
  <c r="C25" i="13"/>
  <c r="P38" i="10"/>
  <c r="I38" i="10"/>
  <c r="J38" i="10"/>
  <c r="S38" i="10"/>
  <c r="Z38" i="10"/>
  <c r="X38" i="10"/>
  <c r="W37" i="10"/>
  <c r="Q37" i="10"/>
  <c r="U37" i="10"/>
  <c r="I25" i="13" l="1"/>
  <c r="I124" i="13"/>
  <c r="AB38" i="10"/>
  <c r="R38" i="10"/>
  <c r="G26" i="13"/>
  <c r="H26" i="13"/>
  <c r="G125" i="13"/>
  <c r="H125" i="13"/>
  <c r="T35" i="12"/>
  <c r="T38" i="10"/>
  <c r="U36" i="12"/>
  <c r="Q35" i="12"/>
  <c r="B37" i="12"/>
  <c r="C127" i="13" s="1"/>
  <c r="E126" i="13"/>
  <c r="V36" i="12"/>
  <c r="P36" i="12"/>
  <c r="R36" i="12" s="1"/>
  <c r="O36" i="12"/>
  <c r="B126" i="13" s="1"/>
  <c r="S36" i="12"/>
  <c r="I36" i="12"/>
  <c r="J36" i="12"/>
  <c r="X36" i="12"/>
  <c r="B40" i="10"/>
  <c r="E27" i="13" s="1"/>
  <c r="C26" i="13"/>
  <c r="P39" i="10"/>
  <c r="O39" i="10"/>
  <c r="B26" i="13" s="1"/>
  <c r="S39" i="10"/>
  <c r="J39" i="10"/>
  <c r="I39" i="10"/>
  <c r="Z39" i="10"/>
  <c r="X39" i="10"/>
  <c r="W38" i="10"/>
  <c r="U38" i="10"/>
  <c r="Q38" i="10"/>
  <c r="V38" i="10"/>
  <c r="AB39" i="10" l="1"/>
  <c r="I125" i="13"/>
  <c r="R39" i="10"/>
  <c r="I26" i="13"/>
  <c r="T36" i="12"/>
  <c r="G27" i="13"/>
  <c r="H27" i="13"/>
  <c r="G126" i="13"/>
  <c r="H126" i="13"/>
  <c r="T39" i="10"/>
  <c r="Q36" i="12"/>
  <c r="B38" i="12"/>
  <c r="C128" i="13" s="1"/>
  <c r="E127" i="13"/>
  <c r="P37" i="12"/>
  <c r="R37" i="12" s="1"/>
  <c r="V37" i="12"/>
  <c r="O37" i="12"/>
  <c r="B127" i="13" s="1"/>
  <c r="I37" i="12"/>
  <c r="J37" i="12"/>
  <c r="S37" i="12"/>
  <c r="X37" i="12"/>
  <c r="U37" i="12"/>
  <c r="Q39" i="10"/>
  <c r="V39" i="10"/>
  <c r="U39" i="10"/>
  <c r="B41" i="10"/>
  <c r="E28" i="13" s="1"/>
  <c r="P40" i="10"/>
  <c r="C27" i="13"/>
  <c r="O40" i="10"/>
  <c r="B27" i="13" s="1"/>
  <c r="S40" i="10"/>
  <c r="I40" i="10"/>
  <c r="J40" i="10"/>
  <c r="Z40" i="10"/>
  <c r="AB40" i="10" s="1"/>
  <c r="X40" i="10"/>
  <c r="W39" i="10"/>
  <c r="R40" i="10" l="1"/>
  <c r="I126" i="13"/>
  <c r="I27" i="13"/>
  <c r="T37" i="12"/>
  <c r="T40" i="10"/>
  <c r="G28" i="13"/>
  <c r="H28" i="13"/>
  <c r="G127" i="13"/>
  <c r="H127" i="13"/>
  <c r="I127" i="13" s="1"/>
  <c r="B39" i="12"/>
  <c r="C129" i="13" s="1"/>
  <c r="E128" i="13"/>
  <c r="I38" i="12"/>
  <c r="S38" i="12"/>
  <c r="O38" i="12"/>
  <c r="B128" i="13" s="1"/>
  <c r="X38" i="12"/>
  <c r="P38" i="12"/>
  <c r="R38" i="12" s="1"/>
  <c r="V38" i="12"/>
  <c r="J38" i="12"/>
  <c r="Q37" i="12"/>
  <c r="U38" i="12"/>
  <c r="V40" i="10"/>
  <c r="X41" i="10"/>
  <c r="W40" i="10"/>
  <c r="B42" i="10"/>
  <c r="E29" i="13" s="1"/>
  <c r="C28" i="13"/>
  <c r="P41" i="10"/>
  <c r="R41" i="10" s="1"/>
  <c r="S41" i="10"/>
  <c r="I41" i="10"/>
  <c r="O41" i="10"/>
  <c r="B28" i="13" s="1"/>
  <c r="Z41" i="10"/>
  <c r="AB41" i="10" s="1"/>
  <c r="J41" i="10"/>
  <c r="Q40" i="10"/>
  <c r="U40" i="10"/>
  <c r="I28" i="13" l="1"/>
  <c r="T38" i="12"/>
  <c r="G29" i="13"/>
  <c r="H29" i="13"/>
  <c r="T41" i="10"/>
  <c r="G128" i="13"/>
  <c r="H128" i="13"/>
  <c r="I128" i="13" s="1"/>
  <c r="U39" i="12"/>
  <c r="B40" i="12"/>
  <c r="C130" i="13" s="1"/>
  <c r="E129" i="13"/>
  <c r="V39" i="12"/>
  <c r="P39" i="12"/>
  <c r="R39" i="12" s="1"/>
  <c r="O39" i="12"/>
  <c r="B129" i="13" s="1"/>
  <c r="S39" i="12"/>
  <c r="I39" i="12"/>
  <c r="X39" i="12"/>
  <c r="J39" i="12"/>
  <c r="Q38" i="12"/>
  <c r="U41" i="10"/>
  <c r="Q41" i="10"/>
  <c r="B43" i="10"/>
  <c r="E30" i="13" s="1"/>
  <c r="O42" i="10"/>
  <c r="B29" i="13" s="1"/>
  <c r="C29" i="13"/>
  <c r="P42" i="10"/>
  <c r="R42" i="10" s="1"/>
  <c r="J42" i="10"/>
  <c r="S42" i="10"/>
  <c r="I42" i="10"/>
  <c r="Z42" i="10"/>
  <c r="AB42" i="10" s="1"/>
  <c r="V41" i="10"/>
  <c r="X42" i="10"/>
  <c r="W41" i="10"/>
  <c r="I29" i="13" l="1"/>
  <c r="T39" i="12"/>
  <c r="T42" i="10"/>
  <c r="G129" i="13"/>
  <c r="H129" i="13"/>
  <c r="I129" i="13" s="1"/>
  <c r="G30" i="13"/>
  <c r="H30" i="13"/>
  <c r="U40" i="12"/>
  <c r="Q39" i="12"/>
  <c r="B41" i="12"/>
  <c r="C131" i="13" s="1"/>
  <c r="E130" i="13"/>
  <c r="P40" i="12"/>
  <c r="R40" i="12" s="1"/>
  <c r="O40" i="12"/>
  <c r="B130" i="13" s="1"/>
  <c r="V40" i="12"/>
  <c r="I40" i="12"/>
  <c r="J40" i="12"/>
  <c r="S40" i="12"/>
  <c r="X40" i="12"/>
  <c r="V42" i="10"/>
  <c r="B44" i="10"/>
  <c r="E31" i="13" s="1"/>
  <c r="C30" i="13"/>
  <c r="P43" i="10"/>
  <c r="R43" i="10" s="1"/>
  <c r="O43" i="10"/>
  <c r="B30" i="13" s="1"/>
  <c r="I43" i="10"/>
  <c r="J43" i="10"/>
  <c r="S43" i="10"/>
  <c r="Z43" i="10"/>
  <c r="AB43" i="10" s="1"/>
  <c r="Q42" i="10"/>
  <c r="X43" i="10"/>
  <c r="W42" i="10"/>
  <c r="U42" i="10"/>
  <c r="I30" i="13" l="1"/>
  <c r="T40" i="12"/>
  <c r="T43" i="10"/>
  <c r="G31" i="13"/>
  <c r="H31" i="13"/>
  <c r="I31" i="13" s="1"/>
  <c r="G130" i="13"/>
  <c r="H130" i="13"/>
  <c r="I130" i="13" s="1"/>
  <c r="U41" i="12"/>
  <c r="B42" i="12"/>
  <c r="C132" i="13" s="1"/>
  <c r="E131" i="13"/>
  <c r="I41" i="12"/>
  <c r="S41" i="12"/>
  <c r="O41" i="12"/>
  <c r="B131" i="13" s="1"/>
  <c r="X41" i="12"/>
  <c r="P41" i="12"/>
  <c r="R41" i="12" s="1"/>
  <c r="V41" i="12"/>
  <c r="J41" i="12"/>
  <c r="Q40" i="12"/>
  <c r="X44" i="10"/>
  <c r="W43" i="10"/>
  <c r="U43" i="10"/>
  <c r="B45" i="10"/>
  <c r="E32" i="13" s="1"/>
  <c r="O44" i="10"/>
  <c r="B31" i="13" s="1"/>
  <c r="P44" i="10"/>
  <c r="R44" i="10" s="1"/>
  <c r="C31" i="13"/>
  <c r="J44" i="10"/>
  <c r="S44" i="10"/>
  <c r="I44" i="10"/>
  <c r="Z44" i="10"/>
  <c r="AB44" i="10" s="1"/>
  <c r="Q43" i="10"/>
  <c r="V43" i="10"/>
  <c r="T41" i="12" l="1"/>
  <c r="T44" i="10"/>
  <c r="G32" i="13"/>
  <c r="H32" i="13"/>
  <c r="I32" i="13" s="1"/>
  <c r="G131" i="13"/>
  <c r="H131" i="13"/>
  <c r="I131" i="13" s="1"/>
  <c r="V44" i="10"/>
  <c r="Q41" i="12"/>
  <c r="B43" i="12"/>
  <c r="C133" i="13" s="1"/>
  <c r="E132" i="13"/>
  <c r="P42" i="12"/>
  <c r="R42" i="12" s="1"/>
  <c r="V42" i="12"/>
  <c r="O42" i="12"/>
  <c r="B132" i="13" s="1"/>
  <c r="I42" i="12"/>
  <c r="S42" i="12"/>
  <c r="X42" i="12"/>
  <c r="J42" i="12"/>
  <c r="U42" i="12"/>
  <c r="Q44" i="10"/>
  <c r="B46" i="10"/>
  <c r="E33" i="13" s="1"/>
  <c r="P45" i="10"/>
  <c r="R45" i="10" s="1"/>
  <c r="S45" i="10"/>
  <c r="O45" i="10"/>
  <c r="B32" i="13" s="1"/>
  <c r="C32" i="13"/>
  <c r="I45" i="10"/>
  <c r="Z45" i="10"/>
  <c r="AB45" i="10" s="1"/>
  <c r="J45" i="10"/>
  <c r="X45" i="10"/>
  <c r="W44" i="10"/>
  <c r="U44" i="10"/>
  <c r="T42" i="12" l="1"/>
  <c r="T45" i="10"/>
  <c r="G33" i="13"/>
  <c r="H33" i="13"/>
  <c r="I33" i="13" s="1"/>
  <c r="G132" i="13"/>
  <c r="H132" i="13"/>
  <c r="I132" i="13" s="1"/>
  <c r="U45" i="10"/>
  <c r="U43" i="12"/>
  <c r="B44" i="12"/>
  <c r="C134" i="13" s="1"/>
  <c r="E133" i="13"/>
  <c r="V43" i="12"/>
  <c r="P43" i="12"/>
  <c r="R43" i="12" s="1"/>
  <c r="O43" i="12"/>
  <c r="B133" i="13" s="1"/>
  <c r="I43" i="12"/>
  <c r="S43" i="12"/>
  <c r="J43" i="12"/>
  <c r="X43" i="12"/>
  <c r="Q42" i="12"/>
  <c r="V45" i="10"/>
  <c r="Q45" i="10"/>
  <c r="B47" i="10"/>
  <c r="E34" i="13" s="1"/>
  <c r="C33" i="13"/>
  <c r="P46" i="10"/>
  <c r="R46" i="10" s="1"/>
  <c r="O46" i="10"/>
  <c r="B33" i="13" s="1"/>
  <c r="S46" i="10"/>
  <c r="I46" i="10"/>
  <c r="J46" i="10"/>
  <c r="Z46" i="10"/>
  <c r="AB46" i="10" s="1"/>
  <c r="X46" i="10"/>
  <c r="W45" i="10"/>
  <c r="T46" i="10" l="1"/>
  <c r="T43" i="12"/>
  <c r="G133" i="13"/>
  <c r="H133" i="13"/>
  <c r="I133" i="13" s="1"/>
  <c r="G34" i="13"/>
  <c r="H34" i="13"/>
  <c r="I34" i="13" s="1"/>
  <c r="Q43" i="12"/>
  <c r="B45" i="12"/>
  <c r="C135" i="13" s="1"/>
  <c r="E134" i="13"/>
  <c r="O44" i="12"/>
  <c r="B134" i="13" s="1"/>
  <c r="V44" i="12"/>
  <c r="P44" i="12"/>
  <c r="R44" i="12" s="1"/>
  <c r="S44" i="12"/>
  <c r="J44" i="12"/>
  <c r="I44" i="12"/>
  <c r="X44" i="12"/>
  <c r="U44" i="12"/>
  <c r="U46" i="10"/>
  <c r="Q46" i="10"/>
  <c r="B48" i="10"/>
  <c r="E35" i="13" s="1"/>
  <c r="C34" i="13"/>
  <c r="O47" i="10"/>
  <c r="B34" i="13" s="1"/>
  <c r="P47" i="10"/>
  <c r="R47" i="10" s="1"/>
  <c r="I47" i="10"/>
  <c r="S47" i="10"/>
  <c r="T47" i="10" s="1"/>
  <c r="J47" i="10"/>
  <c r="Z47" i="10"/>
  <c r="AB47" i="10" s="1"/>
  <c r="X47" i="10"/>
  <c r="W46" i="10"/>
  <c r="V46" i="10"/>
  <c r="T44" i="12" l="1"/>
  <c r="V47" i="10"/>
  <c r="G35" i="13"/>
  <c r="H35" i="13"/>
  <c r="I35" i="13" s="1"/>
  <c r="G134" i="13"/>
  <c r="H134" i="13"/>
  <c r="I134" i="13" s="1"/>
  <c r="Q44" i="12"/>
  <c r="U45" i="12"/>
  <c r="B46" i="12"/>
  <c r="C136" i="13" s="1"/>
  <c r="E135" i="13"/>
  <c r="P45" i="12"/>
  <c r="R45" i="12" s="1"/>
  <c r="V45" i="12"/>
  <c r="O45" i="12"/>
  <c r="B135" i="13" s="1"/>
  <c r="S45" i="12"/>
  <c r="T45" i="12" s="1"/>
  <c r="I45" i="12"/>
  <c r="J45" i="12"/>
  <c r="X45" i="12"/>
  <c r="X48" i="10"/>
  <c r="W47" i="10"/>
  <c r="B49" i="10"/>
  <c r="E36" i="13" s="1"/>
  <c r="C35" i="13"/>
  <c r="P48" i="10"/>
  <c r="R48" i="10" s="1"/>
  <c r="O48" i="10"/>
  <c r="B35" i="13" s="1"/>
  <c r="S48" i="10"/>
  <c r="T48" i="10" s="1"/>
  <c r="J48" i="10"/>
  <c r="I48" i="10"/>
  <c r="Z48" i="10"/>
  <c r="AB48" i="10" s="1"/>
  <c r="Q47" i="10"/>
  <c r="U47" i="10"/>
  <c r="G36" i="13" l="1"/>
  <c r="H36" i="13"/>
  <c r="I36" i="13" s="1"/>
  <c r="G135" i="13"/>
  <c r="H135" i="13"/>
  <c r="I135" i="13" s="1"/>
  <c r="U46" i="12"/>
  <c r="B47" i="12"/>
  <c r="C137" i="13" s="1"/>
  <c r="E136" i="13"/>
  <c r="P46" i="12"/>
  <c r="R46" i="12" s="1"/>
  <c r="O46" i="12"/>
  <c r="B136" i="13" s="1"/>
  <c r="I46" i="12"/>
  <c r="V46" i="12"/>
  <c r="S46" i="12"/>
  <c r="T46" i="12" s="1"/>
  <c r="J46" i="12"/>
  <c r="X46" i="12"/>
  <c r="Q45" i="12"/>
  <c r="U48" i="10"/>
  <c r="B50" i="10"/>
  <c r="E37" i="13" s="1"/>
  <c r="I49" i="10"/>
  <c r="P49" i="10"/>
  <c r="R49" i="10" s="1"/>
  <c r="O49" i="10"/>
  <c r="B36" i="13" s="1"/>
  <c r="S49" i="10"/>
  <c r="T49" i="10" s="1"/>
  <c r="C36" i="13"/>
  <c r="J49" i="10"/>
  <c r="Z49" i="10"/>
  <c r="AB49" i="10" s="1"/>
  <c r="V48" i="10"/>
  <c r="X49" i="10"/>
  <c r="W48" i="10"/>
  <c r="Q48" i="10"/>
  <c r="G37" i="13" l="1"/>
  <c r="H37" i="13"/>
  <c r="I37" i="13" s="1"/>
  <c r="G136" i="13"/>
  <c r="H136" i="13"/>
  <c r="I136" i="13" s="1"/>
  <c r="U47" i="12"/>
  <c r="B48" i="12"/>
  <c r="C138" i="13" s="1"/>
  <c r="E137" i="13"/>
  <c r="I47" i="12"/>
  <c r="S47" i="12"/>
  <c r="T47" i="12" s="1"/>
  <c r="V47" i="12"/>
  <c r="O47" i="12"/>
  <c r="B137" i="13" s="1"/>
  <c r="X47" i="12"/>
  <c r="P47" i="12"/>
  <c r="R47" i="12" s="1"/>
  <c r="J47" i="12"/>
  <c r="Q46" i="12"/>
  <c r="U49" i="10"/>
  <c r="V49" i="10"/>
  <c r="B51" i="10"/>
  <c r="E38" i="13" s="1"/>
  <c r="C37" i="13"/>
  <c r="O50" i="10"/>
  <c r="B37" i="13" s="1"/>
  <c r="P50" i="10"/>
  <c r="R50" i="10" s="1"/>
  <c r="J50" i="10"/>
  <c r="S50" i="10"/>
  <c r="T50" i="10" s="1"/>
  <c r="I50" i="10"/>
  <c r="Z50" i="10"/>
  <c r="AB50" i="10" s="1"/>
  <c r="X50" i="10"/>
  <c r="W49" i="10"/>
  <c r="Q49" i="10"/>
  <c r="G38" i="13" l="1"/>
  <c r="H38" i="13"/>
  <c r="I38" i="13" s="1"/>
  <c r="G137" i="13"/>
  <c r="H137" i="13"/>
  <c r="I137" i="13" s="1"/>
  <c r="Q50" i="10"/>
  <c r="U48" i="12"/>
  <c r="B49" i="12"/>
  <c r="C139" i="13" s="1"/>
  <c r="E138" i="13"/>
  <c r="S48" i="12"/>
  <c r="T48" i="12" s="1"/>
  <c r="I48" i="12"/>
  <c r="X48" i="12"/>
  <c r="P48" i="12"/>
  <c r="R48" i="12" s="1"/>
  <c r="V48" i="12"/>
  <c r="O48" i="12"/>
  <c r="B138" i="13" s="1"/>
  <c r="J48" i="12"/>
  <c r="Q47" i="12"/>
  <c r="U50" i="10"/>
  <c r="B52" i="10"/>
  <c r="E39" i="13" s="1"/>
  <c r="P51" i="10"/>
  <c r="R51" i="10" s="1"/>
  <c r="O51" i="10"/>
  <c r="B38" i="13" s="1"/>
  <c r="C38" i="13"/>
  <c r="I51" i="10"/>
  <c r="S51" i="10"/>
  <c r="T51" i="10" s="1"/>
  <c r="J51" i="10"/>
  <c r="Z51" i="10"/>
  <c r="AB51" i="10" s="1"/>
  <c r="X51" i="10"/>
  <c r="W50" i="10"/>
  <c r="V50" i="10"/>
  <c r="G138" i="13" l="1"/>
  <c r="H138" i="13"/>
  <c r="I138" i="13" s="1"/>
  <c r="G39" i="13"/>
  <c r="H39" i="13"/>
  <c r="I39" i="13" s="1"/>
  <c r="V51" i="10"/>
  <c r="B50" i="12"/>
  <c r="C140" i="13" s="1"/>
  <c r="E139" i="13"/>
  <c r="O49" i="12"/>
  <c r="B139" i="13" s="1"/>
  <c r="V49" i="12"/>
  <c r="P49" i="12"/>
  <c r="R49" i="12" s="1"/>
  <c r="S49" i="12"/>
  <c r="T49" i="12" s="1"/>
  <c r="I49" i="12"/>
  <c r="J49" i="12"/>
  <c r="X49" i="12"/>
  <c r="U49" i="12"/>
  <c r="Q48" i="12"/>
  <c r="U51" i="10"/>
  <c r="Q51" i="10"/>
  <c r="B53" i="10"/>
  <c r="E40" i="13" s="1"/>
  <c r="C39" i="13"/>
  <c r="O52" i="10"/>
  <c r="B39" i="13" s="1"/>
  <c r="P52" i="10"/>
  <c r="R52" i="10" s="1"/>
  <c r="J52" i="10"/>
  <c r="S52" i="10"/>
  <c r="T52" i="10" s="1"/>
  <c r="I52" i="10"/>
  <c r="Z52" i="10"/>
  <c r="AB52" i="10" s="1"/>
  <c r="X52" i="10"/>
  <c r="W51" i="10"/>
  <c r="G40" i="13" l="1"/>
  <c r="H40" i="13"/>
  <c r="I40" i="13" s="1"/>
  <c r="G139" i="13"/>
  <c r="H139" i="13"/>
  <c r="I139" i="13" s="1"/>
  <c r="B51" i="12"/>
  <c r="C141" i="13" s="1"/>
  <c r="E140" i="13"/>
  <c r="P50" i="12"/>
  <c r="R50" i="12" s="1"/>
  <c r="O50" i="12"/>
  <c r="B140" i="13" s="1"/>
  <c r="V50" i="12"/>
  <c r="I50" i="12"/>
  <c r="J50" i="12"/>
  <c r="S50" i="12"/>
  <c r="T50" i="12" s="1"/>
  <c r="X50" i="12"/>
  <c r="U50" i="12"/>
  <c r="Q49" i="12"/>
  <c r="U52" i="10"/>
  <c r="B54" i="10"/>
  <c r="E41" i="13" s="1"/>
  <c r="C40" i="13"/>
  <c r="P53" i="10"/>
  <c r="R53" i="10" s="1"/>
  <c r="S53" i="10"/>
  <c r="T53" i="10" s="1"/>
  <c r="I53" i="10"/>
  <c r="O53" i="10"/>
  <c r="B40" i="13" s="1"/>
  <c r="J53" i="10"/>
  <c r="Z53" i="10"/>
  <c r="AB53" i="10" s="1"/>
  <c r="X53" i="10"/>
  <c r="W52" i="10"/>
  <c r="Q52" i="10"/>
  <c r="V52" i="10"/>
  <c r="G140" i="13" l="1"/>
  <c r="H140" i="13"/>
  <c r="I140" i="13" s="1"/>
  <c r="G41" i="13"/>
  <c r="H41" i="13"/>
  <c r="I41" i="13" s="1"/>
  <c r="U51" i="12"/>
  <c r="Q50" i="12"/>
  <c r="B52" i="12"/>
  <c r="C142" i="13" s="1"/>
  <c r="E141" i="13"/>
  <c r="V51" i="12"/>
  <c r="P51" i="12"/>
  <c r="R51" i="12" s="1"/>
  <c r="O51" i="12"/>
  <c r="B141" i="13" s="1"/>
  <c r="S51" i="12"/>
  <c r="T51" i="12" s="1"/>
  <c r="I51" i="12"/>
  <c r="J51" i="12"/>
  <c r="X51" i="12"/>
  <c r="V53" i="10"/>
  <c r="U53" i="10"/>
  <c r="B55" i="10"/>
  <c r="E42" i="13" s="1"/>
  <c r="O54" i="10"/>
  <c r="B41" i="13" s="1"/>
  <c r="C41" i="13"/>
  <c r="P54" i="10"/>
  <c r="R54" i="10" s="1"/>
  <c r="J54" i="10"/>
  <c r="S54" i="10"/>
  <c r="T54" i="10" s="1"/>
  <c r="I54" i="10"/>
  <c r="Z54" i="10"/>
  <c r="AB54" i="10" s="1"/>
  <c r="Q53" i="10"/>
  <c r="X54" i="10"/>
  <c r="W53" i="10"/>
  <c r="G42" i="13" l="1"/>
  <c r="H42" i="13"/>
  <c r="I42" i="13" s="1"/>
  <c r="G141" i="13"/>
  <c r="H141" i="13"/>
  <c r="I141" i="13" s="1"/>
  <c r="Q51" i="12"/>
  <c r="B53" i="12"/>
  <c r="C143" i="13" s="1"/>
  <c r="E142" i="13"/>
  <c r="P52" i="12"/>
  <c r="R52" i="12" s="1"/>
  <c r="S52" i="12"/>
  <c r="T52" i="12" s="1"/>
  <c r="O52" i="12"/>
  <c r="B142" i="13" s="1"/>
  <c r="V52" i="12"/>
  <c r="I52" i="12"/>
  <c r="X52" i="12"/>
  <c r="J52" i="12"/>
  <c r="U52" i="12"/>
  <c r="Q54" i="10"/>
  <c r="B56" i="10"/>
  <c r="E43" i="13" s="1"/>
  <c r="O55" i="10"/>
  <c r="B42" i="13" s="1"/>
  <c r="C42" i="13"/>
  <c r="P55" i="10"/>
  <c r="R55" i="10" s="1"/>
  <c r="J55" i="10"/>
  <c r="I55" i="10"/>
  <c r="S55" i="10"/>
  <c r="T55" i="10" s="1"/>
  <c r="Z55" i="10"/>
  <c r="AB55" i="10" s="1"/>
  <c r="U54" i="10"/>
  <c r="X55" i="10"/>
  <c r="W54" i="10"/>
  <c r="V54" i="10"/>
  <c r="G43" i="13" l="1"/>
  <c r="H43" i="13"/>
  <c r="I43" i="13" s="1"/>
  <c r="G142" i="13"/>
  <c r="H142" i="13"/>
  <c r="I142" i="13" s="1"/>
  <c r="B54" i="12"/>
  <c r="C144" i="13" s="1"/>
  <c r="E143" i="13"/>
  <c r="O53" i="12"/>
  <c r="B143" i="13" s="1"/>
  <c r="P53" i="12"/>
  <c r="R53" i="12" s="1"/>
  <c r="I53" i="12"/>
  <c r="V53" i="12"/>
  <c r="S53" i="12"/>
  <c r="T53" i="12" s="1"/>
  <c r="J53" i="12"/>
  <c r="X53" i="12"/>
  <c r="Q52" i="12"/>
  <c r="U53" i="12"/>
  <c r="V55" i="10"/>
  <c r="U55" i="10"/>
  <c r="Q55" i="10"/>
  <c r="B57" i="10"/>
  <c r="E44" i="13" s="1"/>
  <c r="O56" i="10"/>
  <c r="B43" i="13" s="1"/>
  <c r="C43" i="13"/>
  <c r="P56" i="10"/>
  <c r="R56" i="10" s="1"/>
  <c r="I56" i="10"/>
  <c r="J56" i="10"/>
  <c r="S56" i="10"/>
  <c r="T56" i="10" s="1"/>
  <c r="Z56" i="10"/>
  <c r="AB56" i="10" s="1"/>
  <c r="X56" i="10"/>
  <c r="W55" i="10"/>
  <c r="G143" i="13" l="1"/>
  <c r="H143" i="13"/>
  <c r="I143" i="13" s="1"/>
  <c r="G44" i="13"/>
  <c r="H44" i="13"/>
  <c r="I44" i="13" s="1"/>
  <c r="Q53" i="12"/>
  <c r="U54" i="12"/>
  <c r="B55" i="12"/>
  <c r="C145" i="13" s="1"/>
  <c r="E144" i="13"/>
  <c r="V54" i="12"/>
  <c r="O54" i="12"/>
  <c r="B144" i="13" s="1"/>
  <c r="P54" i="12"/>
  <c r="R54" i="12" s="1"/>
  <c r="I54" i="12"/>
  <c r="J54" i="12"/>
  <c r="S54" i="12"/>
  <c r="T54" i="12" s="1"/>
  <c r="X54" i="12"/>
  <c r="Q56" i="10"/>
  <c r="U56" i="10"/>
  <c r="B58" i="10"/>
  <c r="E45" i="13" s="1"/>
  <c r="C44" i="13"/>
  <c r="I57" i="10"/>
  <c r="P57" i="10"/>
  <c r="R57" i="10" s="1"/>
  <c r="S57" i="10"/>
  <c r="T57" i="10" s="1"/>
  <c r="O57" i="10"/>
  <c r="B44" i="13" s="1"/>
  <c r="J57" i="10"/>
  <c r="Z57" i="10"/>
  <c r="AB57" i="10" s="1"/>
  <c r="X57" i="10"/>
  <c r="W56" i="10"/>
  <c r="V56" i="10"/>
  <c r="G45" i="13" l="1"/>
  <c r="H45" i="13"/>
  <c r="I45" i="13" s="1"/>
  <c r="G144" i="13"/>
  <c r="H144" i="13"/>
  <c r="I144" i="13" s="1"/>
  <c r="U55" i="12"/>
  <c r="B56" i="12"/>
  <c r="C146" i="13" s="1"/>
  <c r="E145" i="13"/>
  <c r="S55" i="12"/>
  <c r="T55" i="12" s="1"/>
  <c r="I55" i="12"/>
  <c r="X55" i="12"/>
  <c r="O55" i="12"/>
  <c r="B145" i="13" s="1"/>
  <c r="P55" i="12"/>
  <c r="R55" i="12" s="1"/>
  <c r="V55" i="12"/>
  <c r="J55" i="12"/>
  <c r="Q54" i="12"/>
  <c r="Q57" i="10"/>
  <c r="V57" i="10"/>
  <c r="U57" i="10"/>
  <c r="B59" i="10"/>
  <c r="E46" i="13" s="1"/>
  <c r="C45" i="13"/>
  <c r="O58" i="10"/>
  <c r="B45" i="13" s="1"/>
  <c r="P58" i="10"/>
  <c r="R58" i="10" s="1"/>
  <c r="S58" i="10"/>
  <c r="T58" i="10" s="1"/>
  <c r="I58" i="10"/>
  <c r="J58" i="10"/>
  <c r="Z58" i="10"/>
  <c r="AB58" i="10" s="1"/>
  <c r="X58" i="10"/>
  <c r="W57" i="10"/>
  <c r="G46" i="13" l="1"/>
  <c r="H46" i="13"/>
  <c r="I46" i="13" s="1"/>
  <c r="G145" i="13"/>
  <c r="H145" i="13"/>
  <c r="I145" i="13" s="1"/>
  <c r="B57" i="12"/>
  <c r="C147" i="13" s="1"/>
  <c r="E146" i="13"/>
  <c r="O56" i="12"/>
  <c r="B146" i="13" s="1"/>
  <c r="P56" i="12"/>
  <c r="R56" i="12" s="1"/>
  <c r="V56" i="12"/>
  <c r="I56" i="12"/>
  <c r="J56" i="12"/>
  <c r="S56" i="12"/>
  <c r="T56" i="12" s="1"/>
  <c r="X56" i="12"/>
  <c r="Q55" i="12"/>
  <c r="U56" i="12"/>
  <c r="V58" i="10"/>
  <c r="X59" i="10"/>
  <c r="W58" i="10"/>
  <c r="B60" i="10"/>
  <c r="E47" i="13" s="1"/>
  <c r="P59" i="10"/>
  <c r="R59" i="10" s="1"/>
  <c r="O59" i="10"/>
  <c r="B46" i="13" s="1"/>
  <c r="C46" i="13"/>
  <c r="I59" i="10"/>
  <c r="S59" i="10"/>
  <c r="T59" i="10" s="1"/>
  <c r="J59" i="10"/>
  <c r="Z59" i="10"/>
  <c r="AB59" i="10" s="1"/>
  <c r="Q58" i="10"/>
  <c r="U58" i="10"/>
  <c r="G146" i="13" l="1"/>
  <c r="H146" i="13"/>
  <c r="I146" i="13" s="1"/>
  <c r="G47" i="13"/>
  <c r="H47" i="13"/>
  <c r="I47" i="13" s="1"/>
  <c r="Q56" i="12"/>
  <c r="B58" i="12"/>
  <c r="C148" i="13" s="1"/>
  <c r="E147" i="13"/>
  <c r="O57" i="12"/>
  <c r="B147" i="13" s="1"/>
  <c r="V57" i="12"/>
  <c r="P57" i="12"/>
  <c r="R57" i="12" s="1"/>
  <c r="S57" i="12"/>
  <c r="T57" i="12" s="1"/>
  <c r="I57" i="12"/>
  <c r="J57" i="12"/>
  <c r="X57" i="12"/>
  <c r="U57" i="12"/>
  <c r="U59" i="10"/>
  <c r="X60" i="10"/>
  <c r="W59" i="10"/>
  <c r="B61" i="10"/>
  <c r="E48" i="13" s="1"/>
  <c r="C47" i="13"/>
  <c r="O60" i="10"/>
  <c r="B47" i="13" s="1"/>
  <c r="P60" i="10"/>
  <c r="R60" i="10" s="1"/>
  <c r="J60" i="10"/>
  <c r="I60" i="10"/>
  <c r="S60" i="10"/>
  <c r="T60" i="10" s="1"/>
  <c r="Z60" i="10"/>
  <c r="AB60" i="10" s="1"/>
  <c r="Q59" i="10"/>
  <c r="V59" i="10"/>
  <c r="G48" i="13" l="1"/>
  <c r="H48" i="13"/>
  <c r="I48" i="13" s="1"/>
  <c r="G147" i="13"/>
  <c r="H147" i="13"/>
  <c r="I147" i="13" s="1"/>
  <c r="Q57" i="12"/>
  <c r="B59" i="12"/>
  <c r="C149" i="13" s="1"/>
  <c r="E148" i="13"/>
  <c r="V58" i="12"/>
  <c r="P58" i="12"/>
  <c r="R58" i="12" s="1"/>
  <c r="O58" i="12"/>
  <c r="B148" i="13" s="1"/>
  <c r="I58" i="12"/>
  <c r="J58" i="12"/>
  <c r="S58" i="12"/>
  <c r="T58" i="12" s="1"/>
  <c r="X58" i="12"/>
  <c r="U58" i="12"/>
  <c r="V60" i="10"/>
  <c r="Q60" i="10"/>
  <c r="B62" i="10"/>
  <c r="E49" i="13" s="1"/>
  <c r="P61" i="10"/>
  <c r="R61" i="10" s="1"/>
  <c r="S61" i="10"/>
  <c r="T61" i="10" s="1"/>
  <c r="I61" i="10"/>
  <c r="C48" i="13"/>
  <c r="O61" i="10"/>
  <c r="B48" i="13" s="1"/>
  <c r="Z61" i="10"/>
  <c r="AB61" i="10" s="1"/>
  <c r="J61" i="10"/>
  <c r="U60" i="10"/>
  <c r="X61" i="10"/>
  <c r="W60" i="10"/>
  <c r="G49" i="13" l="1"/>
  <c r="H49" i="13"/>
  <c r="I49" i="13" s="1"/>
  <c r="G148" i="13"/>
  <c r="H148" i="13"/>
  <c r="I148" i="13" s="1"/>
  <c r="B60" i="12"/>
  <c r="C150" i="13" s="1"/>
  <c r="E149" i="13"/>
  <c r="V59" i="12"/>
  <c r="S59" i="12"/>
  <c r="T59" i="12" s="1"/>
  <c r="P59" i="12"/>
  <c r="R59" i="12" s="1"/>
  <c r="I59" i="12"/>
  <c r="X59" i="12"/>
  <c r="O59" i="12"/>
  <c r="B149" i="13" s="1"/>
  <c r="J59" i="12"/>
  <c r="Q58" i="12"/>
  <c r="U59" i="12"/>
  <c r="U61" i="10"/>
  <c r="Q61" i="10"/>
  <c r="V61" i="10"/>
  <c r="B63" i="10"/>
  <c r="E50" i="13" s="1"/>
  <c r="C49" i="13"/>
  <c r="P62" i="10"/>
  <c r="R62" i="10" s="1"/>
  <c r="O62" i="10"/>
  <c r="B49" i="13" s="1"/>
  <c r="J62" i="10"/>
  <c r="S62" i="10"/>
  <c r="T62" i="10" s="1"/>
  <c r="I62" i="10"/>
  <c r="Z62" i="10"/>
  <c r="AB62" i="10" s="1"/>
  <c r="X62" i="10"/>
  <c r="W61" i="10"/>
  <c r="G149" i="13" l="1"/>
  <c r="H149" i="13"/>
  <c r="I149" i="13" s="1"/>
  <c r="G50" i="13"/>
  <c r="H50" i="13"/>
  <c r="I50" i="13" s="1"/>
  <c r="Q59" i="12"/>
  <c r="B61" i="12"/>
  <c r="C151" i="13" s="1"/>
  <c r="E150" i="13"/>
  <c r="X60" i="12"/>
  <c r="S60" i="12"/>
  <c r="T60" i="12" s="1"/>
  <c r="I60" i="12"/>
  <c r="O60" i="12"/>
  <c r="B150" i="13" s="1"/>
  <c r="P60" i="12"/>
  <c r="R60" i="12" s="1"/>
  <c r="V60" i="12"/>
  <c r="J60" i="12"/>
  <c r="U60" i="12"/>
  <c r="U62" i="10"/>
  <c r="X63" i="10"/>
  <c r="W62" i="10"/>
  <c r="V62" i="10"/>
  <c r="B64" i="10"/>
  <c r="E51" i="13" s="1"/>
  <c r="P63" i="10"/>
  <c r="R63" i="10" s="1"/>
  <c r="O63" i="10"/>
  <c r="B50" i="13" s="1"/>
  <c r="C50" i="13"/>
  <c r="S63" i="10"/>
  <c r="T63" i="10" s="1"/>
  <c r="I63" i="10"/>
  <c r="J63" i="10"/>
  <c r="Z63" i="10"/>
  <c r="AB63" i="10" s="1"/>
  <c r="Q62" i="10"/>
  <c r="G51" i="13" l="1"/>
  <c r="H51" i="13"/>
  <c r="I51" i="13" s="1"/>
  <c r="G150" i="13"/>
  <c r="H150" i="13"/>
  <c r="I150" i="13" s="1"/>
  <c r="Q60" i="12"/>
  <c r="B62" i="12"/>
  <c r="C152" i="13" s="1"/>
  <c r="E151" i="13"/>
  <c r="V61" i="12"/>
  <c r="P61" i="12"/>
  <c r="R61" i="12" s="1"/>
  <c r="O61" i="12"/>
  <c r="B151" i="13" s="1"/>
  <c r="I61" i="12"/>
  <c r="S61" i="12"/>
  <c r="T61" i="12" s="1"/>
  <c r="J61" i="12"/>
  <c r="X61" i="12"/>
  <c r="U61" i="12"/>
  <c r="V63" i="10"/>
  <c r="B65" i="10"/>
  <c r="E52" i="13" s="1"/>
  <c r="P64" i="10"/>
  <c r="R64" i="10" s="1"/>
  <c r="O64" i="10"/>
  <c r="B51" i="13" s="1"/>
  <c r="C51" i="13"/>
  <c r="J64" i="10"/>
  <c r="I64" i="10"/>
  <c r="S64" i="10"/>
  <c r="T64" i="10" s="1"/>
  <c r="Z64" i="10"/>
  <c r="AB64" i="10" s="1"/>
  <c r="X64" i="10"/>
  <c r="W63" i="10"/>
  <c r="Q63" i="10"/>
  <c r="U63" i="10"/>
  <c r="G52" i="13" l="1"/>
  <c r="H52" i="13"/>
  <c r="I52" i="13" s="1"/>
  <c r="G151" i="13"/>
  <c r="H151" i="13"/>
  <c r="I151" i="13" s="1"/>
  <c r="Q64" i="10"/>
  <c r="B63" i="12"/>
  <c r="C153" i="13" s="1"/>
  <c r="E152" i="13"/>
  <c r="O62" i="12"/>
  <c r="B152" i="13" s="1"/>
  <c r="P62" i="12"/>
  <c r="R62" i="12" s="1"/>
  <c r="I62" i="12"/>
  <c r="V62" i="12"/>
  <c r="S62" i="12"/>
  <c r="T62" i="12" s="1"/>
  <c r="J62" i="12"/>
  <c r="X62" i="12"/>
  <c r="U62" i="12"/>
  <c r="Q61" i="12"/>
  <c r="U64" i="10"/>
  <c r="B66" i="10"/>
  <c r="E53" i="13" s="1"/>
  <c r="P65" i="10"/>
  <c r="R65" i="10" s="1"/>
  <c r="C52" i="13"/>
  <c r="O65" i="10"/>
  <c r="B52" i="13" s="1"/>
  <c r="S65" i="10"/>
  <c r="T65" i="10" s="1"/>
  <c r="I65" i="10"/>
  <c r="Z65" i="10"/>
  <c r="AB65" i="10" s="1"/>
  <c r="J65" i="10"/>
  <c r="X65" i="10"/>
  <c r="W64" i="10"/>
  <c r="V64" i="10"/>
  <c r="G53" i="13" l="1"/>
  <c r="H53" i="13"/>
  <c r="I53" i="13" s="1"/>
  <c r="G152" i="13"/>
  <c r="H152" i="13"/>
  <c r="I152" i="13" s="1"/>
  <c r="Q62" i="12"/>
  <c r="B64" i="12"/>
  <c r="C154" i="13" s="1"/>
  <c r="E153" i="13"/>
  <c r="P63" i="12"/>
  <c r="R63" i="12" s="1"/>
  <c r="O63" i="12"/>
  <c r="B153" i="13" s="1"/>
  <c r="V63" i="12"/>
  <c r="I63" i="12"/>
  <c r="S63" i="12"/>
  <c r="T63" i="12" s="1"/>
  <c r="J63" i="12"/>
  <c r="X63" i="12"/>
  <c r="U63" i="12"/>
  <c r="V65" i="10"/>
  <c r="X66" i="10"/>
  <c r="W65" i="10"/>
  <c r="B67" i="10"/>
  <c r="E54" i="13" s="1"/>
  <c r="P66" i="10"/>
  <c r="R66" i="10" s="1"/>
  <c r="O66" i="10"/>
  <c r="B53" i="13" s="1"/>
  <c r="C53" i="13"/>
  <c r="I66" i="10"/>
  <c r="J66" i="10"/>
  <c r="S66" i="10"/>
  <c r="T66" i="10" s="1"/>
  <c r="Z66" i="10"/>
  <c r="AB66" i="10" s="1"/>
  <c r="Q65" i="10"/>
  <c r="U65" i="10"/>
  <c r="G54" i="13" l="1"/>
  <c r="H54" i="13"/>
  <c r="I54" i="13" s="1"/>
  <c r="G153" i="13"/>
  <c r="H153" i="13"/>
  <c r="I153" i="13" s="1"/>
  <c r="U64" i="12"/>
  <c r="Q63" i="12"/>
  <c r="B65" i="12"/>
  <c r="C155" i="13" s="1"/>
  <c r="E154" i="13"/>
  <c r="O64" i="12"/>
  <c r="B154" i="13" s="1"/>
  <c r="I64" i="12"/>
  <c r="S64" i="12"/>
  <c r="T64" i="12" s="1"/>
  <c r="V64" i="12"/>
  <c r="P64" i="12"/>
  <c r="R64" i="12" s="1"/>
  <c r="J64" i="12"/>
  <c r="X64" i="12"/>
  <c r="V66" i="10"/>
  <c r="U66" i="10"/>
  <c r="B68" i="10"/>
  <c r="E55" i="13" s="1"/>
  <c r="C54" i="13"/>
  <c r="P67" i="10"/>
  <c r="R67" i="10" s="1"/>
  <c r="O67" i="10"/>
  <c r="B54" i="13" s="1"/>
  <c r="I67" i="10"/>
  <c r="S67" i="10"/>
  <c r="T67" i="10" s="1"/>
  <c r="J67" i="10"/>
  <c r="Z67" i="10"/>
  <c r="AB67" i="10" s="1"/>
  <c r="X67" i="10"/>
  <c r="W66" i="10"/>
  <c r="Q66" i="10"/>
  <c r="G55" i="13" l="1"/>
  <c r="H55" i="13"/>
  <c r="I55" i="13" s="1"/>
  <c r="G154" i="13"/>
  <c r="H154" i="13"/>
  <c r="I154" i="13" s="1"/>
  <c r="Q64" i="12"/>
  <c r="U65" i="12"/>
  <c r="B66" i="12"/>
  <c r="C156" i="13" s="1"/>
  <c r="E155" i="13"/>
  <c r="O65" i="12"/>
  <c r="B155" i="13" s="1"/>
  <c r="S65" i="12"/>
  <c r="T65" i="12" s="1"/>
  <c r="P65" i="12"/>
  <c r="R65" i="12" s="1"/>
  <c r="I65" i="12"/>
  <c r="V65" i="12"/>
  <c r="J65" i="12"/>
  <c r="X65" i="12"/>
  <c r="U67" i="10"/>
  <c r="Q67" i="10"/>
  <c r="B69" i="10"/>
  <c r="E56" i="13" s="1"/>
  <c r="O68" i="10"/>
  <c r="B55" i="13" s="1"/>
  <c r="C55" i="13"/>
  <c r="P68" i="10"/>
  <c r="R68" i="10" s="1"/>
  <c r="J68" i="10"/>
  <c r="S68" i="10"/>
  <c r="T68" i="10" s="1"/>
  <c r="I68" i="10"/>
  <c r="Z68" i="10"/>
  <c r="AB68" i="10" s="1"/>
  <c r="X68" i="10"/>
  <c r="W67" i="10"/>
  <c r="V67" i="10"/>
  <c r="G56" i="13" l="1"/>
  <c r="H56" i="13"/>
  <c r="I56" i="13" s="1"/>
  <c r="G155" i="13"/>
  <c r="H155" i="13"/>
  <c r="I155" i="13" s="1"/>
  <c r="U66" i="12"/>
  <c r="Q65" i="12"/>
  <c r="B67" i="12"/>
  <c r="C157" i="13" s="1"/>
  <c r="E156" i="13"/>
  <c r="P66" i="12"/>
  <c r="R66" i="12" s="1"/>
  <c r="O66" i="12"/>
  <c r="B156" i="13" s="1"/>
  <c r="V66" i="12"/>
  <c r="I66" i="12"/>
  <c r="S66" i="12"/>
  <c r="T66" i="12" s="1"/>
  <c r="J66" i="12"/>
  <c r="X66" i="12"/>
  <c r="V68" i="10"/>
  <c r="U68" i="10"/>
  <c r="B70" i="10"/>
  <c r="E57" i="13" s="1"/>
  <c r="I69" i="10"/>
  <c r="C56" i="13"/>
  <c r="P69" i="10"/>
  <c r="R69" i="10" s="1"/>
  <c r="O69" i="10"/>
  <c r="B56" i="13" s="1"/>
  <c r="S69" i="10"/>
  <c r="T69" i="10" s="1"/>
  <c r="Z69" i="10"/>
  <c r="AB69" i="10" s="1"/>
  <c r="J69" i="10"/>
  <c r="Q68" i="10"/>
  <c r="X69" i="10"/>
  <c r="W68" i="10"/>
  <c r="G156" i="13" l="1"/>
  <c r="H156" i="13"/>
  <c r="I156" i="13" s="1"/>
  <c r="G57" i="13"/>
  <c r="H57" i="13"/>
  <c r="I57" i="13" s="1"/>
  <c r="U67" i="12"/>
  <c r="Q66" i="12"/>
  <c r="B68" i="12"/>
  <c r="C158" i="13" s="1"/>
  <c r="E157" i="13"/>
  <c r="V67" i="12"/>
  <c r="P67" i="12"/>
  <c r="R67" i="12" s="1"/>
  <c r="O67" i="12"/>
  <c r="B157" i="13" s="1"/>
  <c r="J67" i="12"/>
  <c r="I67" i="12"/>
  <c r="S67" i="12"/>
  <c r="T67" i="12" s="1"/>
  <c r="X67" i="12"/>
  <c r="U69" i="10"/>
  <c r="Q69" i="10"/>
  <c r="B71" i="10"/>
  <c r="E58" i="13" s="1"/>
  <c r="C57" i="13"/>
  <c r="P70" i="10"/>
  <c r="R70" i="10" s="1"/>
  <c r="O70" i="10"/>
  <c r="B57" i="13" s="1"/>
  <c r="J70" i="10"/>
  <c r="I70" i="10"/>
  <c r="S70" i="10"/>
  <c r="T70" i="10" s="1"/>
  <c r="Z70" i="10"/>
  <c r="AB70" i="10" s="1"/>
  <c r="X70" i="10"/>
  <c r="W69" i="10"/>
  <c r="V69" i="10"/>
  <c r="G58" i="13" l="1"/>
  <c r="H58" i="13"/>
  <c r="I58" i="13" s="1"/>
  <c r="G157" i="13"/>
  <c r="H157" i="13"/>
  <c r="I157" i="13" s="1"/>
  <c r="U68" i="12"/>
  <c r="Q67" i="12"/>
  <c r="B69" i="12"/>
  <c r="C159" i="13" s="1"/>
  <c r="E158" i="13"/>
  <c r="S68" i="12"/>
  <c r="T68" i="12" s="1"/>
  <c r="I68" i="12"/>
  <c r="P68" i="12"/>
  <c r="R68" i="12" s="1"/>
  <c r="O68" i="12"/>
  <c r="B158" i="13" s="1"/>
  <c r="V68" i="12"/>
  <c r="X68" i="12"/>
  <c r="J68" i="12"/>
  <c r="V70" i="10"/>
  <c r="U70" i="10"/>
  <c r="B72" i="10"/>
  <c r="E59" i="13" s="1"/>
  <c r="C58" i="13"/>
  <c r="P71" i="10"/>
  <c r="R71" i="10" s="1"/>
  <c r="O71" i="10"/>
  <c r="B58" i="13" s="1"/>
  <c r="S71" i="10"/>
  <c r="T71" i="10" s="1"/>
  <c r="J71" i="10"/>
  <c r="I71" i="10"/>
  <c r="Z71" i="10"/>
  <c r="AB71" i="10" s="1"/>
  <c r="Q70" i="10"/>
  <c r="X71" i="10"/>
  <c r="W70" i="10"/>
  <c r="G59" i="13" l="1"/>
  <c r="H59" i="13"/>
  <c r="I59" i="13" s="1"/>
  <c r="G158" i="13"/>
  <c r="H158" i="13"/>
  <c r="I158" i="13" s="1"/>
  <c r="U69" i="12"/>
  <c r="Q68" i="12"/>
  <c r="B70" i="12"/>
  <c r="C160" i="13" s="1"/>
  <c r="E159" i="13"/>
  <c r="O69" i="12"/>
  <c r="B159" i="13" s="1"/>
  <c r="V69" i="12"/>
  <c r="P69" i="12"/>
  <c r="R69" i="12" s="1"/>
  <c r="I69" i="12"/>
  <c r="S69" i="12"/>
  <c r="T69" i="12" s="1"/>
  <c r="J69" i="12"/>
  <c r="X69" i="12"/>
  <c r="U71" i="10"/>
  <c r="X72" i="10"/>
  <c r="W71" i="10"/>
  <c r="Q71" i="10"/>
  <c r="B73" i="10"/>
  <c r="E60" i="13" s="1"/>
  <c r="O72" i="10"/>
  <c r="B59" i="13" s="1"/>
  <c r="C59" i="13"/>
  <c r="P72" i="10"/>
  <c r="R72" i="10" s="1"/>
  <c r="I72" i="10"/>
  <c r="J72" i="10"/>
  <c r="S72" i="10"/>
  <c r="T72" i="10" s="1"/>
  <c r="Z72" i="10"/>
  <c r="AB72" i="10" s="1"/>
  <c r="V71" i="10"/>
  <c r="G60" i="13" l="1"/>
  <c r="H60" i="13"/>
  <c r="I60" i="13" s="1"/>
  <c r="G159" i="13"/>
  <c r="H159" i="13"/>
  <c r="I159" i="13" s="1"/>
  <c r="U70" i="12"/>
  <c r="Q69" i="12"/>
  <c r="U72" i="10"/>
  <c r="B71" i="12"/>
  <c r="C161" i="13" s="1"/>
  <c r="E160" i="13"/>
  <c r="I70" i="12"/>
  <c r="S70" i="12"/>
  <c r="T70" i="12" s="1"/>
  <c r="O70" i="12"/>
  <c r="B160" i="13" s="1"/>
  <c r="V70" i="12"/>
  <c r="X70" i="12"/>
  <c r="P70" i="12"/>
  <c r="R70" i="12" s="1"/>
  <c r="J70" i="12"/>
  <c r="V72" i="10"/>
  <c r="Q72" i="10"/>
  <c r="X73" i="10"/>
  <c r="W72" i="10"/>
  <c r="B74" i="10"/>
  <c r="E61" i="13" s="1"/>
  <c r="P73" i="10"/>
  <c r="R73" i="10" s="1"/>
  <c r="O73" i="10"/>
  <c r="B60" i="13" s="1"/>
  <c r="I73" i="10"/>
  <c r="S73" i="10"/>
  <c r="T73" i="10" s="1"/>
  <c r="C60" i="13"/>
  <c r="Z73" i="10"/>
  <c r="AB73" i="10" s="1"/>
  <c r="J73" i="10"/>
  <c r="G61" i="13" l="1"/>
  <c r="H61" i="13"/>
  <c r="I61" i="13" s="1"/>
  <c r="G160" i="13"/>
  <c r="H160" i="13"/>
  <c r="I160" i="13" s="1"/>
  <c r="U71" i="12"/>
  <c r="Q70" i="12"/>
  <c r="U73" i="10"/>
  <c r="B72" i="12"/>
  <c r="C162" i="13" s="1"/>
  <c r="E161" i="13"/>
  <c r="S71" i="12"/>
  <c r="T71" i="12" s="1"/>
  <c r="I71" i="12"/>
  <c r="X71" i="12"/>
  <c r="O71" i="12"/>
  <c r="B161" i="13" s="1"/>
  <c r="V71" i="12"/>
  <c r="P71" i="12"/>
  <c r="R71" i="12" s="1"/>
  <c r="J71" i="12"/>
  <c r="Q73" i="10"/>
  <c r="B75" i="10"/>
  <c r="E62" i="13" s="1"/>
  <c r="C61" i="13"/>
  <c r="P74" i="10"/>
  <c r="R74" i="10" s="1"/>
  <c r="O74" i="10"/>
  <c r="B61" i="13" s="1"/>
  <c r="S74" i="10"/>
  <c r="J74" i="10"/>
  <c r="I74" i="10"/>
  <c r="Z74" i="10"/>
  <c r="AB74" i="10" s="1"/>
  <c r="X74" i="10"/>
  <c r="W73" i="10"/>
  <c r="V73" i="10"/>
  <c r="G62" i="13" l="1"/>
  <c r="H62" i="13"/>
  <c r="I62" i="13" s="1"/>
  <c r="G161" i="13"/>
  <c r="H161" i="13"/>
  <c r="I161" i="13" s="1"/>
  <c r="U72" i="12"/>
  <c r="U74" i="10"/>
  <c r="Q71" i="12"/>
  <c r="B73" i="12"/>
  <c r="C163" i="13" s="1"/>
  <c r="E162" i="13"/>
  <c r="S72" i="12"/>
  <c r="T72" i="12" s="1"/>
  <c r="I72" i="12"/>
  <c r="X72" i="12"/>
  <c r="O72" i="12"/>
  <c r="B162" i="13" s="1"/>
  <c r="P72" i="12"/>
  <c r="R72" i="12" s="1"/>
  <c r="V72" i="12"/>
  <c r="J72" i="12"/>
  <c r="V74" i="10"/>
  <c r="Q74" i="10"/>
  <c r="X75" i="10"/>
  <c r="W74" i="10"/>
  <c r="T74" i="10"/>
  <c r="B76" i="10"/>
  <c r="E63" i="13" s="1"/>
  <c r="C62" i="13"/>
  <c r="P75" i="10"/>
  <c r="R75" i="10" s="1"/>
  <c r="O75" i="10"/>
  <c r="B62" i="13" s="1"/>
  <c r="J75" i="10"/>
  <c r="S75" i="10"/>
  <c r="I75" i="10"/>
  <c r="Z75" i="10"/>
  <c r="AB75" i="10" s="1"/>
  <c r="G63" i="13" l="1"/>
  <c r="H63" i="13"/>
  <c r="I63" i="13" s="1"/>
  <c r="G162" i="13"/>
  <c r="H162" i="13"/>
  <c r="I162" i="13" s="1"/>
  <c r="U73" i="12"/>
  <c r="U75" i="10"/>
  <c r="Q72" i="12"/>
  <c r="B74" i="12"/>
  <c r="E163" i="13"/>
  <c r="X73" i="12"/>
  <c r="S73" i="12"/>
  <c r="T73" i="12" s="1"/>
  <c r="I73" i="12"/>
  <c r="O73" i="12"/>
  <c r="B163" i="13" s="1"/>
  <c r="P73" i="12"/>
  <c r="R73" i="12" s="1"/>
  <c r="V73" i="12"/>
  <c r="J73" i="12"/>
  <c r="T75" i="10"/>
  <c r="B77" i="10"/>
  <c r="E64" i="13" s="1"/>
  <c r="P76" i="10"/>
  <c r="R76" i="10" s="1"/>
  <c r="O76" i="10"/>
  <c r="B63" i="13" s="1"/>
  <c r="C63" i="13"/>
  <c r="J76" i="10"/>
  <c r="I76" i="10"/>
  <c r="S76" i="10"/>
  <c r="Z76" i="10"/>
  <c r="AB76" i="10" s="1"/>
  <c r="X76" i="10"/>
  <c r="W75" i="10"/>
  <c r="V75" i="10"/>
  <c r="Q75" i="10"/>
  <c r="V76" i="10" l="1"/>
  <c r="G64" i="13"/>
  <c r="H64" i="13"/>
  <c r="I64" i="13" s="1"/>
  <c r="G163" i="13"/>
  <c r="H163" i="13"/>
  <c r="I163" i="13" s="1"/>
  <c r="U74" i="12"/>
  <c r="C164" i="13"/>
  <c r="U76" i="10"/>
  <c r="Q73" i="12"/>
  <c r="B75" i="12"/>
  <c r="E164" i="13"/>
  <c r="S74" i="12"/>
  <c r="T74" i="12" s="1"/>
  <c r="I74" i="12"/>
  <c r="X74" i="12"/>
  <c r="O74" i="12"/>
  <c r="B164" i="13" s="1"/>
  <c r="P74" i="12"/>
  <c r="R74" i="12" s="1"/>
  <c r="V74" i="12"/>
  <c r="J74" i="12"/>
  <c r="Q76" i="10"/>
  <c r="T76" i="10"/>
  <c r="X77" i="10"/>
  <c r="W76" i="10"/>
  <c r="B78" i="10"/>
  <c r="E65" i="13" s="1"/>
  <c r="O77" i="10"/>
  <c r="B64" i="13" s="1"/>
  <c r="C64" i="13"/>
  <c r="I77" i="10"/>
  <c r="P77" i="10"/>
  <c r="R77" i="10" s="1"/>
  <c r="S77" i="10"/>
  <c r="J77" i="10"/>
  <c r="Z77" i="10"/>
  <c r="AB77" i="10" s="1"/>
  <c r="G65" i="13" l="1"/>
  <c r="H65" i="13"/>
  <c r="I65" i="13" s="1"/>
  <c r="G164" i="13"/>
  <c r="H164" i="13"/>
  <c r="I164" i="13" s="1"/>
  <c r="U75" i="12"/>
  <c r="C165" i="13"/>
  <c r="Q74" i="12"/>
  <c r="T77" i="10"/>
  <c r="B76" i="12"/>
  <c r="E165" i="13"/>
  <c r="S75" i="12"/>
  <c r="T75" i="12" s="1"/>
  <c r="I75" i="12"/>
  <c r="X75" i="12"/>
  <c r="P75" i="12"/>
  <c r="R75" i="12" s="1"/>
  <c r="O75" i="12"/>
  <c r="B165" i="13" s="1"/>
  <c r="V75" i="12"/>
  <c r="J75" i="12"/>
  <c r="V77" i="10"/>
  <c r="U77" i="10"/>
  <c r="Q77" i="10"/>
  <c r="B79" i="10"/>
  <c r="E66" i="13" s="1"/>
  <c r="P78" i="10"/>
  <c r="R78" i="10" s="1"/>
  <c r="O78" i="10"/>
  <c r="B65" i="13" s="1"/>
  <c r="C65" i="13"/>
  <c r="I78" i="10"/>
  <c r="S78" i="10"/>
  <c r="J78" i="10"/>
  <c r="Z78" i="10"/>
  <c r="AB78" i="10" s="1"/>
  <c r="X78" i="10"/>
  <c r="W77" i="10"/>
  <c r="G66" i="13" l="1"/>
  <c r="H66" i="13"/>
  <c r="I66" i="13" s="1"/>
  <c r="U76" i="12"/>
  <c r="C166" i="13"/>
  <c r="G165" i="13"/>
  <c r="H165" i="13"/>
  <c r="I165" i="13" s="1"/>
  <c r="T78" i="10"/>
  <c r="Q75" i="12"/>
  <c r="B77" i="12"/>
  <c r="C167" i="13" s="1"/>
  <c r="E166" i="13"/>
  <c r="V76" i="12"/>
  <c r="P76" i="12"/>
  <c r="R76" i="12" s="1"/>
  <c r="O76" i="12"/>
  <c r="B166" i="13" s="1"/>
  <c r="I76" i="12"/>
  <c r="S76" i="12"/>
  <c r="T76" i="12" s="1"/>
  <c r="J76" i="12"/>
  <c r="X76" i="12"/>
  <c r="U78" i="10"/>
  <c r="Q78" i="10"/>
  <c r="B80" i="10"/>
  <c r="E67" i="13" s="1"/>
  <c r="O79" i="10"/>
  <c r="B66" i="13" s="1"/>
  <c r="C66" i="13"/>
  <c r="P79" i="10"/>
  <c r="R79" i="10" s="1"/>
  <c r="J79" i="10"/>
  <c r="I79" i="10"/>
  <c r="S79" i="10"/>
  <c r="Z79" i="10"/>
  <c r="AB79" i="10" s="1"/>
  <c r="X79" i="10"/>
  <c r="W78" i="10"/>
  <c r="V78" i="10"/>
  <c r="T79" i="10" l="1"/>
  <c r="G67" i="13"/>
  <c r="H67" i="13"/>
  <c r="I67" i="13" s="1"/>
  <c r="G166" i="13"/>
  <c r="H166" i="13"/>
  <c r="I166" i="13" s="1"/>
  <c r="Q76" i="12"/>
  <c r="B78" i="12"/>
  <c r="C168" i="13" s="1"/>
  <c r="E167" i="13"/>
  <c r="O77" i="12"/>
  <c r="B167" i="13" s="1"/>
  <c r="I77" i="12"/>
  <c r="V77" i="12"/>
  <c r="P77" i="12"/>
  <c r="R77" i="12" s="1"/>
  <c r="S77" i="12"/>
  <c r="T77" i="12" s="1"/>
  <c r="J77" i="12"/>
  <c r="X77" i="12"/>
  <c r="U77" i="12"/>
  <c r="X80" i="10"/>
  <c r="W79" i="10"/>
  <c r="V79" i="10"/>
  <c r="B81" i="10"/>
  <c r="E68" i="13" s="1"/>
  <c r="C67" i="13"/>
  <c r="P80" i="10"/>
  <c r="R80" i="10" s="1"/>
  <c r="O80" i="10"/>
  <c r="B67" i="13" s="1"/>
  <c r="I80" i="10"/>
  <c r="S80" i="10"/>
  <c r="J80" i="10"/>
  <c r="Z80" i="10"/>
  <c r="AB80" i="10" s="1"/>
  <c r="U79" i="10"/>
  <c r="Q79" i="10"/>
  <c r="T80" i="10" l="1"/>
  <c r="G68" i="13"/>
  <c r="H68" i="13"/>
  <c r="I68" i="13" s="1"/>
  <c r="G167" i="13"/>
  <c r="H167" i="13"/>
  <c r="I167" i="13" s="1"/>
  <c r="U78" i="12"/>
  <c r="B79" i="12"/>
  <c r="C169" i="13" s="1"/>
  <c r="E168" i="13"/>
  <c r="O78" i="12"/>
  <c r="B168" i="13" s="1"/>
  <c r="V78" i="12"/>
  <c r="P78" i="12"/>
  <c r="R78" i="12" s="1"/>
  <c r="I78" i="12"/>
  <c r="S78" i="12"/>
  <c r="T78" i="12" s="1"/>
  <c r="X78" i="12"/>
  <c r="J78" i="12"/>
  <c r="Q77" i="12"/>
  <c r="V80" i="10"/>
  <c r="U80" i="10"/>
  <c r="Q80" i="10"/>
  <c r="X81" i="10"/>
  <c r="W80" i="10"/>
  <c r="B82" i="10"/>
  <c r="E69" i="13" s="1"/>
  <c r="P81" i="10"/>
  <c r="R81" i="10" s="1"/>
  <c r="O81" i="10"/>
  <c r="B68" i="13" s="1"/>
  <c r="S81" i="10"/>
  <c r="C68" i="13"/>
  <c r="I81" i="10"/>
  <c r="J81" i="10"/>
  <c r="Z81" i="10"/>
  <c r="AB81" i="10" s="1"/>
  <c r="T81" i="10" l="1"/>
  <c r="G69" i="13"/>
  <c r="H69" i="13"/>
  <c r="I69" i="13" s="1"/>
  <c r="G168" i="13"/>
  <c r="H168" i="13"/>
  <c r="I168" i="13" s="1"/>
  <c r="Q78" i="12"/>
  <c r="B80" i="12"/>
  <c r="C170" i="13" s="1"/>
  <c r="E169" i="13"/>
  <c r="S79" i="12"/>
  <c r="T79" i="12" s="1"/>
  <c r="I79" i="12"/>
  <c r="X79" i="12"/>
  <c r="V79" i="12"/>
  <c r="O79" i="12"/>
  <c r="B169" i="13" s="1"/>
  <c r="P79" i="12"/>
  <c r="R79" i="12" s="1"/>
  <c r="J79" i="12"/>
  <c r="U79" i="12"/>
  <c r="B83" i="10"/>
  <c r="E70" i="13" s="1"/>
  <c r="O82" i="10"/>
  <c r="B69" i="13" s="1"/>
  <c r="C69" i="13"/>
  <c r="P82" i="10"/>
  <c r="R82" i="10" s="1"/>
  <c r="J82" i="10"/>
  <c r="I82" i="10"/>
  <c r="S82" i="10"/>
  <c r="T82" i="10" s="1"/>
  <c r="Z82" i="10"/>
  <c r="AB82" i="10" s="1"/>
  <c r="X82" i="10"/>
  <c r="W81" i="10"/>
  <c r="Q81" i="10"/>
  <c r="V81" i="10"/>
  <c r="U81" i="10"/>
  <c r="G70" i="13" l="1"/>
  <c r="H70" i="13"/>
  <c r="I70" i="13" s="1"/>
  <c r="G169" i="13"/>
  <c r="H169" i="13"/>
  <c r="I169" i="13" s="1"/>
  <c r="U80" i="12"/>
  <c r="B81" i="12"/>
  <c r="C171" i="13" s="1"/>
  <c r="E170" i="13"/>
  <c r="O80" i="12"/>
  <c r="B170" i="13" s="1"/>
  <c r="P80" i="12"/>
  <c r="R80" i="12" s="1"/>
  <c r="V80" i="12"/>
  <c r="I80" i="12"/>
  <c r="S80" i="12"/>
  <c r="T80" i="12" s="1"/>
  <c r="J80" i="12"/>
  <c r="X80" i="12"/>
  <c r="Q79" i="12"/>
  <c r="U82" i="10"/>
  <c r="V82" i="10"/>
  <c r="Q82" i="10"/>
  <c r="B84" i="10"/>
  <c r="E71" i="13" s="1"/>
  <c r="O83" i="10"/>
  <c r="B70" i="13" s="1"/>
  <c r="C70" i="13"/>
  <c r="P83" i="10"/>
  <c r="R83" i="10" s="1"/>
  <c r="J83" i="10"/>
  <c r="S83" i="10"/>
  <c r="T83" i="10" s="1"/>
  <c r="I83" i="10"/>
  <c r="Z83" i="10"/>
  <c r="AB83" i="10" s="1"/>
  <c r="X83" i="10"/>
  <c r="W82" i="10"/>
  <c r="G71" i="13" l="1"/>
  <c r="H71" i="13"/>
  <c r="I71" i="13" s="1"/>
  <c r="G170" i="13"/>
  <c r="H170" i="13"/>
  <c r="I170" i="13" s="1"/>
  <c r="Q80" i="12"/>
  <c r="B82" i="12"/>
  <c r="C172" i="13" s="1"/>
  <c r="E171" i="13"/>
  <c r="P81" i="12"/>
  <c r="R81" i="12" s="1"/>
  <c r="O81" i="12"/>
  <c r="B171" i="13" s="1"/>
  <c r="V81" i="12"/>
  <c r="S81" i="12"/>
  <c r="T81" i="12" s="1"/>
  <c r="I81" i="12"/>
  <c r="X81" i="12"/>
  <c r="J81" i="12"/>
  <c r="U81" i="12"/>
  <c r="V83" i="10"/>
  <c r="U83" i="10"/>
  <c r="Q83" i="10"/>
  <c r="X84" i="10"/>
  <c r="W83" i="10"/>
  <c r="B85" i="10"/>
  <c r="E72" i="13" s="1"/>
  <c r="C71" i="13"/>
  <c r="P84" i="10"/>
  <c r="R84" i="10" s="1"/>
  <c r="O84" i="10"/>
  <c r="B71" i="13" s="1"/>
  <c r="I84" i="10"/>
  <c r="S84" i="10"/>
  <c r="T84" i="10" s="1"/>
  <c r="J84" i="10"/>
  <c r="Z84" i="10"/>
  <c r="AB84" i="10" s="1"/>
  <c r="G72" i="13" l="1"/>
  <c r="H72" i="13"/>
  <c r="I72" i="13" s="1"/>
  <c r="G171" i="13"/>
  <c r="H171" i="13"/>
  <c r="I171" i="13" s="1"/>
  <c r="Q81" i="12"/>
  <c r="B83" i="12"/>
  <c r="C173" i="13" s="1"/>
  <c r="E172" i="13"/>
  <c r="I82" i="12"/>
  <c r="S82" i="12"/>
  <c r="T82" i="12" s="1"/>
  <c r="P82" i="12"/>
  <c r="R82" i="12" s="1"/>
  <c r="O82" i="12"/>
  <c r="B172" i="13" s="1"/>
  <c r="X82" i="12"/>
  <c r="V82" i="12"/>
  <c r="J82" i="12"/>
  <c r="U82" i="12"/>
  <c r="V84" i="10"/>
  <c r="Q84" i="10"/>
  <c r="B86" i="10"/>
  <c r="E73" i="13" s="1"/>
  <c r="C72" i="13"/>
  <c r="I85" i="10"/>
  <c r="P85" i="10"/>
  <c r="R85" i="10" s="1"/>
  <c r="O85" i="10"/>
  <c r="B72" i="13" s="1"/>
  <c r="S85" i="10"/>
  <c r="T85" i="10" s="1"/>
  <c r="Z85" i="10"/>
  <c r="AB85" i="10" s="1"/>
  <c r="J85" i="10"/>
  <c r="U84" i="10"/>
  <c r="X85" i="10"/>
  <c r="W84" i="10"/>
  <c r="G73" i="13" l="1"/>
  <c r="H73" i="13"/>
  <c r="I73" i="13" s="1"/>
  <c r="G172" i="13"/>
  <c r="H172" i="13"/>
  <c r="I172" i="13" s="1"/>
  <c r="Q82" i="12"/>
  <c r="B84" i="12"/>
  <c r="C174" i="13" s="1"/>
  <c r="E173" i="13"/>
  <c r="P83" i="12"/>
  <c r="R83" i="12" s="1"/>
  <c r="V83" i="12"/>
  <c r="O83" i="12"/>
  <c r="B173" i="13" s="1"/>
  <c r="I83" i="12"/>
  <c r="J83" i="12"/>
  <c r="S83" i="12"/>
  <c r="T83" i="12" s="1"/>
  <c r="X83" i="12"/>
  <c r="U83" i="12"/>
  <c r="U85" i="10"/>
  <c r="B87" i="10"/>
  <c r="E74" i="13" s="1"/>
  <c r="P86" i="10"/>
  <c r="R86" i="10" s="1"/>
  <c r="O86" i="10"/>
  <c r="B73" i="13" s="1"/>
  <c r="C73" i="13"/>
  <c r="J86" i="10"/>
  <c r="I86" i="10"/>
  <c r="S86" i="10"/>
  <c r="T86" i="10" s="1"/>
  <c r="Z86" i="10"/>
  <c r="AB86" i="10" s="1"/>
  <c r="Q85" i="10"/>
  <c r="V85" i="10"/>
  <c r="X86" i="10"/>
  <c r="W85" i="10"/>
  <c r="G74" i="13" l="1"/>
  <c r="H74" i="13"/>
  <c r="I74" i="13" s="1"/>
  <c r="G173" i="13"/>
  <c r="H173" i="13"/>
  <c r="I173" i="13" s="1"/>
  <c r="Q83" i="12"/>
  <c r="B85" i="12"/>
  <c r="C175" i="13" s="1"/>
  <c r="E174" i="13"/>
  <c r="S84" i="12"/>
  <c r="T84" i="12" s="1"/>
  <c r="V84" i="12"/>
  <c r="P84" i="12"/>
  <c r="R84" i="12" s="1"/>
  <c r="I84" i="12"/>
  <c r="O84" i="12"/>
  <c r="B174" i="13" s="1"/>
  <c r="X84" i="12"/>
  <c r="J84" i="12"/>
  <c r="U84" i="12"/>
  <c r="V86" i="10"/>
  <c r="U86" i="10"/>
  <c r="Q86" i="10"/>
  <c r="B88" i="10"/>
  <c r="E75" i="13" s="1"/>
  <c r="C74" i="13"/>
  <c r="P87" i="10"/>
  <c r="R87" i="10" s="1"/>
  <c r="O87" i="10"/>
  <c r="B74" i="13" s="1"/>
  <c r="I87" i="10"/>
  <c r="J87" i="10"/>
  <c r="S87" i="10"/>
  <c r="T87" i="10" s="1"/>
  <c r="Z87" i="10"/>
  <c r="AB87" i="10" s="1"/>
  <c r="X87" i="10"/>
  <c r="W86" i="10"/>
  <c r="G75" i="13" l="1"/>
  <c r="H75" i="13"/>
  <c r="I75" i="13" s="1"/>
  <c r="G174" i="13"/>
  <c r="H174" i="13"/>
  <c r="I174" i="13" s="1"/>
  <c r="U85" i="12"/>
  <c r="Q84" i="12"/>
  <c r="B86" i="12"/>
  <c r="C176" i="13" s="1"/>
  <c r="E175" i="13"/>
  <c r="I85" i="12"/>
  <c r="S85" i="12"/>
  <c r="T85" i="12" s="1"/>
  <c r="V85" i="12"/>
  <c r="X85" i="12"/>
  <c r="P85" i="12"/>
  <c r="R85" i="12" s="1"/>
  <c r="O85" i="12"/>
  <c r="B175" i="13" s="1"/>
  <c r="J85" i="12"/>
  <c r="V87" i="10"/>
  <c r="B89" i="10"/>
  <c r="E76" i="13" s="1"/>
  <c r="C75" i="13"/>
  <c r="O88" i="10"/>
  <c r="B75" i="13" s="1"/>
  <c r="P88" i="10"/>
  <c r="R88" i="10" s="1"/>
  <c r="S88" i="10"/>
  <c r="T88" i="10" s="1"/>
  <c r="I88" i="10"/>
  <c r="J88" i="10"/>
  <c r="Z88" i="10"/>
  <c r="AB88" i="10" s="1"/>
  <c r="X88" i="10"/>
  <c r="W87" i="10"/>
  <c r="Q87" i="10"/>
  <c r="U87" i="10"/>
  <c r="G76" i="13" l="1"/>
  <c r="H76" i="13"/>
  <c r="I76" i="13" s="1"/>
  <c r="G175" i="13"/>
  <c r="H175" i="13"/>
  <c r="I175" i="13" s="1"/>
  <c r="Q88" i="10"/>
  <c r="B87" i="12"/>
  <c r="C177" i="13" s="1"/>
  <c r="E176" i="13"/>
  <c r="S86" i="12"/>
  <c r="T86" i="12" s="1"/>
  <c r="I86" i="12"/>
  <c r="O86" i="12"/>
  <c r="B176" i="13" s="1"/>
  <c r="V86" i="12"/>
  <c r="P86" i="12"/>
  <c r="R86" i="12" s="1"/>
  <c r="X86" i="12"/>
  <c r="J86" i="12"/>
  <c r="Q85" i="12"/>
  <c r="U86" i="12"/>
  <c r="V88" i="10"/>
  <c r="U88" i="10"/>
  <c r="B90" i="10"/>
  <c r="E77" i="13" s="1"/>
  <c r="P89" i="10"/>
  <c r="R89" i="10" s="1"/>
  <c r="S89" i="10"/>
  <c r="T89" i="10" s="1"/>
  <c r="C76" i="13"/>
  <c r="O89" i="10"/>
  <c r="B76" i="13" s="1"/>
  <c r="I89" i="10"/>
  <c r="J89" i="10"/>
  <c r="Z89" i="10"/>
  <c r="AB89" i="10" s="1"/>
  <c r="X89" i="10"/>
  <c r="W88" i="10"/>
  <c r="G77" i="13" l="1"/>
  <c r="H77" i="13"/>
  <c r="I77" i="13" s="1"/>
  <c r="G176" i="13"/>
  <c r="H176" i="13"/>
  <c r="I176" i="13" s="1"/>
  <c r="Q86" i="12"/>
  <c r="B88" i="12"/>
  <c r="C178" i="13" s="1"/>
  <c r="E177" i="13"/>
  <c r="P87" i="12"/>
  <c r="R87" i="12" s="1"/>
  <c r="O87" i="12"/>
  <c r="B177" i="13" s="1"/>
  <c r="V87" i="12"/>
  <c r="I87" i="12"/>
  <c r="S87" i="12"/>
  <c r="T87" i="12" s="1"/>
  <c r="J87" i="12"/>
  <c r="X87" i="12"/>
  <c r="U87" i="12"/>
  <c r="U89" i="10"/>
  <c r="V89" i="10"/>
  <c r="B91" i="10"/>
  <c r="E78" i="13" s="1"/>
  <c r="P90" i="10"/>
  <c r="R90" i="10" s="1"/>
  <c r="C77" i="13"/>
  <c r="O90" i="10"/>
  <c r="B77" i="13" s="1"/>
  <c r="S90" i="10"/>
  <c r="T90" i="10" s="1"/>
  <c r="I90" i="10"/>
  <c r="J90" i="10"/>
  <c r="Z90" i="10"/>
  <c r="AB90" i="10" s="1"/>
  <c r="X90" i="10"/>
  <c r="W89" i="10"/>
  <c r="Q89" i="10"/>
  <c r="G78" i="13" l="1"/>
  <c r="H78" i="13"/>
  <c r="I78" i="13" s="1"/>
  <c r="G177" i="13"/>
  <c r="H177" i="13"/>
  <c r="I177" i="13" s="1"/>
  <c r="Q87" i="12"/>
  <c r="B89" i="12"/>
  <c r="C179" i="13" s="1"/>
  <c r="E178" i="13"/>
  <c r="O88" i="12"/>
  <c r="B178" i="13" s="1"/>
  <c r="P88" i="12"/>
  <c r="R88" i="12" s="1"/>
  <c r="V88" i="12"/>
  <c r="S88" i="12"/>
  <c r="T88" i="12" s="1"/>
  <c r="I88" i="12"/>
  <c r="X88" i="12"/>
  <c r="J88" i="12"/>
  <c r="U88" i="12"/>
  <c r="V90" i="10"/>
  <c r="U90" i="10"/>
  <c r="Q90" i="10"/>
  <c r="B92" i="10"/>
  <c r="E79" i="13" s="1"/>
  <c r="C78" i="13"/>
  <c r="P91" i="10"/>
  <c r="R91" i="10" s="1"/>
  <c r="O91" i="10"/>
  <c r="B78" i="13" s="1"/>
  <c r="J91" i="10"/>
  <c r="S91" i="10"/>
  <c r="T91" i="10" s="1"/>
  <c r="I91" i="10"/>
  <c r="Z91" i="10"/>
  <c r="AB91" i="10" s="1"/>
  <c r="X91" i="10"/>
  <c r="W90" i="10"/>
  <c r="G79" i="13" l="1"/>
  <c r="H79" i="13"/>
  <c r="I79" i="13" s="1"/>
  <c r="G178" i="13"/>
  <c r="H178" i="13"/>
  <c r="I178" i="13" s="1"/>
  <c r="Q88" i="12"/>
  <c r="U89" i="12"/>
  <c r="B90" i="12"/>
  <c r="C180" i="13" s="1"/>
  <c r="E179" i="13"/>
  <c r="V89" i="12"/>
  <c r="P89" i="12"/>
  <c r="R89" i="12" s="1"/>
  <c r="O89" i="12"/>
  <c r="B179" i="13" s="1"/>
  <c r="J89" i="12"/>
  <c r="I89" i="12"/>
  <c r="S89" i="12"/>
  <c r="T89" i="12" s="1"/>
  <c r="X89" i="12"/>
  <c r="V91" i="10"/>
  <c r="U91" i="10"/>
  <c r="B93" i="10"/>
  <c r="E80" i="13" s="1"/>
  <c r="P92" i="10"/>
  <c r="R92" i="10" s="1"/>
  <c r="O92" i="10"/>
  <c r="B79" i="13" s="1"/>
  <c r="C79" i="13"/>
  <c r="J92" i="10"/>
  <c r="I92" i="10"/>
  <c r="S92" i="10"/>
  <c r="T92" i="10" s="1"/>
  <c r="Z92" i="10"/>
  <c r="AB92" i="10" s="1"/>
  <c r="X92" i="10"/>
  <c r="W91" i="10"/>
  <c r="Q91" i="10"/>
  <c r="G80" i="13" l="1"/>
  <c r="H80" i="13"/>
  <c r="I80" i="13" s="1"/>
  <c r="G179" i="13"/>
  <c r="H179" i="13"/>
  <c r="I179" i="13" s="1"/>
  <c r="U90" i="12"/>
  <c r="Q89" i="12"/>
  <c r="B91" i="12"/>
  <c r="C181" i="13" s="1"/>
  <c r="E180" i="13"/>
  <c r="V90" i="12"/>
  <c r="P90" i="12"/>
  <c r="R90" i="12" s="1"/>
  <c r="I90" i="12"/>
  <c r="O90" i="12"/>
  <c r="B180" i="13" s="1"/>
  <c r="S90" i="12"/>
  <c r="T90" i="12" s="1"/>
  <c r="J90" i="12"/>
  <c r="X90" i="12"/>
  <c r="V92" i="10"/>
  <c r="U92" i="10"/>
  <c r="Q92" i="10"/>
  <c r="B94" i="10"/>
  <c r="E81" i="13" s="1"/>
  <c r="S93" i="10"/>
  <c r="T93" i="10" s="1"/>
  <c r="C80" i="13"/>
  <c r="I93" i="10"/>
  <c r="P93" i="10"/>
  <c r="R93" i="10" s="1"/>
  <c r="O93" i="10"/>
  <c r="B80" i="13" s="1"/>
  <c r="Z93" i="10"/>
  <c r="AB93" i="10" s="1"/>
  <c r="J93" i="10"/>
  <c r="X93" i="10"/>
  <c r="W92" i="10"/>
  <c r="G180" i="13" l="1"/>
  <c r="H180" i="13"/>
  <c r="I180" i="13" s="1"/>
  <c r="G81" i="13"/>
  <c r="H81" i="13"/>
  <c r="I81" i="13" s="1"/>
  <c r="Q90" i="12"/>
  <c r="B92" i="12"/>
  <c r="C182" i="13" s="1"/>
  <c r="E181" i="13"/>
  <c r="V91" i="12"/>
  <c r="P91" i="12"/>
  <c r="R91" i="12" s="1"/>
  <c r="O91" i="12"/>
  <c r="B181" i="13" s="1"/>
  <c r="J91" i="12"/>
  <c r="I91" i="12"/>
  <c r="S91" i="12"/>
  <c r="T91" i="12" s="1"/>
  <c r="X91" i="12"/>
  <c r="U91" i="12"/>
  <c r="U93" i="10"/>
  <c r="V93" i="10"/>
  <c r="X94" i="10"/>
  <c r="W93" i="10"/>
  <c r="B95" i="10"/>
  <c r="E82" i="13" s="1"/>
  <c r="O94" i="10"/>
  <c r="B81" i="13" s="1"/>
  <c r="C81" i="13"/>
  <c r="P94" i="10"/>
  <c r="R94" i="10" s="1"/>
  <c r="J94" i="10"/>
  <c r="S94" i="10"/>
  <c r="T94" i="10" s="1"/>
  <c r="I94" i="10"/>
  <c r="Z94" i="10"/>
  <c r="AB94" i="10" s="1"/>
  <c r="Q93" i="10"/>
  <c r="G82" i="13" l="1"/>
  <c r="H82" i="13"/>
  <c r="I82" i="13" s="1"/>
  <c r="G181" i="13"/>
  <c r="H181" i="13"/>
  <c r="I181" i="13" s="1"/>
  <c r="U92" i="12"/>
  <c r="Q91" i="12"/>
  <c r="B93" i="12"/>
  <c r="C183" i="13" s="1"/>
  <c r="E182" i="13"/>
  <c r="O92" i="12"/>
  <c r="B182" i="13" s="1"/>
  <c r="V92" i="12"/>
  <c r="S92" i="12"/>
  <c r="T92" i="12" s="1"/>
  <c r="I92" i="12"/>
  <c r="P92" i="12"/>
  <c r="R92" i="12" s="1"/>
  <c r="J92" i="12"/>
  <c r="X92" i="12"/>
  <c r="V94" i="10"/>
  <c r="U94" i="10"/>
  <c r="B96" i="10"/>
  <c r="E83" i="13" s="1"/>
  <c r="C82" i="13"/>
  <c r="O95" i="10"/>
  <c r="B82" i="13" s="1"/>
  <c r="P95" i="10"/>
  <c r="R95" i="10" s="1"/>
  <c r="J95" i="10"/>
  <c r="S95" i="10"/>
  <c r="T95" i="10" s="1"/>
  <c r="I95" i="10"/>
  <c r="Z95" i="10"/>
  <c r="AB95" i="10" s="1"/>
  <c r="X95" i="10"/>
  <c r="W94" i="10"/>
  <c r="Q94" i="10"/>
  <c r="Q95" i="10" l="1"/>
  <c r="G83" i="13"/>
  <c r="H83" i="13"/>
  <c r="I83" i="13" s="1"/>
  <c r="G182" i="13"/>
  <c r="H182" i="13"/>
  <c r="I182" i="13" s="1"/>
  <c r="Q92" i="12"/>
  <c r="B94" i="12"/>
  <c r="C184" i="13" s="1"/>
  <c r="E183" i="13"/>
  <c r="V93" i="12"/>
  <c r="O93" i="12"/>
  <c r="B183" i="13" s="1"/>
  <c r="P93" i="12"/>
  <c r="R93" i="12" s="1"/>
  <c r="I93" i="12"/>
  <c r="S93" i="12"/>
  <c r="T93" i="12" s="1"/>
  <c r="J93" i="12"/>
  <c r="X93" i="12"/>
  <c r="U93" i="12"/>
  <c r="U95" i="10"/>
  <c r="V95" i="10"/>
  <c r="B97" i="10"/>
  <c r="E84" i="13" s="1"/>
  <c r="P96" i="10"/>
  <c r="R96" i="10" s="1"/>
  <c r="C83" i="13"/>
  <c r="O96" i="10"/>
  <c r="B83" i="13" s="1"/>
  <c r="S96" i="10"/>
  <c r="T96" i="10" s="1"/>
  <c r="I96" i="10"/>
  <c r="J96" i="10"/>
  <c r="Z96" i="10"/>
  <c r="AB96" i="10" s="1"/>
  <c r="X96" i="10"/>
  <c r="W95" i="10"/>
  <c r="G84" i="13" l="1"/>
  <c r="H84" i="13"/>
  <c r="I84" i="13" s="1"/>
  <c r="G183" i="13"/>
  <c r="H183" i="13"/>
  <c r="I183" i="13" s="1"/>
  <c r="U94" i="12"/>
  <c r="Q93" i="12"/>
  <c r="B95" i="12"/>
  <c r="C185" i="13" s="1"/>
  <c r="E184" i="13"/>
  <c r="S94" i="12"/>
  <c r="T94" i="12" s="1"/>
  <c r="I94" i="12"/>
  <c r="O94" i="12"/>
  <c r="B184" i="13" s="1"/>
  <c r="P94" i="12"/>
  <c r="R94" i="12" s="1"/>
  <c r="V94" i="12"/>
  <c r="J94" i="12"/>
  <c r="X94" i="12"/>
  <c r="U96" i="10"/>
  <c r="V96" i="10"/>
  <c r="B98" i="10"/>
  <c r="E85" i="13" s="1"/>
  <c r="C84" i="13"/>
  <c r="O97" i="10"/>
  <c r="B84" i="13" s="1"/>
  <c r="P97" i="10"/>
  <c r="R97" i="10" s="1"/>
  <c r="S97" i="10"/>
  <c r="T97" i="10" s="1"/>
  <c r="I97" i="10"/>
  <c r="J97" i="10"/>
  <c r="Z97" i="10"/>
  <c r="AB97" i="10" s="1"/>
  <c r="Q96" i="10"/>
  <c r="X97" i="10"/>
  <c r="W96" i="10"/>
  <c r="G85" i="13" l="1"/>
  <c r="H85" i="13"/>
  <c r="I85" i="13" s="1"/>
  <c r="G184" i="13"/>
  <c r="H184" i="13"/>
  <c r="I184" i="13" s="1"/>
  <c r="B96" i="12"/>
  <c r="C186" i="13" s="1"/>
  <c r="E185" i="13"/>
  <c r="V95" i="12"/>
  <c r="S95" i="12"/>
  <c r="T95" i="12" s="1"/>
  <c r="P95" i="12"/>
  <c r="R95" i="12" s="1"/>
  <c r="X95" i="12"/>
  <c r="O95" i="12"/>
  <c r="B185" i="13" s="1"/>
  <c r="I95" i="12"/>
  <c r="J95" i="12"/>
  <c r="U95" i="12"/>
  <c r="Q94" i="12"/>
  <c r="V97" i="10"/>
  <c r="U97" i="10"/>
  <c r="Q97" i="10"/>
  <c r="X98" i="10"/>
  <c r="W97" i="10"/>
  <c r="B99" i="10"/>
  <c r="E86" i="13" s="1"/>
  <c r="C85" i="13"/>
  <c r="P98" i="10"/>
  <c r="R98" i="10" s="1"/>
  <c r="O98" i="10"/>
  <c r="B85" i="13" s="1"/>
  <c r="S98" i="10"/>
  <c r="T98" i="10" s="1"/>
  <c r="J98" i="10"/>
  <c r="I98" i="10"/>
  <c r="Z98" i="10"/>
  <c r="AB98" i="10" s="1"/>
  <c r="G185" i="13" l="1"/>
  <c r="H185" i="13"/>
  <c r="I185" i="13" s="1"/>
  <c r="G86" i="13"/>
  <c r="H86" i="13"/>
  <c r="I86" i="13" s="1"/>
  <c r="U96" i="12"/>
  <c r="Q95" i="12"/>
  <c r="B97" i="12"/>
  <c r="C187" i="13" s="1"/>
  <c r="E186" i="13"/>
  <c r="I96" i="12"/>
  <c r="X96" i="12"/>
  <c r="S96" i="12"/>
  <c r="T96" i="12" s="1"/>
  <c r="O96" i="12"/>
  <c r="B186" i="13" s="1"/>
  <c r="P96" i="12"/>
  <c r="R96" i="12" s="1"/>
  <c r="V96" i="12"/>
  <c r="J96" i="12"/>
  <c r="V98" i="10"/>
  <c r="U98" i="10"/>
  <c r="Q98" i="10"/>
  <c r="X99" i="10"/>
  <c r="W98" i="10"/>
  <c r="B100" i="10"/>
  <c r="E87" i="13" s="1"/>
  <c r="C86" i="13"/>
  <c r="P99" i="10"/>
  <c r="R99" i="10" s="1"/>
  <c r="O99" i="10"/>
  <c r="B86" i="13" s="1"/>
  <c r="J99" i="10"/>
  <c r="S99" i="10"/>
  <c r="T99" i="10" s="1"/>
  <c r="I99" i="10"/>
  <c r="Z99" i="10"/>
  <c r="AB99" i="10" s="1"/>
  <c r="G87" i="13" l="1"/>
  <c r="H87" i="13"/>
  <c r="I87" i="13" s="1"/>
  <c r="G186" i="13"/>
  <c r="H186" i="13"/>
  <c r="I186" i="13" s="1"/>
  <c r="Q96" i="12"/>
  <c r="B98" i="12"/>
  <c r="C188" i="13" s="1"/>
  <c r="E187" i="13"/>
  <c r="X97" i="12"/>
  <c r="I97" i="12"/>
  <c r="S97" i="12"/>
  <c r="T97" i="12" s="1"/>
  <c r="O97" i="12"/>
  <c r="B187" i="13" s="1"/>
  <c r="P97" i="12"/>
  <c r="R97" i="12" s="1"/>
  <c r="V97" i="12"/>
  <c r="J97" i="12"/>
  <c r="U97" i="12"/>
  <c r="V99" i="10"/>
  <c r="U99" i="10"/>
  <c r="B101" i="10"/>
  <c r="E88" i="13" s="1"/>
  <c r="P100" i="10"/>
  <c r="R100" i="10" s="1"/>
  <c r="C87" i="13"/>
  <c r="O100" i="10"/>
  <c r="B87" i="13" s="1"/>
  <c r="S100" i="10"/>
  <c r="T100" i="10" s="1"/>
  <c r="I100" i="10"/>
  <c r="J100" i="10"/>
  <c r="Z100" i="10"/>
  <c r="AB100" i="10" s="1"/>
  <c r="X100" i="10"/>
  <c r="W99" i="10"/>
  <c r="Q99" i="10"/>
  <c r="U100" i="10" l="1"/>
  <c r="G88" i="13"/>
  <c r="H88" i="13"/>
  <c r="I88" i="13" s="1"/>
  <c r="G187" i="13"/>
  <c r="H187" i="13"/>
  <c r="I187" i="13" s="1"/>
  <c r="U98" i="12"/>
  <c r="V100" i="10"/>
  <c r="B99" i="12"/>
  <c r="C189" i="13" s="1"/>
  <c r="E188" i="13"/>
  <c r="P98" i="12"/>
  <c r="R98" i="12" s="1"/>
  <c r="O98" i="12"/>
  <c r="B188" i="13" s="1"/>
  <c r="V98" i="12"/>
  <c r="I98" i="12"/>
  <c r="S98" i="12"/>
  <c r="T98" i="12" s="1"/>
  <c r="X98" i="12"/>
  <c r="J98" i="12"/>
  <c r="Q97" i="12"/>
  <c r="Q100" i="10"/>
  <c r="B102" i="10"/>
  <c r="E89" i="13" s="1"/>
  <c r="I101" i="10"/>
  <c r="P101" i="10"/>
  <c r="R101" i="10" s="1"/>
  <c r="O101" i="10"/>
  <c r="B88" i="13" s="1"/>
  <c r="S101" i="10"/>
  <c r="T101" i="10" s="1"/>
  <c r="C88" i="13"/>
  <c r="J101" i="10"/>
  <c r="Z101" i="10"/>
  <c r="AB101" i="10" s="1"/>
  <c r="X101" i="10"/>
  <c r="W100" i="10"/>
  <c r="G89" i="13" l="1"/>
  <c r="H89" i="13"/>
  <c r="I89" i="13" s="1"/>
  <c r="G188" i="13"/>
  <c r="H188" i="13"/>
  <c r="I188" i="13" s="1"/>
  <c r="V101" i="10"/>
  <c r="B100" i="12"/>
  <c r="C190" i="13" s="1"/>
  <c r="E189" i="13"/>
  <c r="O99" i="12"/>
  <c r="B189" i="13" s="1"/>
  <c r="P99" i="12"/>
  <c r="R99" i="12" s="1"/>
  <c r="V99" i="12"/>
  <c r="S99" i="12"/>
  <c r="T99" i="12" s="1"/>
  <c r="J99" i="12"/>
  <c r="I99" i="12"/>
  <c r="X99" i="12"/>
  <c r="U101" i="10"/>
  <c r="U99" i="12"/>
  <c r="Q98" i="12"/>
  <c r="Q101" i="10"/>
  <c r="X102" i="10"/>
  <c r="W101" i="10"/>
  <c r="B103" i="10"/>
  <c r="E90" i="13" s="1"/>
  <c r="O102" i="10"/>
  <c r="B89" i="13" s="1"/>
  <c r="C89" i="13"/>
  <c r="P102" i="10"/>
  <c r="R102" i="10" s="1"/>
  <c r="J102" i="10"/>
  <c r="I102" i="10"/>
  <c r="S102" i="10"/>
  <c r="T102" i="10" s="1"/>
  <c r="Z102" i="10"/>
  <c r="AB102" i="10" s="1"/>
  <c r="G90" i="13" l="1"/>
  <c r="H90" i="13"/>
  <c r="I90" i="13" s="1"/>
  <c r="G189" i="13"/>
  <c r="H189" i="13"/>
  <c r="I189" i="13" s="1"/>
  <c r="U100" i="12"/>
  <c r="U102" i="10"/>
  <c r="V102" i="10"/>
  <c r="Q99" i="12"/>
  <c r="B101" i="12"/>
  <c r="E190" i="13"/>
  <c r="X100" i="12"/>
  <c r="S100" i="12"/>
  <c r="T100" i="12" s="1"/>
  <c r="I100" i="12"/>
  <c r="V100" i="12"/>
  <c r="P100" i="12"/>
  <c r="R100" i="12" s="1"/>
  <c r="O100" i="12"/>
  <c r="B190" i="13" s="1"/>
  <c r="J100" i="12"/>
  <c r="Q102" i="10"/>
  <c r="B104" i="10"/>
  <c r="E91" i="13" s="1"/>
  <c r="P103" i="10"/>
  <c r="R103" i="10" s="1"/>
  <c r="O103" i="10"/>
  <c r="B90" i="13" s="1"/>
  <c r="C90" i="13"/>
  <c r="S103" i="10"/>
  <c r="T103" i="10" s="1"/>
  <c r="J103" i="10"/>
  <c r="I103" i="10"/>
  <c r="Z103" i="10"/>
  <c r="AB103" i="10" s="1"/>
  <c r="X103" i="10"/>
  <c r="W102" i="10"/>
  <c r="V103" i="10" l="1"/>
  <c r="G190" i="13"/>
  <c r="H190" i="13"/>
  <c r="I190" i="13" s="1"/>
  <c r="U101" i="12"/>
  <c r="C191" i="13"/>
  <c r="G91" i="13"/>
  <c r="H91" i="13"/>
  <c r="I91" i="13" s="1"/>
  <c r="U103" i="10"/>
  <c r="B102" i="12"/>
  <c r="C192" i="13" s="1"/>
  <c r="E191" i="13"/>
  <c r="O101" i="12"/>
  <c r="B191" i="13" s="1"/>
  <c r="P101" i="12"/>
  <c r="R101" i="12" s="1"/>
  <c r="V101" i="12"/>
  <c r="I101" i="12"/>
  <c r="S101" i="12"/>
  <c r="T101" i="12" s="1"/>
  <c r="J101" i="12"/>
  <c r="X101" i="12"/>
  <c r="Q100" i="12"/>
  <c r="Q103" i="10"/>
  <c r="B105" i="10"/>
  <c r="E92" i="13" s="1"/>
  <c r="P104" i="10"/>
  <c r="R104" i="10" s="1"/>
  <c r="C91" i="13"/>
  <c r="O104" i="10"/>
  <c r="B91" i="13" s="1"/>
  <c r="J104" i="10"/>
  <c r="I104" i="10"/>
  <c r="S104" i="10"/>
  <c r="T104" i="10" s="1"/>
  <c r="Z104" i="10"/>
  <c r="AB104" i="10" s="1"/>
  <c r="X104" i="10"/>
  <c r="W103" i="10"/>
  <c r="G191" i="13" l="1"/>
  <c r="H191" i="13"/>
  <c r="I191" i="13" s="1"/>
  <c r="G92" i="13"/>
  <c r="H92" i="13"/>
  <c r="I92" i="13" s="1"/>
  <c r="U104" i="10"/>
  <c r="Q101" i="12"/>
  <c r="B103" i="12"/>
  <c r="C193" i="13" s="1"/>
  <c r="E192" i="13"/>
  <c r="I102" i="12"/>
  <c r="V102" i="12"/>
  <c r="O102" i="12"/>
  <c r="B192" i="13" s="1"/>
  <c r="S102" i="12"/>
  <c r="T102" i="12" s="1"/>
  <c r="P102" i="12"/>
  <c r="R102" i="12" s="1"/>
  <c r="J102" i="12"/>
  <c r="X102" i="12"/>
  <c r="U102" i="12"/>
  <c r="V104" i="10"/>
  <c r="Q104" i="10"/>
  <c r="B106" i="10"/>
  <c r="E93" i="13" s="1"/>
  <c r="P105" i="10"/>
  <c r="R105" i="10" s="1"/>
  <c r="O105" i="10"/>
  <c r="B92" i="13" s="1"/>
  <c r="C92" i="13"/>
  <c r="J105" i="10"/>
  <c r="I105" i="10"/>
  <c r="S105" i="10"/>
  <c r="T105" i="10" s="1"/>
  <c r="Z105" i="10"/>
  <c r="AB105" i="10" s="1"/>
  <c r="X105" i="10"/>
  <c r="W104" i="10"/>
  <c r="V105" i="10" l="1"/>
  <c r="G93" i="13"/>
  <c r="H93" i="13"/>
  <c r="I93" i="13" s="1"/>
  <c r="G192" i="13"/>
  <c r="H192" i="13"/>
  <c r="I192" i="13" s="1"/>
  <c r="U103" i="12"/>
  <c r="U105" i="10"/>
  <c r="Q102" i="12"/>
  <c r="B104" i="12"/>
  <c r="C194" i="13" s="1"/>
  <c r="E193" i="13"/>
  <c r="O103" i="12"/>
  <c r="B193" i="13" s="1"/>
  <c r="P103" i="12"/>
  <c r="R103" i="12" s="1"/>
  <c r="V103" i="12"/>
  <c r="I103" i="12"/>
  <c r="J103" i="12"/>
  <c r="S103" i="12"/>
  <c r="T103" i="12" s="1"/>
  <c r="X103" i="12"/>
  <c r="B107" i="10"/>
  <c r="E94" i="13" s="1"/>
  <c r="O106" i="10"/>
  <c r="B93" i="13" s="1"/>
  <c r="C93" i="13"/>
  <c r="P106" i="10"/>
  <c r="R106" i="10" s="1"/>
  <c r="J106" i="10"/>
  <c r="I106" i="10"/>
  <c r="S106" i="10"/>
  <c r="T106" i="10" s="1"/>
  <c r="Z106" i="10"/>
  <c r="AB106" i="10" s="1"/>
  <c r="X106" i="10"/>
  <c r="W105" i="10"/>
  <c r="Q105" i="10"/>
  <c r="V106" i="10" l="1"/>
  <c r="U106" i="10"/>
  <c r="G94" i="13"/>
  <c r="H94" i="13"/>
  <c r="I94" i="13" s="1"/>
  <c r="G193" i="13"/>
  <c r="H193" i="13"/>
  <c r="I193" i="13" s="1"/>
  <c r="Q103" i="12"/>
  <c r="B105" i="12"/>
  <c r="C195" i="13" s="1"/>
  <c r="E194" i="13"/>
  <c r="P104" i="12"/>
  <c r="R104" i="12" s="1"/>
  <c r="O104" i="12"/>
  <c r="B194" i="13" s="1"/>
  <c r="V104" i="12"/>
  <c r="J104" i="12"/>
  <c r="S104" i="12"/>
  <c r="T104" i="12" s="1"/>
  <c r="I104" i="12"/>
  <c r="X104" i="12"/>
  <c r="U104" i="12"/>
  <c r="B108" i="10"/>
  <c r="E95" i="13" s="1"/>
  <c r="C94" i="13"/>
  <c r="P107" i="10"/>
  <c r="R107" i="10" s="1"/>
  <c r="O107" i="10"/>
  <c r="B94" i="13" s="1"/>
  <c r="J107" i="10"/>
  <c r="S107" i="10"/>
  <c r="T107" i="10" s="1"/>
  <c r="I107" i="10"/>
  <c r="Z107" i="10"/>
  <c r="AB107" i="10" s="1"/>
  <c r="X107" i="10"/>
  <c r="W106" i="10"/>
  <c r="Q106" i="10"/>
  <c r="G95" i="13" l="1"/>
  <c r="H95" i="13"/>
  <c r="I95" i="13" s="1"/>
  <c r="G194" i="13"/>
  <c r="H194" i="13"/>
  <c r="I194" i="13" s="1"/>
  <c r="U105" i="12"/>
  <c r="V107" i="10"/>
  <c r="B106" i="12"/>
  <c r="C196" i="13" s="1"/>
  <c r="E195" i="13"/>
  <c r="I105" i="12"/>
  <c r="S105" i="12"/>
  <c r="T105" i="12" s="1"/>
  <c r="V105" i="12"/>
  <c r="X105" i="12"/>
  <c r="O105" i="12"/>
  <c r="B195" i="13" s="1"/>
  <c r="P105" i="12"/>
  <c r="R105" i="12" s="1"/>
  <c r="J105" i="12"/>
  <c r="U107" i="10"/>
  <c r="Q104" i="12"/>
  <c r="B109" i="10"/>
  <c r="E96" i="13" s="1"/>
  <c r="O108" i="10"/>
  <c r="B95" i="13" s="1"/>
  <c r="C95" i="13"/>
  <c r="P108" i="10"/>
  <c r="R108" i="10" s="1"/>
  <c r="J108" i="10"/>
  <c r="S108" i="10"/>
  <c r="T108" i="10" s="1"/>
  <c r="I108" i="10"/>
  <c r="Z108" i="10"/>
  <c r="AB108" i="10" s="1"/>
  <c r="Q107" i="10"/>
  <c r="X108" i="10"/>
  <c r="W107" i="10"/>
  <c r="G195" i="13" l="1"/>
  <c r="H195" i="13"/>
  <c r="I195" i="13" s="1"/>
  <c r="G96" i="13"/>
  <c r="H96" i="13"/>
  <c r="I96" i="13" s="1"/>
  <c r="V108" i="10"/>
  <c r="Q105" i="12"/>
  <c r="U106" i="12"/>
  <c r="B107" i="12"/>
  <c r="C197" i="13" s="1"/>
  <c r="E196" i="13"/>
  <c r="V106" i="12"/>
  <c r="O106" i="12"/>
  <c r="B196" i="13" s="1"/>
  <c r="P106" i="12"/>
  <c r="R106" i="12" s="1"/>
  <c r="S106" i="12"/>
  <c r="T106" i="12" s="1"/>
  <c r="I106" i="12"/>
  <c r="J106" i="12"/>
  <c r="X106" i="12"/>
  <c r="U108" i="10"/>
  <c r="B110" i="10"/>
  <c r="E97" i="13" s="1"/>
  <c r="S109" i="10"/>
  <c r="T109" i="10" s="1"/>
  <c r="C96" i="13"/>
  <c r="I109" i="10"/>
  <c r="P109" i="10"/>
  <c r="R109" i="10" s="1"/>
  <c r="O109" i="10"/>
  <c r="B96" i="13" s="1"/>
  <c r="J109" i="10"/>
  <c r="Z109" i="10"/>
  <c r="AB109" i="10" s="1"/>
  <c r="X109" i="10"/>
  <c r="W108" i="10"/>
  <c r="Q108" i="10"/>
  <c r="V109" i="10" l="1"/>
  <c r="G196" i="13"/>
  <c r="H196" i="13"/>
  <c r="I196" i="13" s="1"/>
  <c r="G97" i="13"/>
  <c r="H97" i="13"/>
  <c r="I97" i="13" s="1"/>
  <c r="B108" i="12"/>
  <c r="C198" i="13" s="1"/>
  <c r="E197" i="13"/>
  <c r="I107" i="12"/>
  <c r="S107" i="12"/>
  <c r="T107" i="12" s="1"/>
  <c r="O107" i="12"/>
  <c r="B197" i="13" s="1"/>
  <c r="X107" i="12"/>
  <c r="P107" i="12"/>
  <c r="R107" i="12" s="1"/>
  <c r="V107" i="12"/>
  <c r="J107" i="12"/>
  <c r="Q109" i="10"/>
  <c r="U109" i="10"/>
  <c r="Q106" i="12"/>
  <c r="U107" i="12"/>
  <c r="B111" i="10"/>
  <c r="E98" i="13" s="1"/>
  <c r="C97" i="13"/>
  <c r="P110" i="10"/>
  <c r="R110" i="10" s="1"/>
  <c r="O110" i="10"/>
  <c r="B97" i="13" s="1"/>
  <c r="S110" i="10"/>
  <c r="T110" i="10" s="1"/>
  <c r="I110" i="10"/>
  <c r="J110" i="10"/>
  <c r="Z110" i="10"/>
  <c r="AB110" i="10" s="1"/>
  <c r="X110" i="10"/>
  <c r="W109" i="10"/>
  <c r="G98" i="13" l="1"/>
  <c r="H98" i="13"/>
  <c r="I98" i="13" s="1"/>
  <c r="G197" i="13"/>
  <c r="H197" i="13"/>
  <c r="I197" i="13" s="1"/>
  <c r="Q107" i="12"/>
  <c r="U108" i="12"/>
  <c r="U110" i="10"/>
  <c r="B109" i="12"/>
  <c r="C199" i="13" s="1"/>
  <c r="E198" i="13"/>
  <c r="V108" i="12"/>
  <c r="O108" i="12"/>
  <c r="B198" i="13" s="1"/>
  <c r="P108" i="12"/>
  <c r="R108" i="12" s="1"/>
  <c r="I108" i="12"/>
  <c r="S108" i="12"/>
  <c r="T108" i="12" s="1"/>
  <c r="X108" i="12"/>
  <c r="J108" i="12"/>
  <c r="V110" i="10"/>
  <c r="X111" i="10"/>
  <c r="W110" i="10"/>
  <c r="Q110" i="10"/>
  <c r="B112" i="10"/>
  <c r="E99" i="13" s="1"/>
  <c r="C98" i="13"/>
  <c r="P111" i="10"/>
  <c r="R111" i="10" s="1"/>
  <c r="O111" i="10"/>
  <c r="B98" i="13" s="1"/>
  <c r="S111" i="10"/>
  <c r="T111" i="10" s="1"/>
  <c r="I111" i="10"/>
  <c r="J111" i="10"/>
  <c r="Z111" i="10"/>
  <c r="AB111" i="10" s="1"/>
  <c r="U111" i="10" l="1"/>
  <c r="G99" i="13"/>
  <c r="H99" i="13"/>
  <c r="I99" i="13" s="1"/>
  <c r="G198" i="13"/>
  <c r="H198" i="13"/>
  <c r="I198" i="13" s="1"/>
  <c r="V111" i="10"/>
  <c r="U109" i="12"/>
  <c r="Q108" i="12"/>
  <c r="B110" i="12"/>
  <c r="C200" i="13" s="1"/>
  <c r="E199" i="13"/>
  <c r="S109" i="12"/>
  <c r="T109" i="12" s="1"/>
  <c r="O109" i="12"/>
  <c r="B199" i="13" s="1"/>
  <c r="V109" i="12"/>
  <c r="P109" i="12"/>
  <c r="R109" i="12" s="1"/>
  <c r="X109" i="12"/>
  <c r="I109" i="12"/>
  <c r="J109" i="12"/>
  <c r="Q111" i="10"/>
  <c r="B113" i="10"/>
  <c r="E100" i="13" s="1"/>
  <c r="O112" i="10"/>
  <c r="B99" i="13" s="1"/>
  <c r="C99" i="13"/>
  <c r="P112" i="10"/>
  <c r="R112" i="10" s="1"/>
  <c r="I112" i="10"/>
  <c r="S112" i="10"/>
  <c r="T112" i="10" s="1"/>
  <c r="J112" i="10"/>
  <c r="Z112" i="10"/>
  <c r="AB112" i="10" s="1"/>
  <c r="X112" i="10"/>
  <c r="W111" i="10"/>
  <c r="G100" i="13" l="1"/>
  <c r="H100" i="13"/>
  <c r="I100" i="13" s="1"/>
  <c r="G199" i="13"/>
  <c r="H199" i="13"/>
  <c r="I199" i="13" s="1"/>
  <c r="U110" i="12"/>
  <c r="U112" i="10"/>
  <c r="Q109" i="12"/>
  <c r="V112" i="10"/>
  <c r="B111" i="12"/>
  <c r="C201" i="13" s="1"/>
  <c r="E200" i="13"/>
  <c r="I110" i="12"/>
  <c r="V110" i="12"/>
  <c r="S110" i="12"/>
  <c r="T110" i="12" s="1"/>
  <c r="O110" i="12"/>
  <c r="B200" i="13" s="1"/>
  <c r="P110" i="12"/>
  <c r="R110" i="12" s="1"/>
  <c r="X110" i="12"/>
  <c r="J110" i="12"/>
  <c r="B114" i="10"/>
  <c r="E101" i="13" s="1"/>
  <c r="O113" i="10"/>
  <c r="B100" i="13" s="1"/>
  <c r="S113" i="10"/>
  <c r="T113" i="10" s="1"/>
  <c r="C100" i="13"/>
  <c r="P113" i="10"/>
  <c r="R113" i="10" s="1"/>
  <c r="I113" i="10"/>
  <c r="Z113" i="10"/>
  <c r="AB113" i="10" s="1"/>
  <c r="J113" i="10"/>
  <c r="X113" i="10"/>
  <c r="W112" i="10"/>
  <c r="Q112" i="10"/>
  <c r="U113" i="10" l="1"/>
  <c r="G200" i="13"/>
  <c r="H200" i="13"/>
  <c r="I200" i="13" s="1"/>
  <c r="G101" i="13"/>
  <c r="H101" i="13"/>
  <c r="I101" i="13" s="1"/>
  <c r="Q110" i="12"/>
  <c r="V113" i="10"/>
  <c r="B112" i="12"/>
  <c r="C202" i="13" s="1"/>
  <c r="E201" i="13"/>
  <c r="S111" i="12"/>
  <c r="T111" i="12" s="1"/>
  <c r="I111" i="12"/>
  <c r="P111" i="12"/>
  <c r="R111" i="12" s="1"/>
  <c r="X111" i="12"/>
  <c r="V111" i="12"/>
  <c r="O111" i="12"/>
  <c r="B201" i="13" s="1"/>
  <c r="J111" i="12"/>
  <c r="U111" i="12"/>
  <c r="B115" i="10"/>
  <c r="E102" i="13" s="1"/>
  <c r="C101" i="13"/>
  <c r="P114" i="10"/>
  <c r="R114" i="10" s="1"/>
  <c r="O114" i="10"/>
  <c r="B101" i="13" s="1"/>
  <c r="J114" i="10"/>
  <c r="S114" i="10"/>
  <c r="T114" i="10" s="1"/>
  <c r="I114" i="10"/>
  <c r="Z114" i="10"/>
  <c r="AB114" i="10" s="1"/>
  <c r="X114" i="10"/>
  <c r="W113" i="10"/>
  <c r="Q113" i="10"/>
  <c r="G102" i="13" l="1"/>
  <c r="H102" i="13"/>
  <c r="I102" i="13" s="1"/>
  <c r="G201" i="13"/>
  <c r="H201" i="13"/>
  <c r="I201" i="13" s="1"/>
  <c r="U112" i="12"/>
  <c r="Q111" i="12"/>
  <c r="V114" i="10"/>
  <c r="U114" i="10"/>
  <c r="B113" i="12"/>
  <c r="C203" i="13" s="1"/>
  <c r="E202" i="13"/>
  <c r="S112" i="12"/>
  <c r="T112" i="12" s="1"/>
  <c r="I112" i="12"/>
  <c r="X112" i="12"/>
  <c r="O112" i="12"/>
  <c r="B202" i="13" s="1"/>
  <c r="P112" i="12"/>
  <c r="R112" i="12" s="1"/>
  <c r="V112" i="12"/>
  <c r="J112" i="12"/>
  <c r="Q114" i="10"/>
  <c r="X115" i="10"/>
  <c r="W114" i="10"/>
  <c r="B116" i="10"/>
  <c r="E103" i="13" s="1"/>
  <c r="P115" i="10"/>
  <c r="R115" i="10" s="1"/>
  <c r="O115" i="10"/>
  <c r="B102" i="13" s="1"/>
  <c r="C102" i="13"/>
  <c r="I115" i="10"/>
  <c r="J115" i="10"/>
  <c r="S115" i="10"/>
  <c r="T115" i="10" s="1"/>
  <c r="Z115" i="10"/>
  <c r="AB115" i="10" s="1"/>
  <c r="G202" i="13" l="1"/>
  <c r="H202" i="13"/>
  <c r="I202" i="13" s="1"/>
  <c r="G103" i="13"/>
  <c r="H103" i="13"/>
  <c r="I103" i="13" s="1"/>
  <c r="U115" i="10"/>
  <c r="Q112" i="12"/>
  <c r="V115" i="10"/>
  <c r="B114" i="12"/>
  <c r="C204" i="13" s="1"/>
  <c r="E203" i="13"/>
  <c r="O113" i="12"/>
  <c r="B203" i="13" s="1"/>
  <c r="V113" i="12"/>
  <c r="P113" i="12"/>
  <c r="R113" i="12" s="1"/>
  <c r="J113" i="12"/>
  <c r="I113" i="12"/>
  <c r="S113" i="12"/>
  <c r="T113" i="12" s="1"/>
  <c r="X113" i="12"/>
  <c r="U113" i="12"/>
  <c r="B117" i="10"/>
  <c r="E104" i="13" s="1"/>
  <c r="O116" i="10"/>
  <c r="B103" i="13" s="1"/>
  <c r="C103" i="13"/>
  <c r="P116" i="10"/>
  <c r="R116" i="10" s="1"/>
  <c r="J116" i="10"/>
  <c r="S116" i="10"/>
  <c r="T116" i="10" s="1"/>
  <c r="I116" i="10"/>
  <c r="Z116" i="10"/>
  <c r="AB116" i="10" s="1"/>
  <c r="Q115" i="10"/>
  <c r="X116" i="10"/>
  <c r="W115" i="10"/>
  <c r="U116" i="10" l="1"/>
  <c r="V116" i="10"/>
  <c r="G104" i="13"/>
  <c r="H104" i="13"/>
  <c r="I104" i="13" s="1"/>
  <c r="G203" i="13"/>
  <c r="H203" i="13"/>
  <c r="I203" i="13" s="1"/>
  <c r="Q113" i="12"/>
  <c r="U114" i="12"/>
  <c r="B115" i="12"/>
  <c r="C205" i="13" s="1"/>
  <c r="E204" i="13"/>
  <c r="O114" i="12"/>
  <c r="B204" i="13" s="1"/>
  <c r="V114" i="12"/>
  <c r="P114" i="12"/>
  <c r="R114" i="12" s="1"/>
  <c r="J114" i="12"/>
  <c r="I114" i="12"/>
  <c r="S114" i="12"/>
  <c r="T114" i="12" s="1"/>
  <c r="X114" i="12"/>
  <c r="B118" i="10"/>
  <c r="E105" i="13" s="1"/>
  <c r="P117" i="10"/>
  <c r="R117" i="10" s="1"/>
  <c r="I117" i="10"/>
  <c r="O117" i="10"/>
  <c r="B104" i="13" s="1"/>
  <c r="S117" i="10"/>
  <c r="T117" i="10" s="1"/>
  <c r="C104" i="13"/>
  <c r="Z117" i="10"/>
  <c r="AB117" i="10" s="1"/>
  <c r="J117" i="10"/>
  <c r="X117" i="10"/>
  <c r="W116" i="10"/>
  <c r="Q116" i="10"/>
  <c r="U117" i="10" l="1"/>
  <c r="G105" i="13"/>
  <c r="H105" i="13"/>
  <c r="I105" i="13" s="1"/>
  <c r="G204" i="13"/>
  <c r="H204" i="13"/>
  <c r="I204" i="13" s="1"/>
  <c r="Q114" i="12"/>
  <c r="B116" i="12"/>
  <c r="C206" i="13" s="1"/>
  <c r="E205" i="13"/>
  <c r="V115" i="12"/>
  <c r="P115" i="12"/>
  <c r="R115" i="12" s="1"/>
  <c r="S115" i="12"/>
  <c r="T115" i="12" s="1"/>
  <c r="I115" i="12"/>
  <c r="O115" i="12"/>
  <c r="B205" i="13" s="1"/>
  <c r="X115" i="12"/>
  <c r="J115" i="12"/>
  <c r="U115" i="12"/>
  <c r="V117" i="10"/>
  <c r="X118" i="10"/>
  <c r="W117" i="10"/>
  <c r="B119" i="10"/>
  <c r="E106" i="13" s="1"/>
  <c r="C105" i="13"/>
  <c r="P118" i="10"/>
  <c r="R118" i="10" s="1"/>
  <c r="O118" i="10"/>
  <c r="B105" i="13" s="1"/>
  <c r="S118" i="10"/>
  <c r="T118" i="10" s="1"/>
  <c r="J118" i="10"/>
  <c r="I118" i="10"/>
  <c r="Z118" i="10"/>
  <c r="AB118" i="10" s="1"/>
  <c r="Q117" i="10"/>
  <c r="U118" i="10" l="1"/>
  <c r="V118" i="10"/>
  <c r="G106" i="13"/>
  <c r="H106" i="13"/>
  <c r="I106" i="13" s="1"/>
  <c r="G205" i="13"/>
  <c r="H205" i="13"/>
  <c r="I205" i="13" s="1"/>
  <c r="U116" i="12"/>
  <c r="Q115" i="12"/>
  <c r="Q118" i="10"/>
  <c r="B117" i="12"/>
  <c r="C207" i="13" s="1"/>
  <c r="E206" i="13"/>
  <c r="O116" i="12"/>
  <c r="B206" i="13" s="1"/>
  <c r="P116" i="12"/>
  <c r="R116" i="12" s="1"/>
  <c r="V116" i="12"/>
  <c r="S116" i="12"/>
  <c r="T116" i="12" s="1"/>
  <c r="I116" i="12"/>
  <c r="X116" i="12"/>
  <c r="J116" i="12"/>
  <c r="B120" i="10"/>
  <c r="E107" i="13" s="1"/>
  <c r="AB119" i="10"/>
  <c r="O119" i="10"/>
  <c r="B106" i="13" s="1"/>
  <c r="C106" i="13"/>
  <c r="P119" i="10"/>
  <c r="R119" i="10" s="1"/>
  <c r="I119" i="10"/>
  <c r="S119" i="10"/>
  <c r="T119" i="10" s="1"/>
  <c r="J119" i="10"/>
  <c r="Z119" i="10"/>
  <c r="X119" i="10"/>
  <c r="W118" i="10"/>
  <c r="V119" i="10" l="1"/>
  <c r="U119" i="10"/>
  <c r="G107" i="13"/>
  <c r="H107" i="13"/>
  <c r="I107" i="13" s="1"/>
  <c r="G206" i="13"/>
  <c r="H206" i="13"/>
  <c r="I206" i="13" s="1"/>
  <c r="U117" i="12"/>
  <c r="Q116" i="12"/>
  <c r="B118" i="12"/>
  <c r="C208" i="13" s="1"/>
  <c r="E207" i="13"/>
  <c r="P117" i="12"/>
  <c r="R117" i="12" s="1"/>
  <c r="V117" i="12"/>
  <c r="S117" i="12"/>
  <c r="T117" i="12" s="1"/>
  <c r="I117" i="12"/>
  <c r="O117" i="12"/>
  <c r="B207" i="13" s="1"/>
  <c r="X117" i="12"/>
  <c r="J117" i="12"/>
  <c r="Q119" i="10"/>
  <c r="B121" i="10"/>
  <c r="E108" i="13" s="1"/>
  <c r="H108" i="13" s="1"/>
  <c r="H109" i="13" s="1"/>
  <c r="O120" i="10"/>
  <c r="B107" i="13" s="1"/>
  <c r="C107" i="13"/>
  <c r="P120" i="10"/>
  <c r="R120" i="10" s="1"/>
  <c r="J120" i="10"/>
  <c r="S120" i="10"/>
  <c r="T120" i="10" s="1"/>
  <c r="I120" i="10"/>
  <c r="Z120" i="10"/>
  <c r="AB120" i="10" s="1"/>
  <c r="X120" i="10"/>
  <c r="W119" i="10"/>
  <c r="U120" i="10" l="1"/>
  <c r="V120" i="10"/>
  <c r="I108" i="13"/>
  <c r="I109" i="13" s="1"/>
  <c r="G207" i="13"/>
  <c r="H207" i="13"/>
  <c r="I207" i="13" s="1"/>
  <c r="E109" i="13"/>
  <c r="G109" i="13" s="1"/>
  <c r="G108" i="13"/>
  <c r="U118" i="12"/>
  <c r="Q117" i="12"/>
  <c r="B119" i="12"/>
  <c r="C209" i="13" s="1"/>
  <c r="E208" i="13"/>
  <c r="O118" i="12"/>
  <c r="B208" i="13" s="1"/>
  <c r="P118" i="12"/>
  <c r="R118" i="12" s="1"/>
  <c r="V118" i="12"/>
  <c r="J118" i="12"/>
  <c r="S118" i="12"/>
  <c r="T118" i="12" s="1"/>
  <c r="I118" i="12"/>
  <c r="X118" i="12"/>
  <c r="Q120" i="10"/>
  <c r="C108" i="13"/>
  <c r="C109" i="13" s="1"/>
  <c r="P121" i="10"/>
  <c r="R121" i="10" s="1"/>
  <c r="O121" i="10"/>
  <c r="B108" i="13" s="1"/>
  <c r="B109" i="13" s="1"/>
  <c r="J121" i="10"/>
  <c r="I121" i="10"/>
  <c r="S121" i="10"/>
  <c r="T121" i="10" s="1"/>
  <c r="Z121" i="10"/>
  <c r="AA121" i="10" s="1"/>
  <c r="X121" i="10"/>
  <c r="W121" i="10" s="1"/>
  <c r="W120" i="10"/>
  <c r="E14" i="10" l="1"/>
  <c r="O4" i="10"/>
  <c r="P4" i="10" s="1"/>
  <c r="U121" i="10"/>
  <c r="O2" i="10" s="1"/>
  <c r="O3" i="10" s="1"/>
  <c r="M3" i="10" s="1"/>
  <c r="V121" i="10"/>
  <c r="M7" i="10" s="1"/>
  <c r="AB121" i="10"/>
  <c r="E9" i="10" s="1"/>
  <c r="DH32" i="1" s="1"/>
  <c r="G208" i="13"/>
  <c r="H208" i="13"/>
  <c r="I208" i="13" s="1"/>
  <c r="U119" i="12"/>
  <c r="Q118" i="12"/>
  <c r="B120" i="12"/>
  <c r="C210" i="13" s="1"/>
  <c r="E209" i="13"/>
  <c r="S119" i="12"/>
  <c r="T119" i="12" s="1"/>
  <c r="I119" i="12"/>
  <c r="V119" i="12"/>
  <c r="O119" i="12"/>
  <c r="B209" i="13" s="1"/>
  <c r="P119" i="12"/>
  <c r="R119" i="12" s="1"/>
  <c r="X119" i="12"/>
  <c r="J119" i="12"/>
  <c r="AC121" i="10"/>
  <c r="AA120" i="10"/>
  <c r="Q121" i="10"/>
  <c r="M8" i="10" s="1"/>
  <c r="DB32" i="1" l="1"/>
  <c r="CX32" i="1"/>
  <c r="I13" i="1" s="1"/>
  <c r="N11" i="1"/>
  <c r="O11" i="1" s="1"/>
  <c r="M4" i="10"/>
  <c r="M5" i="10"/>
  <c r="CV32" i="1" s="1"/>
  <c r="I11" i="1" s="1"/>
  <c r="M6" i="10"/>
  <c r="G209" i="13"/>
  <c r="H209" i="13"/>
  <c r="I209" i="13" s="1"/>
  <c r="U120" i="12"/>
  <c r="Q119" i="12"/>
  <c r="B121" i="12"/>
  <c r="C211" i="13" s="1"/>
  <c r="E210" i="13"/>
  <c r="V120" i="12"/>
  <c r="P120" i="12"/>
  <c r="R120" i="12" s="1"/>
  <c r="O120" i="12"/>
  <c r="B210" i="13" s="1"/>
  <c r="I120" i="12"/>
  <c r="S120" i="12"/>
  <c r="T120" i="12" s="1"/>
  <c r="X120" i="12"/>
  <c r="J120" i="12"/>
  <c r="M2" i="10"/>
  <c r="AA119" i="10"/>
  <c r="AC120" i="10"/>
  <c r="I21" i="1" l="1"/>
  <c r="N10" i="1" s="1"/>
  <c r="O10" i="1" s="1"/>
  <c r="K13" i="1"/>
  <c r="J13" i="1"/>
  <c r="CW32" i="1"/>
  <c r="I12" i="1" s="1"/>
  <c r="CY32" i="1"/>
  <c r="I14" i="1" s="1"/>
  <c r="DC32" i="1"/>
  <c r="G210" i="13"/>
  <c r="H210" i="13"/>
  <c r="H211" i="13" s="1"/>
  <c r="Q120" i="12"/>
  <c r="E211" i="13"/>
  <c r="G211" i="13" s="1"/>
  <c r="I121" i="12"/>
  <c r="S121" i="12"/>
  <c r="T121" i="12" s="1"/>
  <c r="O2" i="12" s="1"/>
  <c r="O121" i="12"/>
  <c r="B211" i="13" s="1"/>
  <c r="V121" i="12"/>
  <c r="M6" i="12" s="1"/>
  <c r="DG32" i="1" s="1"/>
  <c r="X121" i="12"/>
  <c r="Y121" i="12" s="1"/>
  <c r="P121" i="12"/>
  <c r="R121" i="12" s="1"/>
  <c r="O3" i="12" s="1"/>
  <c r="H11" i="12" s="1"/>
  <c r="J121" i="12"/>
  <c r="U121" i="12"/>
  <c r="AC119" i="10"/>
  <c r="AA118" i="10"/>
  <c r="F23" i="1" l="1"/>
  <c r="I22" i="1"/>
  <c r="N12" i="1" s="1"/>
  <c r="O12" i="1" s="1"/>
  <c r="K12" i="1"/>
  <c r="J12" i="1"/>
  <c r="K14" i="1"/>
  <c r="J14" i="1"/>
  <c r="K11" i="1"/>
  <c r="J11" i="1"/>
  <c r="I210" i="13"/>
  <c r="I211" i="13" s="1"/>
  <c r="F24" i="1"/>
  <c r="F27" i="1" s="1"/>
  <c r="G28" i="1" s="1"/>
  <c r="M2" i="12"/>
  <c r="M3" i="12"/>
  <c r="M8" i="12"/>
  <c r="DF32" i="1"/>
  <c r="M7" i="12"/>
  <c r="Z121" i="12"/>
  <c r="Y120" i="12"/>
  <c r="Q121" i="12"/>
  <c r="M4" i="12" s="1"/>
  <c r="AA117" i="10"/>
  <c r="AC118" i="10"/>
  <c r="F25" i="1" l="1"/>
  <c r="F26" i="1"/>
  <c r="CZ32" i="1"/>
  <c r="I15" i="1" s="1"/>
  <c r="K15" i="1" s="1"/>
  <c r="DA32" i="1"/>
  <c r="I16" i="1" s="1"/>
  <c r="K16" i="1" s="1"/>
  <c r="DD32" i="1"/>
  <c r="Z120" i="12"/>
  <c r="Y119" i="12"/>
  <c r="AA116" i="10"/>
  <c r="AC117" i="10"/>
  <c r="J16" i="1" l="1"/>
  <c r="O14" i="1"/>
  <c r="I23" i="1"/>
  <c r="J15" i="1"/>
  <c r="Y118" i="12"/>
  <c r="Z119" i="12"/>
  <c r="AC116" i="10"/>
  <c r="AA115" i="10"/>
  <c r="Y117" i="12" l="1"/>
  <c r="Z118" i="12"/>
  <c r="AC115" i="10"/>
  <c r="AA114" i="10"/>
  <c r="Y116" i="12" l="1"/>
  <c r="Z117" i="12"/>
  <c r="AC114" i="10"/>
  <c r="AA113" i="10"/>
  <c r="Y115" i="12" l="1"/>
  <c r="Z116" i="12"/>
  <c r="AC113" i="10"/>
  <c r="AA112" i="10"/>
  <c r="Y114" i="12" l="1"/>
  <c r="Z115" i="12"/>
  <c r="AC112" i="10"/>
  <c r="AA111" i="10"/>
  <c r="Z114" i="12" l="1"/>
  <c r="Y113" i="12"/>
  <c r="AC111" i="10"/>
  <c r="AA110" i="10"/>
  <c r="Z113" i="12" l="1"/>
  <c r="Y112" i="12"/>
  <c r="AC110" i="10"/>
  <c r="AA109" i="10"/>
  <c r="Z112" i="12" l="1"/>
  <c r="Y111" i="12"/>
  <c r="AC109" i="10"/>
  <c r="AA108" i="10"/>
  <c r="Y110" i="12" l="1"/>
  <c r="Z111" i="12"/>
  <c r="AC108" i="10"/>
  <c r="AA107" i="10"/>
  <c r="Y109" i="12" l="1"/>
  <c r="Z110" i="12"/>
  <c r="AC107" i="10"/>
  <c r="AA106" i="10"/>
  <c r="Z109" i="12" l="1"/>
  <c r="Y108" i="12"/>
  <c r="AC106" i="10"/>
  <c r="AA105" i="10"/>
  <c r="Y107" i="12" l="1"/>
  <c r="Z108" i="12"/>
  <c r="AC105" i="10"/>
  <c r="AA104" i="10"/>
  <c r="Y106" i="12" l="1"/>
  <c r="Z107" i="12"/>
  <c r="AC104" i="10"/>
  <c r="AA103" i="10"/>
  <c r="Z106" i="12" l="1"/>
  <c r="Y105" i="12"/>
  <c r="AC103" i="10"/>
  <c r="AA102" i="10"/>
  <c r="Z105" i="12" l="1"/>
  <c r="Y104" i="12"/>
  <c r="AC102" i="10"/>
  <c r="AA101" i="10"/>
  <c r="Y103" i="12" l="1"/>
  <c r="Z104" i="12"/>
  <c r="AC101" i="10"/>
  <c r="AA100" i="10"/>
  <c r="Z103" i="12" l="1"/>
  <c r="Y102" i="12"/>
  <c r="AC100" i="10"/>
  <c r="AA99" i="10"/>
  <c r="Y101" i="12" l="1"/>
  <c r="Z102" i="12"/>
  <c r="AA98" i="10"/>
  <c r="AC99" i="10"/>
  <c r="Z101" i="12" l="1"/>
  <c r="Y100" i="12"/>
  <c r="AC98" i="10"/>
  <c r="AA97" i="10"/>
  <c r="Z100" i="12" l="1"/>
  <c r="Y99" i="12"/>
  <c r="AC97" i="10"/>
  <c r="AA96" i="10"/>
  <c r="Y98" i="12" l="1"/>
  <c r="Z99" i="12"/>
  <c r="AC96" i="10"/>
  <c r="AA95" i="10"/>
  <c r="Y97" i="12" l="1"/>
  <c r="Z98" i="12"/>
  <c r="AC95" i="10"/>
  <c r="AA94" i="10"/>
  <c r="Z97" i="12" l="1"/>
  <c r="Y96" i="12"/>
  <c r="AC94" i="10"/>
  <c r="AA93" i="10"/>
  <c r="Z96" i="12" l="1"/>
  <c r="Y95" i="12"/>
  <c r="AC93" i="10"/>
  <c r="AA92" i="10"/>
  <c r="Y94" i="12" l="1"/>
  <c r="Z95" i="12"/>
  <c r="AC92" i="10"/>
  <c r="AA91" i="10"/>
  <c r="Z94" i="12" l="1"/>
  <c r="Y93" i="12"/>
  <c r="AC91" i="10"/>
  <c r="AA90" i="10"/>
  <c r="Y92" i="12" l="1"/>
  <c r="Z93" i="12"/>
  <c r="AC90" i="10"/>
  <c r="AA89" i="10"/>
  <c r="Y91" i="12" l="1"/>
  <c r="Z92" i="12"/>
  <c r="AC89" i="10"/>
  <c r="AA88" i="10"/>
  <c r="Z91" i="12" l="1"/>
  <c r="Y90" i="12"/>
  <c r="AC88" i="10"/>
  <c r="AA87" i="10"/>
  <c r="Y89" i="12" l="1"/>
  <c r="Z90" i="12"/>
  <c r="AC87" i="10"/>
  <c r="AA86" i="10"/>
  <c r="Y88" i="12" l="1"/>
  <c r="Z89" i="12"/>
  <c r="AA85" i="10"/>
  <c r="AC86" i="10"/>
  <c r="Z88" i="12" l="1"/>
  <c r="Y87" i="12"/>
  <c r="AA84" i="10"/>
  <c r="AC85" i="10"/>
  <c r="Y86" i="12" l="1"/>
  <c r="Z87" i="12"/>
  <c r="AA83" i="10"/>
  <c r="AC84" i="10"/>
  <c r="Z86" i="12" l="1"/>
  <c r="Y85" i="12"/>
  <c r="AA82" i="10"/>
  <c r="AC83" i="10"/>
  <c r="Z85" i="12" l="1"/>
  <c r="Y84" i="12"/>
  <c r="AA81" i="10"/>
  <c r="AC82" i="10"/>
  <c r="Z84" i="12" l="1"/>
  <c r="Y83" i="12"/>
  <c r="AC81" i="10"/>
  <c r="AA80" i="10"/>
  <c r="Z83" i="12" l="1"/>
  <c r="Y82" i="12"/>
  <c r="AA79" i="10"/>
  <c r="AC80" i="10"/>
  <c r="Z82" i="12" l="1"/>
  <c r="Y81" i="12"/>
  <c r="AA78" i="10"/>
  <c r="AC79" i="10"/>
  <c r="Z81" i="12" l="1"/>
  <c r="Y80" i="12"/>
  <c r="AA77" i="10"/>
  <c r="AC78" i="10"/>
  <c r="Z80" i="12" l="1"/>
  <c r="Y79" i="12"/>
  <c r="AA76" i="10"/>
  <c r="AC77" i="10"/>
  <c r="Y78" i="12" l="1"/>
  <c r="Z79" i="12"/>
  <c r="AA75" i="10"/>
  <c r="AC76" i="10"/>
  <c r="Z78" i="12" l="1"/>
  <c r="Y77" i="12"/>
  <c r="AA74" i="10"/>
  <c r="AC75" i="10"/>
  <c r="Z77" i="12" l="1"/>
  <c r="Y76" i="12"/>
  <c r="AA73" i="10"/>
  <c r="AC74" i="10"/>
  <c r="Z76" i="12" l="1"/>
  <c r="Y75" i="12"/>
  <c r="AA72" i="10"/>
  <c r="AC73" i="10"/>
  <c r="Z75" i="12" l="1"/>
  <c r="Y74" i="12"/>
  <c r="AA71" i="10"/>
  <c r="AC72" i="10"/>
  <c r="Z74" i="12" l="1"/>
  <c r="Y73" i="12"/>
  <c r="AA70" i="10"/>
  <c r="AC71" i="10"/>
  <c r="Y72" i="12" l="1"/>
  <c r="Z73" i="12"/>
  <c r="AA69" i="10"/>
  <c r="AC70" i="10"/>
  <c r="Z72" i="12" l="1"/>
  <c r="Y71" i="12"/>
  <c r="AA68" i="10"/>
  <c r="AC69" i="10"/>
  <c r="Z71" i="12" l="1"/>
  <c r="Y70" i="12"/>
  <c r="AA67" i="10"/>
  <c r="AC68" i="10"/>
  <c r="Y69" i="12" l="1"/>
  <c r="Z70" i="12"/>
  <c r="AA66" i="10"/>
  <c r="AC67" i="10"/>
  <c r="Y68" i="12" l="1"/>
  <c r="Z69" i="12"/>
  <c r="AA65" i="10"/>
  <c r="AC66" i="10"/>
  <c r="Z68" i="12" l="1"/>
  <c r="Y67" i="12"/>
  <c r="AA64" i="10"/>
  <c r="AC65" i="10"/>
  <c r="Z67" i="12" l="1"/>
  <c r="Y66" i="12"/>
  <c r="AA63" i="10"/>
  <c r="AC64" i="10"/>
  <c r="Z66" i="12" l="1"/>
  <c r="Y65" i="12"/>
  <c r="AA62" i="10"/>
  <c r="AC63" i="10"/>
  <c r="Y64" i="12" l="1"/>
  <c r="Z65" i="12"/>
  <c r="AA61" i="10"/>
  <c r="AC62" i="10"/>
  <c r="Y63" i="12" l="1"/>
  <c r="Z64" i="12"/>
  <c r="AA60" i="10"/>
  <c r="AC61" i="10"/>
  <c r="Z63" i="12" l="1"/>
  <c r="Y62" i="12"/>
  <c r="AA59" i="10"/>
  <c r="AC60" i="10"/>
  <c r="Z62" i="12" l="1"/>
  <c r="Y61" i="12"/>
  <c r="AC59" i="10"/>
  <c r="AA58" i="10"/>
  <c r="Z61" i="12" l="1"/>
  <c r="Y60" i="12"/>
  <c r="AA57" i="10"/>
  <c r="AC58" i="10"/>
  <c r="Y59" i="12" l="1"/>
  <c r="Z60" i="12"/>
  <c r="AA56" i="10"/>
  <c r="AC57" i="10"/>
  <c r="Z59" i="12" l="1"/>
  <c r="Y58" i="12"/>
  <c r="AA55" i="10"/>
  <c r="AC56" i="10"/>
  <c r="Y57" i="12" l="1"/>
  <c r="Z58" i="12"/>
  <c r="AA54" i="10"/>
  <c r="AC55" i="10"/>
  <c r="Y56" i="12" l="1"/>
  <c r="Z57" i="12"/>
  <c r="AA53" i="10"/>
  <c r="AC54" i="10"/>
  <c r="Z56" i="12" l="1"/>
  <c r="Y55" i="12"/>
  <c r="AA52" i="10"/>
  <c r="AC53" i="10"/>
  <c r="Z55" i="12" l="1"/>
  <c r="Y54" i="12"/>
  <c r="AA51" i="10"/>
  <c r="AC52" i="10"/>
  <c r="Z54" i="12" l="1"/>
  <c r="Y53" i="12"/>
  <c r="AC51" i="10"/>
  <c r="AA50" i="10"/>
  <c r="Y52" i="12" l="1"/>
  <c r="Z53" i="12"/>
  <c r="AC50" i="10"/>
  <c r="AA49" i="10"/>
  <c r="Y51" i="12" l="1"/>
  <c r="Z52" i="12"/>
  <c r="AC49" i="10"/>
  <c r="AA48" i="10"/>
  <c r="Y50" i="12" l="1"/>
  <c r="Z51" i="12"/>
  <c r="AC48" i="10"/>
  <c r="AA47" i="10"/>
  <c r="Z50" i="12" l="1"/>
  <c r="Y49" i="12"/>
  <c r="AC47" i="10"/>
  <c r="AA46" i="10"/>
  <c r="Y48" i="12" l="1"/>
  <c r="Z49" i="12"/>
  <c r="AC46" i="10"/>
  <c r="AA45" i="10"/>
  <c r="Z48" i="12" l="1"/>
  <c r="Y47" i="12"/>
  <c r="AC45" i="10"/>
  <c r="AA44" i="10"/>
  <c r="Z47" i="12" l="1"/>
  <c r="Y46" i="12"/>
  <c r="AC44" i="10"/>
  <c r="AA43" i="10"/>
  <c r="Z46" i="12" l="1"/>
  <c r="Y45" i="12"/>
  <c r="AC43" i="10"/>
  <c r="AA42" i="10"/>
  <c r="Y44" i="12" l="1"/>
  <c r="Z45" i="12"/>
  <c r="AC42" i="10"/>
  <c r="AA41" i="10"/>
  <c r="Y43" i="12" l="1"/>
  <c r="Z44" i="12"/>
  <c r="AC41" i="10"/>
  <c r="AA40" i="10"/>
  <c r="Y42" i="12" l="1"/>
  <c r="Z43" i="12"/>
  <c r="AC40" i="10"/>
  <c r="AA39" i="10"/>
  <c r="Y41" i="12" l="1"/>
  <c r="Z42" i="12"/>
  <c r="AC39" i="10"/>
  <c r="AA38" i="10"/>
  <c r="Y40" i="12" l="1"/>
  <c r="Z41" i="12"/>
  <c r="AC38" i="10"/>
  <c r="AA37" i="10"/>
  <c r="Y39" i="12" l="1"/>
  <c r="Z40" i="12"/>
  <c r="AC37" i="10"/>
  <c r="AA36" i="10"/>
  <c r="Y38" i="12" l="1"/>
  <c r="Z39" i="12"/>
  <c r="AC36" i="10"/>
  <c r="AA35" i="10"/>
  <c r="Y37" i="12" l="1"/>
  <c r="Z38" i="12"/>
  <c r="AC35" i="10"/>
  <c r="AA34" i="10"/>
  <c r="Y36" i="12" l="1"/>
  <c r="Z37" i="12"/>
  <c r="AC34" i="10"/>
  <c r="AA33" i="10"/>
  <c r="Y35" i="12" l="1"/>
  <c r="Z36" i="12"/>
  <c r="AC33" i="10"/>
  <c r="AA32" i="10"/>
  <c r="Y34" i="12" l="1"/>
  <c r="Z35" i="12"/>
  <c r="AC32" i="10"/>
  <c r="AA31" i="10"/>
  <c r="Z34" i="12" l="1"/>
  <c r="Y33" i="12"/>
  <c r="AC31" i="10"/>
  <c r="AA30" i="10"/>
  <c r="Y32" i="12" l="1"/>
  <c r="Z33" i="12"/>
  <c r="AC30" i="10"/>
  <c r="AA29" i="10"/>
  <c r="Y31" i="12" l="1"/>
  <c r="Z32" i="12"/>
  <c r="AC29" i="10"/>
  <c r="AA28" i="10"/>
  <c r="Y30" i="12" l="1"/>
  <c r="Z31" i="12"/>
  <c r="AA27" i="10"/>
  <c r="AC28" i="10"/>
  <c r="Z30" i="12" l="1"/>
  <c r="Y29" i="12"/>
  <c r="AA26" i="10"/>
  <c r="AC27" i="10"/>
  <c r="Z29" i="12" l="1"/>
  <c r="Y28" i="12"/>
  <c r="AA25" i="10"/>
  <c r="AC26" i="10"/>
  <c r="Y27" i="12" l="1"/>
  <c r="Z28" i="12"/>
  <c r="AA24" i="10"/>
  <c r="AC25" i="10"/>
  <c r="Y26" i="12" l="1"/>
  <c r="Z27" i="12"/>
  <c r="AA23" i="10"/>
  <c r="AC24" i="10"/>
  <c r="Z26" i="12" l="1"/>
  <c r="Y25" i="12"/>
  <c r="AA22" i="10"/>
  <c r="AC23" i="10"/>
  <c r="Z25" i="12" l="1"/>
  <c r="Y24" i="12"/>
  <c r="AC22" i="10"/>
  <c r="AA21" i="10"/>
  <c r="Y23" i="12" l="1"/>
  <c r="Z24" i="12"/>
  <c r="AC21" i="10"/>
  <c r="E13" i="10" s="1"/>
  <c r="E8" i="10"/>
  <c r="Y22" i="12" l="1"/>
  <c r="Z23" i="12"/>
  <c r="E10" i="10"/>
  <c r="DI32" i="1" s="1"/>
  <c r="E12" i="10"/>
  <c r="N13" i="1" l="1"/>
  <c r="O13" i="1" s="1"/>
  <c r="Y21" i="12"/>
  <c r="Z22" i="12"/>
  <c r="Z21" i="12" l="1"/>
  <c r="E10" i="12" s="1"/>
  <c r="E8" i="12"/>
  <c r="E9" i="12" l="1"/>
  <c r="DJ32" i="1"/>
  <c r="N15" i="1" l="1"/>
  <c r="N18" i="1" s="1"/>
  <c r="C25" i="1" s="1"/>
  <c r="O15" i="1" l="1"/>
  <c r="C24" i="1"/>
  <c r="N17" i="1"/>
  <c r="O17" i="1" s="1"/>
  <c r="D23" i="1"/>
  <c r="C23" i="1"/>
  <c r="O18" i="1"/>
  <c r="D22" i="1" l="1"/>
  <c r="N16" i="1"/>
  <c r="O16" i="1" s="1"/>
  <c r="C22" i="1"/>
  <c r="R12" i="1" l="1"/>
  <c r="R8" i="1"/>
  <c r="R13" i="1"/>
  <c r="R9" i="1"/>
  <c r="R11" i="1"/>
  <c r="T11" i="1" s="1"/>
  <c r="R14" i="1"/>
  <c r="T12" i="1" s="1"/>
  <c r="R10" i="1"/>
  <c r="T10" i="1" s="1"/>
  <c r="T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Hervé Cochard</author>
    <author>Utilisateur de Microsoft Office</author>
  </authors>
  <commentList>
    <comment ref="AM20" authorId="0" shapeId="0" xr:uid="{E5F367A9-236E-1542-A78C-2DDD6CBE843A}">
      <text>
        <r>
          <rPr>
            <b/>
            <sz val="9"/>
            <color rgb="FF000000"/>
            <rFont val="Calibri"/>
            <family val="2"/>
          </rPr>
          <t>Hervé Cochard: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To be ajusted according to diffent soil types</t>
        </r>
      </text>
    </comment>
    <comment ref="BA29" authorId="0" shapeId="0" xr:uid="{14162962-94E3-4C43-8D79-67D14F05C217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1,  the soil is rewatered when water content is less than threshold
</t>
        </r>
        <r>
          <rPr>
            <sz val="10"/>
            <color rgb="FF000000"/>
            <rFont val="Tahoma"/>
            <family val="2"/>
          </rPr>
          <t xml:space="preserve">if 2 then automatic daily_irrigation of Xmm
</t>
        </r>
        <r>
          <rPr>
            <sz val="10"/>
            <color rgb="FF000000"/>
            <rFont val="Tahoma"/>
            <family val="2"/>
          </rPr>
          <t xml:space="preserve">if 3 then like 2 but only beween DOY start and end
</t>
        </r>
        <r>
          <rPr>
            <sz val="10"/>
            <color rgb="FF000000"/>
            <rFont val="Tahoma"/>
            <family val="2"/>
          </rPr>
          <t xml:space="preserve">if 4 then like 1 but daily_irr is added
</t>
        </r>
      </text>
    </comment>
    <comment ref="BF29" authorId="0" shapeId="0" xr:uid="{6E313CBA-9C61-634D-9BD0-33938D2860D4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Rehydrate the soil when PLC is &gt; than PLC_Rehyd</t>
        </r>
      </text>
    </comment>
    <comment ref="BH29" authorId="0" shapeId="0" xr:uid="{8DFED86F-6AB3-AA45-BD44-503C6DDC1F45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1 then simulation is not reinitialised at the end of the year</t>
        </r>
      </text>
    </comment>
    <comment ref="BI29" authorId="0" shapeId="0" xr:uid="{2B9E4466-EF7C-F34C-A5B5-7CC14CA7E331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projected crown area in m2. use to compute LAI</t>
        </r>
      </text>
    </comment>
    <comment ref="CQ29" authorId="0" shapeId="0" xr:uid="{63AF3357-3F03-7644-9053-F865B402F424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Roots are always fractal, so no longuer used here</t>
        </r>
      </text>
    </comment>
    <comment ref="CU29" authorId="0" shapeId="0" xr:uid="{2E69CC77-1B06-0046-BAAF-26C2DDD6E6DC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Fractal then use the "Fractal" sheets to define tree architecture</t>
        </r>
      </text>
    </comment>
    <comment ref="CV29" authorId="0" shapeId="0" xr:uid="{A08BD13D-B412-744B-82DF-0BB82D2FCC6D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Fractal then use the "Fractal" sheets to define tree architecture</t>
        </r>
      </text>
    </comment>
    <comment ref="AB30" authorId="0" shapeId="0" xr:uid="{A9AA2984-346C-574E-80EC-9AB76CA7BB5B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Day of Year</t>
        </r>
      </text>
    </comment>
    <comment ref="AT30" authorId="0" shapeId="0" xr:uid="{FEECBA98-20F9-B041-AE6E-9F78FF19B76F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Limit transpiration to ETP-Penman*Coeff</t>
        </r>
      </text>
    </comment>
    <comment ref="AV30" authorId="0" shapeId="0" xr:uid="{983F7EE6-B945-8B4E-9C1C-D26ECC1FD3EA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Crown boundaty layer</t>
        </r>
      </text>
    </comment>
    <comment ref="CA30" authorId="0" shapeId="0" xr:uid="{D69D990E-10AC-2443-840C-1EC490DBE7E3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0= constant at 400ppm
</t>
        </r>
        <r>
          <rPr>
            <sz val="10"/>
            <color rgb="FF000000"/>
            <rFont val="Tahoma"/>
            <family val="2"/>
          </rPr>
          <t xml:space="preserve">1= follow RCP4.5
</t>
        </r>
        <r>
          <rPr>
            <sz val="10"/>
            <color rgb="FF000000"/>
            <rFont val="Tahoma"/>
            <family val="2"/>
          </rPr>
          <t>2= follow RCP8.5</t>
        </r>
      </text>
    </comment>
    <comment ref="CF30" authorId="0" shapeId="0" xr:uid="{1799BF72-4ABF-6F4C-BCDB-649AD954AA52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used for a fractal tree</t>
        </r>
      </text>
    </comment>
    <comment ref="CG30" authorId="0" shapeId="0" xr:uid="{C77821B9-F830-7644-829B-7429CED17573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length of one branch or the crown height for fractal trees</t>
        </r>
      </text>
    </comment>
    <comment ref="CH30" authorId="0" shapeId="0" xr:uid="{31AFA42D-D23F-E841-96B1-72ADAFB4E454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a fractal tree this is the diameter of a current-year shoot</t>
        </r>
      </text>
    </comment>
    <comment ref="CI30" authorId="0" shapeId="0" xr:uid="{B801013C-EE05-2F41-8708-7E9B76F669CA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ratio of the water volume in the apoplasm to the total sapwood volume</t>
        </r>
      </text>
    </comment>
    <comment ref="CP30" authorId="0" shapeId="0" xr:uid="{61BD2976-0CE8-234B-AFA8-D699E1CCD98B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sapwood thickness at dbh is dbh/2*fraction</t>
        </r>
      </text>
    </comment>
    <comment ref="CR30" authorId="0" shapeId="0" xr:uid="{FEC04626-D071-4142-8979-B4F2E61077E9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diameter of the terminal fine roots</t>
        </r>
      </text>
    </comment>
    <comment ref="EE30" authorId="0" shapeId="0" xr:uid="{C4706DFA-242A-B94D-9659-3585B45275DB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soil volume considering a rectangle depth*width^2
</t>
        </r>
        <r>
          <rPr>
            <sz val="10"/>
            <color rgb="FF000000"/>
            <rFont val="Tahoma"/>
            <family val="2"/>
          </rPr>
          <t>width determine also soil surface and hence rain volume and LAI !</t>
        </r>
      </text>
    </comment>
    <comment ref="EG30" authorId="0" shapeId="0" xr:uid="{2CE2CC66-8EF4-5C49-A44E-2CBF4A38BC6F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 multiplying factor for root properties.
</t>
        </r>
        <r>
          <rPr>
            <sz val="10"/>
            <color rgb="FF000000"/>
            <rFont val="Tahoma"/>
            <family val="2"/>
          </rPr>
          <t>Defaul is 1/1/1</t>
        </r>
      </text>
    </comment>
    <comment ref="FV30" authorId="0" shapeId="0" xr:uid="{20F82B2F-BFBE-D445-8AAE-1793179D1975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PLC(n+1)=PLC(n)*legacy</t>
        </r>
      </text>
    </comment>
    <comment ref="C31" authorId="0" shapeId="0" xr:uid="{3BB906EC-864D-B24D-911D-7314B4D13C41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1 then all the data are printed in transient.out file</t>
        </r>
      </text>
    </comment>
    <comment ref="D31" authorId="1" shapeId="0" xr:uid="{B7C447DB-B151-4F40-8832-8205F49F09B6}">
      <text>
        <r>
          <rPr>
            <b/>
            <sz val="10"/>
            <color rgb="FF000000"/>
            <rFont val="Calibri"/>
            <family val="2"/>
          </rPr>
          <t>Utilisateur de Microsoft Office: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If tansient&gt;1 intermediate values are saved
</t>
        </r>
        <r>
          <rPr>
            <sz val="10"/>
            <color rgb="FF000000"/>
            <rFont val="Calibri"/>
            <family val="2"/>
          </rPr>
          <t xml:space="preserve">if =1 and t_out=24 then printed at midday
</t>
        </r>
        <r>
          <rPr>
            <sz val="10"/>
            <color rgb="FF000000"/>
            <rFont val="Calibri"/>
            <family val="2"/>
          </rPr>
          <t>if =2 and t_out=24 the printed at midnight</t>
        </r>
      </text>
    </comment>
    <comment ref="F31" authorId="0" shapeId="0" xr:uid="{0DE2C1D7-34BC-B54B-82E6-670935B6395D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if "1" gs is constant during the day. But E can vary if vpd changes</t>
        </r>
      </text>
    </comment>
    <comment ref="G31" authorId="0" shapeId="0" xr:uid="{B86A9586-8981-384A-8758-B47C322BC4FF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0: K_root CST K_leaf CST
</t>
        </r>
        <r>
          <rPr>
            <sz val="10"/>
            <color rgb="FF000000"/>
            <rFont val="Calibri"/>
            <family val="2"/>
          </rPr>
          <t xml:space="preserve">1: K_root CST K_leaf VAR 
</t>
        </r>
        <r>
          <rPr>
            <sz val="10"/>
            <color rgb="FF000000"/>
            <rFont val="Calibri"/>
            <family val="2"/>
          </rPr>
          <t xml:space="preserve">2: K_root VAR K_leaf CST
</t>
        </r>
        <r>
          <rPr>
            <sz val="10"/>
            <color rgb="FF000000"/>
            <rFont val="Calibri"/>
            <family val="2"/>
          </rPr>
          <t xml:space="preserve">3: K_root VAR K_leaf VAR
</t>
        </r>
      </text>
    </comment>
    <comment ref="H31" authorId="0" shapeId="0" xr:uid="{326A38AA-08C4-1444-8BF5-5EDE62B65495}">
      <text>
        <r>
          <rPr>
            <b/>
            <sz val="10"/>
            <color rgb="FF000000"/>
            <rFont val="Calibri"/>
            <family val="2"/>
          </rPr>
          <t xml:space="preserve">Hervé Cochard:
</t>
        </r>
        <r>
          <rPr>
            <b/>
            <sz val="10"/>
            <color rgb="FF000000"/>
            <rFont val="Calibri"/>
            <family val="2"/>
          </rPr>
          <t>0= not cut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1= a cut branch ( K_Branch_apo=0) 
</t>
        </r>
        <r>
          <rPr>
            <sz val="10"/>
            <color rgb="FF000000"/>
            <rFont val="Calibri"/>
            <family val="2"/>
          </rPr>
          <t>2=  a cut tree ( K_Trunk_apo=0)</t>
        </r>
      </text>
    </comment>
    <comment ref="I31" authorId="0" shapeId="0" xr:uid="{823C4D36-EA99-0A4D-A357-5DF1DECC3E66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End simualtion when
</t>
        </r>
        <r>
          <rPr>
            <sz val="10"/>
            <color rgb="FF000000"/>
            <rFont val="Calibri"/>
            <family val="2"/>
          </rPr>
          <t xml:space="preserve">0= no end
</t>
        </r>
        <r>
          <rPr>
            <sz val="10"/>
            <color rgb="FF000000"/>
            <rFont val="Calibri"/>
            <family val="2"/>
          </rPr>
          <t xml:space="preserve">1= PLC_leaf = PLC%
</t>
        </r>
        <r>
          <rPr>
            <sz val="10"/>
            <color rgb="FF000000"/>
            <rFont val="Calibri"/>
            <family val="2"/>
          </rPr>
          <t xml:space="preserve">2= PLC_branch=PLC%
</t>
        </r>
        <r>
          <rPr>
            <sz val="10"/>
            <color rgb="FF000000"/>
            <rFont val="Calibri"/>
            <family val="2"/>
          </rPr>
          <t xml:space="preserve">3= PLC_trunk=PLC%
</t>
        </r>
        <r>
          <rPr>
            <sz val="10"/>
            <color rgb="FF000000"/>
            <rFont val="Calibri"/>
            <family val="2"/>
          </rPr>
          <t xml:space="preserve">4= PLC_root=PLC%
</t>
        </r>
        <r>
          <rPr>
            <sz val="10"/>
            <color rgb="FF000000"/>
            <rFont val="Calibri"/>
            <family val="2"/>
          </rPr>
          <t xml:space="preserve">5= First to reach PLC% 
</t>
        </r>
        <r>
          <rPr>
            <sz val="10"/>
            <color rgb="FF000000"/>
            <rFont val="Calibri"/>
            <family val="2"/>
          </rPr>
          <t>6= Last to reach PLC%</t>
        </r>
      </text>
    </comment>
    <comment ref="J31" authorId="0" shapeId="0" xr:uid="{8F6EB8E7-98CB-B346-9130-3D53DE5CF13E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PLC at hydraulic failure.
</t>
        </r>
        <r>
          <rPr>
            <sz val="10"/>
            <color rgb="FF000000"/>
            <rFont val="Tahoma"/>
            <family val="2"/>
          </rPr>
          <t>defines when computation stops</t>
        </r>
      </text>
    </comment>
    <comment ref="K31" authorId="0" shapeId="0" xr:uid="{45AD04B6-4B9B-B049-8077-391B3CBA478C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Duration of the simulation in days. If "0" then infinite.</t>
        </r>
      </text>
    </comment>
    <comment ref="L31" authorId="0" shapeId="0" xr:uid="{4D318852-F42A-F241-8C76-C8DE8649BB53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time increment for the computation. If higher then faster but may crash!</t>
        </r>
      </text>
    </comment>
    <comment ref="M31" authorId="0" shapeId="0" xr:uid="{B9A98766-456F-9840-9A37-E82E38726407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time interval in sec, for time consuming functions</t>
        </r>
      </text>
    </comment>
    <comment ref="N31" authorId="0" shapeId="0" xr:uid="{BAC1F758-10B5-9941-B415-93777D7880D4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indicate when data are printed on screen or in the file. If 24 then only midday values ares saved.</t>
        </r>
      </text>
    </comment>
    <comment ref="O31" authorId="0" shapeId="0" xr:uid="{AD248EFE-0FDF-1F47-B763-12A915A72235}">
      <text>
        <r>
          <rPr>
            <b/>
            <sz val="10"/>
            <color rgb="FF000000"/>
            <rFont val="Calibri"/>
            <family val="2"/>
          </rPr>
          <t xml:space="preserve">Hervé Cochard:
</t>
        </r>
        <r>
          <rPr>
            <sz val="10"/>
            <color rgb="FF000000"/>
            <rFont val="Calibri"/>
            <family val="2"/>
          </rPr>
          <t xml:space="preserve">0= generated no file
</t>
        </r>
        <r>
          <rPr>
            <sz val="10"/>
            <color rgb="FF000000"/>
            <rFont val="Calibri"/>
            <family val="2"/>
          </rPr>
          <t xml:space="preserve">1= climat_hour_in.txt
</t>
        </r>
        <r>
          <rPr>
            <sz val="10"/>
            <color rgb="FF000000"/>
            <rFont val="Calibri"/>
            <family val="2"/>
          </rPr>
          <t xml:space="preserve">a climatic file with infra-day day and interpolation
</t>
        </r>
        <r>
          <rPr>
            <sz val="10"/>
            <color rgb="FF000000"/>
            <rFont val="Calibri"/>
            <family val="2"/>
          </rPr>
          <t xml:space="preserve">2=  climat_day_in.txt
</t>
        </r>
        <r>
          <rPr>
            <sz val="10"/>
            <color rgb="FF000000"/>
            <rFont val="Calibri"/>
            <family val="2"/>
          </rPr>
          <t xml:space="preserve">a climatic file with one data par day and computed values
</t>
        </r>
        <r>
          <rPr>
            <sz val="10"/>
            <color rgb="FF000000"/>
            <rFont val="Calibri"/>
            <family val="2"/>
          </rPr>
          <t xml:space="preserve">3= climat_month_in.txt
</t>
        </r>
        <r>
          <rPr>
            <sz val="10"/>
            <color rgb="FF000000"/>
            <rFont val="Calibri"/>
            <family val="2"/>
          </rPr>
          <t xml:space="preserve">a climatic file with monthly average of daily  values
</t>
        </r>
        <r>
          <rPr>
            <sz val="10"/>
            <color rgb="FF000000"/>
            <rFont val="Calibri"/>
            <family val="2"/>
          </rPr>
          <t>4= climat_day_in.txt + soil temperature</t>
        </r>
      </text>
    </comment>
    <comment ref="P31" authorId="0" shapeId="0" xr:uid="{17C76F97-DC3F-8941-A641-167923A00DF3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If 1 or 2 leaf temperature is computed from energy budget. 
</t>
        </r>
        <r>
          <rPr>
            <sz val="10"/>
            <color rgb="FF000000"/>
            <rFont val="Calibri"/>
            <family val="2"/>
          </rPr>
          <t xml:space="preserve">1=linear 2=iterative 
</t>
        </r>
        <r>
          <rPr>
            <sz val="10"/>
            <color rgb="FF000000"/>
            <rFont val="Calibri"/>
            <family val="2"/>
          </rPr>
          <t>If  0 Tleaf=Tair</t>
        </r>
      </text>
    </comment>
    <comment ref="Q31" authorId="0" shapeId="0" xr:uid="{BE226345-5A8E-7646-BC1F-B958A0AD5C9C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1 account for temperature effect on water fluidity</t>
        </r>
      </text>
    </comment>
    <comment ref="R31" authorId="0" shapeId="0" xr:uid="{982CD3BA-145C-1B40-A939-61B0064FDFAF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account for T effect on ST and P50</t>
        </r>
      </text>
    </comment>
    <comment ref="S31" authorId="0" shapeId="0" xr:uid="{BAB20BC3-A8D2-4149-AE0A-B00D1967F3D3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account for the effect of T on osmotic potential</t>
        </r>
      </text>
    </comment>
    <comment ref="T31" authorId="0" shapeId="0" xr:uid="{FE5FF704-DF15-F640-9CD2-D06BA9F3BF81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account for the effect of T on g_min</t>
        </r>
      </text>
    </comment>
    <comment ref="U31" authorId="0" shapeId="0" xr:uid="{66002FFE-7A09-BC47-ABF2-C1B728AF04B6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account for the effect on gravity on xylem pressure due to tree height</t>
        </r>
      </text>
    </comment>
    <comment ref="V31" authorId="0" shapeId="0" xr:uid="{AF1CD7A5-B195-6B47-BD48-1A499C4524D5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Capillarity flow between soil layers</t>
        </r>
      </text>
    </comment>
    <comment ref="W31" authorId="0" shapeId="0" xr:uid="{B50162F5-053B-6D41-90A6-05B94EB2221D}">
      <text>
        <r>
          <rPr>
            <b/>
            <sz val="10"/>
            <color rgb="FF000000"/>
            <rFont val="Calibri"/>
            <family val="2"/>
          </rPr>
          <t xml:space="preserve">Hervé Cochard:
</t>
        </r>
        <r>
          <rPr>
            <b/>
            <sz val="10"/>
            <color rgb="FF000000"/>
            <rFont val="Calibri"/>
            <family val="2"/>
          </rPr>
          <t xml:space="preserve">Define the way gs is regulated during water stress
</t>
        </r>
        <r>
          <rPr>
            <sz val="10"/>
            <color rgb="FF000000"/>
            <rFont val="Calibri"/>
            <family val="2"/>
          </rPr>
          <t xml:space="preserve">0= not regulated, but still regulated by PAR if gs_constant=0
</t>
        </r>
        <r>
          <rPr>
            <sz val="10"/>
            <color rgb="FF000000"/>
            <rFont val="Calibri"/>
            <family val="2"/>
          </rPr>
          <t xml:space="preserve">1=turgor at midday 
</t>
        </r>
        <r>
          <rPr>
            <sz val="10"/>
            <color rgb="FF000000"/>
            <rFont val="Calibri"/>
            <family val="2"/>
          </rPr>
          <t xml:space="preserve">2=turgor_max
</t>
        </r>
        <r>
          <rPr>
            <sz val="10"/>
            <color rgb="FF000000"/>
            <rFont val="Calibri"/>
            <family val="2"/>
          </rPr>
          <t xml:space="preserve">3= at Px_branch
</t>
        </r>
        <r>
          <rPr>
            <sz val="10"/>
            <color rgb="FF000000"/>
            <rFont val="Calibri"/>
            <family val="2"/>
          </rPr>
          <t xml:space="preserve">4= at PX_leaf
</t>
        </r>
        <r>
          <rPr>
            <sz val="10"/>
            <color rgb="FF000000"/>
            <rFont val="Calibri"/>
            <family val="2"/>
          </rPr>
          <t xml:space="preserve">5= at P_leaf
</t>
        </r>
        <r>
          <rPr>
            <sz val="10"/>
            <color rgb="FF000000"/>
            <rFont val="Calibri"/>
            <family val="2"/>
          </rPr>
          <t xml:space="preserve">6= at PLCx
</t>
        </r>
        <r>
          <rPr>
            <sz val="10"/>
            <color rgb="FF000000"/>
            <rFont val="Calibri"/>
            <family val="2"/>
          </rPr>
          <t>9= custom</t>
        </r>
      </text>
    </comment>
    <comment ref="X31" authorId="0" shapeId="0" xr:uid="{2F762B09-11E7-DD4F-A4AF-36CC7E212301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is the threshold PLC for stomatal closure when Regul_turgor=4</t>
        </r>
      </text>
    </comment>
    <comment ref="Y31" authorId="0" shapeId="0" xr:uid="{BD88157C-E4A8-7646-9938-3B510D4BAF79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threshold leaf xylem pressure for stomatal closure (option 3)</t>
        </r>
      </text>
    </comment>
    <comment ref="AU31" authorId="0" shapeId="0" xr:uid="{501FAEA1-F7DB-BF4D-893A-EDEA3BFC29CF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=0 then computed with LAI following Granier et al 1999 equation</t>
        </r>
      </text>
    </comment>
    <comment ref="BL31" authorId="0" shapeId="0" xr:uid="{EB02A6A7-4E4E-7549-92C6-DFA13FCC2DEA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1 the LA is constant;il NULL then LA varies between LAmin et LAmax avec les timing précisé; cf Biljou</t>
        </r>
      </text>
    </comment>
    <comment ref="DD31" authorId="0" shapeId="0" xr:uid="{2430C758-A2C3-9141-AAC1-743190A6BFF8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root area to compute bark transpiration</t>
        </r>
      </text>
    </comment>
    <comment ref="DE31" authorId="0" shapeId="0" xr:uid="{14162EBC-10AA-4F49-BCDA-75EACA5B1ABA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fine root area to compute absorption</t>
        </r>
      </text>
    </comment>
    <comment ref="DN31" authorId="0" shapeId="0" xr:uid="{0B058B41-B582-0341-8DA4-BEE005885170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NULL, gs_max is constant;
</t>
        </r>
        <r>
          <rPr>
            <sz val="10"/>
            <color rgb="FF000000"/>
            <rFont val="Tahoma"/>
            <family val="2"/>
          </rPr>
          <t>if 1 gs_max respond to temperature as: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gs_max= gs_max/(1+pow((T_Leaf-Tgs_optim)/Tgs_sens,2))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if =2 gs_max respond to CO2 concentration as:
</t>
        </r>
        <r>
          <rPr>
            <sz val="10"/>
            <color rgb="FF000000"/>
            <rFont val="Calibri"/>
            <family val="2"/>
            <scheme val="minor"/>
          </rPr>
          <t xml:space="preserve">gs_max=gs_max2*300/Ca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if 3 then 1 &amp; 2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DQ31" authorId="0" shapeId="0" xr:uid="{7AEF5C32-57D6-9747-88A8-4878390FA7AD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projected leaf area gmin !!!</t>
        </r>
      </text>
    </comment>
    <comment ref="FT31" authorId="0" shapeId="0" xr:uid="{EBE80F4D-29E8-504C-9BDC-60A211125C08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0 then no growth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Hervé Cochard</author>
  </authors>
  <commentList>
    <comment ref="B1" authorId="0" shapeId="0" xr:uid="{D903D118-01AF-B04A-8A0B-96AAEA3B59C4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 not change white/gray values,coputed from sureau.in sheet</t>
        </r>
      </text>
    </comment>
    <comment ref="B2" authorId="0" shapeId="0" xr:uid="{05C101BF-C695-D84F-8D27-5B6572BEA95E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trunk L + branch L</t>
        </r>
      </text>
    </comment>
    <comment ref="B3" authorId="0" shapeId="0" xr:uid="{8F0C22BD-2645-1848-AAC7-B38F6F5B2A61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branch L</t>
        </r>
      </text>
    </comment>
    <comment ref="B4" authorId="0" shapeId="0" xr:uid="{3DFDDCC7-0B52-F04D-92AC-4B7708DF56DB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LA_max, m2</t>
        </r>
      </text>
    </comment>
    <comment ref="C6" authorId="0" shapeId="0" xr:uid="{A69ECCB0-6DCF-DC47-A3E1-FDE151FC5E6F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Value in mm if not Fractal</t>
        </r>
      </text>
    </comment>
    <comment ref="B7" authorId="0" shapeId="0" xr:uid="{54C630D6-8A54-9D46-9CCF-1BE93EAE156F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set to total shoot diam here, but could be less</t>
        </r>
      </text>
    </comment>
    <comment ref="A12" authorId="0" shapeId="0" xr:uid="{1B33A2EE-602D-EC45-B951-D61096024455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define how Ks change with sapwood area. If &lt;2 then Ks increases with area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Hervé Cochard</author>
  </authors>
  <commentList>
    <comment ref="A2" authorId="0" shapeId="0" xr:uid="{96301BF9-144B-5D4D-86BA-1BE81C6C1458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tree height * root/shoot ratio</t>
        </r>
      </text>
    </comment>
    <comment ref="A4" authorId="0" shapeId="0" xr:uid="{09CC5A54-F127-7343-8D2B-7BD267F02CEF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here equal to leaf area</t>
        </r>
      </text>
    </comment>
    <comment ref="A8" authorId="0" shapeId="0" xr:uid="{37758612-1A40-8B4D-9539-E177391F3CD2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surface root *3 = surface trunk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Hervé Cochard</author>
  </authors>
  <commentList>
    <comment ref="B20" authorId="0" shapeId="0" xr:uid="{32DF7C74-3194-214D-9CF5-211ABA00E153}">
      <text>
        <r>
          <rPr>
            <b/>
            <sz val="9"/>
            <color rgb="FF000000"/>
            <rFont val="Calibri"/>
            <family val="2"/>
          </rPr>
          <t>Hervé Cochard: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To be ajusted according to diffent soil types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Hervé Cochard</author>
    <author>Utilisateur de Microsoft Office</author>
  </authors>
  <commentList>
    <comment ref="B25" authorId="0" shapeId="0" xr:uid="{0F282A55-E277-964D-A61C-27A7E6825E6C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If "1" then the same reference turgor presssure is used for a batch of simulations</t>
        </r>
      </text>
    </comment>
    <comment ref="C25" authorId="1" shapeId="0" xr:uid="{D3CFF09F-B21D-C24F-8BA3-12E004E5D9BC}">
      <text>
        <r>
          <rPr>
            <b/>
            <sz val="10"/>
            <color indexed="81"/>
            <rFont val="Calibri"/>
            <family val="2"/>
          </rPr>
          <t>Utilisateur de Microsoft Office:</t>
        </r>
        <r>
          <rPr>
            <sz val="10"/>
            <color indexed="81"/>
            <rFont val="Calibri"/>
            <family val="2"/>
          </rPr>
          <t xml:space="preserve">
If tansient=1 intermediate values are saved</t>
        </r>
      </text>
    </comment>
    <comment ref="E25" authorId="0" shapeId="0" xr:uid="{27EA6820-4FC0-F64B-8821-38C1533632BF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if "1" gs is constant during the day. But E can vary if vpd changes</t>
        </r>
      </text>
    </comment>
    <comment ref="F25" authorId="0" shapeId="0" xr:uid="{15C6543D-1E71-5740-94A7-BE8EB2E908D1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0: K_root CST K_leaf CST
</t>
        </r>
        <r>
          <rPr>
            <sz val="10"/>
            <color rgb="FF000000"/>
            <rFont val="Calibri"/>
            <family val="2"/>
          </rPr>
          <t xml:space="preserve">1: K_root CST K_leaf VAR 
</t>
        </r>
        <r>
          <rPr>
            <sz val="10"/>
            <color rgb="FF000000"/>
            <rFont val="Calibri"/>
            <family val="2"/>
          </rPr>
          <t xml:space="preserve">2: K_root VAR K_leaf CST
</t>
        </r>
        <r>
          <rPr>
            <sz val="10"/>
            <color rgb="FF000000"/>
            <rFont val="Calibri"/>
            <family val="2"/>
          </rPr>
          <t xml:space="preserve">3: K_root VAR K_leaf VAR
</t>
        </r>
      </text>
    </comment>
    <comment ref="G25" authorId="0" shapeId="0" xr:uid="{DA9E5EDC-53EC-1140-8E5E-86ABA47C481F}">
      <text>
        <r>
          <rPr>
            <b/>
            <sz val="10"/>
            <color rgb="FF000000"/>
            <rFont val="Calibri"/>
            <family val="2"/>
          </rPr>
          <t xml:space="preserve">Hervé Cochard:
</t>
        </r>
        <r>
          <rPr>
            <b/>
            <sz val="10"/>
            <color rgb="FF000000"/>
            <rFont val="Calibri"/>
            <family val="2"/>
          </rPr>
          <t>0= not cut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1= a cut branch ( K_Branch_apo=0) 
</t>
        </r>
        <r>
          <rPr>
            <sz val="10"/>
            <color rgb="FF000000"/>
            <rFont val="Calibri"/>
            <family val="2"/>
          </rPr>
          <t>2=  a cut tree ( K_Trunk_apo=0)</t>
        </r>
      </text>
    </comment>
    <comment ref="H25" authorId="0" shapeId="0" xr:uid="{550A2026-9528-EC46-8781-1F27D6A4E4E4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End simualtion when
</t>
        </r>
        <r>
          <rPr>
            <sz val="10"/>
            <color rgb="FF000000"/>
            <rFont val="Calibri"/>
            <family val="2"/>
          </rPr>
          <t xml:space="preserve">0= no end
</t>
        </r>
        <r>
          <rPr>
            <sz val="10"/>
            <color rgb="FF000000"/>
            <rFont val="Calibri"/>
            <family val="2"/>
          </rPr>
          <t xml:space="preserve"> 1= PLC_leaf = 100%
</t>
        </r>
        <r>
          <rPr>
            <sz val="10"/>
            <color rgb="FF000000"/>
            <rFont val="Calibri"/>
            <family val="2"/>
          </rPr>
          <t xml:space="preserve">2= PLC_branch=100%
</t>
        </r>
        <r>
          <rPr>
            <sz val="10"/>
            <color rgb="FF000000"/>
            <rFont val="Calibri"/>
            <family val="2"/>
          </rPr>
          <t>3= leaf or branch</t>
        </r>
      </text>
    </comment>
    <comment ref="I25" authorId="0" shapeId="0" xr:uid="{B41ADED7-2B83-FB43-87F5-08B769A72E7B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Duration of the simulation in days. If "0" then infinite.</t>
        </r>
      </text>
    </comment>
    <comment ref="J25" authorId="0" shapeId="0" xr:uid="{59BE8C50-982F-A047-9DF1-BA01AFA412A5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time increment for the computation. If higher then faster but may crash!</t>
        </r>
      </text>
    </comment>
    <comment ref="K25" authorId="0" shapeId="0" xr:uid="{8DF98186-759E-314A-8491-277ED7343DE9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indicate when data are printed on screen or in the file. If 24 then only midday values ares saved.</t>
        </r>
      </text>
    </comment>
    <comment ref="L25" authorId="0" shapeId="0" xr:uid="{FED08475-B77B-8444-9D59-FFF4E9765040}">
      <text>
        <r>
          <rPr>
            <b/>
            <sz val="10"/>
            <color rgb="FF000000"/>
            <rFont val="Calibri"/>
            <family val="2"/>
          </rPr>
          <t xml:space="preserve">Hervé Cochard:
</t>
        </r>
        <r>
          <rPr>
            <sz val="10"/>
            <color rgb="FF000000"/>
            <rFont val="Calibri"/>
            <family val="2"/>
          </rPr>
          <t xml:space="preserve">0= generated no file
</t>
        </r>
        <r>
          <rPr>
            <sz val="10"/>
            <color rgb="FF000000"/>
            <rFont val="Calibri"/>
            <family val="2"/>
          </rPr>
          <t xml:space="preserve">1= a climatic file with infra-day day and interpolation
</t>
        </r>
        <r>
          <rPr>
            <sz val="10"/>
            <color rgb="FF000000"/>
            <rFont val="Calibri"/>
            <family val="2"/>
          </rPr>
          <t>2=  a climatic file with one data par day and computed values</t>
        </r>
      </text>
    </comment>
    <comment ref="M25" authorId="0" shapeId="0" xr:uid="{62C268FB-6F9F-FA48-8621-C64E36277A3C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If 1 leaf temperature is computed from energy budget. 
</t>
        </r>
        <r>
          <rPr>
            <sz val="10"/>
            <color rgb="FF000000"/>
            <rFont val="Calibri"/>
            <family val="2"/>
          </rPr>
          <t>If  0 Tleaf=Tair</t>
        </r>
      </text>
    </comment>
    <comment ref="N25" authorId="0" shapeId="0" xr:uid="{AB087965-4FCE-1B44-B8D9-F3F0A51C286B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1 account for temperature effect on water fluidity</t>
        </r>
      </text>
    </comment>
    <comment ref="O25" authorId="0" shapeId="0" xr:uid="{609B9BDE-4DF5-4547-AF72-A7D984870333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account for T effect on ST and P50</t>
        </r>
      </text>
    </comment>
    <comment ref="P25" authorId="0" shapeId="0" xr:uid="{2DD572D4-7407-9A49-98C6-B84B018DCC55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account for the effect of T on osmotic potential</t>
        </r>
      </text>
    </comment>
    <comment ref="Q25" authorId="0" shapeId="0" xr:uid="{48E1DA79-1C03-134E-8D20-CFD96000F587}">
      <text>
        <r>
          <rPr>
            <b/>
            <sz val="10"/>
            <color rgb="FF000000"/>
            <rFont val="Tahoma"/>
            <family val="2"/>
          </rPr>
          <t>Hervé Cochard: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account for the effect of T on g_min</t>
        </r>
      </text>
    </comment>
    <comment ref="R25" authorId="0" shapeId="0" xr:uid="{00DB6CDB-C74E-1F47-969C-404F5466F1F2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0=P12
</t>
        </r>
        <r>
          <rPr>
            <sz val="10"/>
            <color rgb="FF000000"/>
            <rFont val="Calibri"/>
            <family val="2"/>
          </rPr>
          <t xml:space="preserve">1=turgor_midday
</t>
        </r>
        <r>
          <rPr>
            <sz val="10"/>
            <color rgb="FF000000"/>
            <rFont val="Calibri"/>
            <family val="2"/>
          </rPr>
          <t xml:space="preserve">2=turgor_max
</t>
        </r>
        <r>
          <rPr>
            <sz val="10"/>
            <color rgb="FF000000"/>
            <rFont val="Calibri"/>
            <family val="2"/>
          </rPr>
          <t>9= custom</t>
        </r>
      </text>
    </comment>
    <comment ref="S25" authorId="0" shapeId="0" xr:uid="{4D78081F-D1C7-D54F-AB77-C508EA7EE6D3}">
      <text>
        <r>
          <rPr>
            <b/>
            <sz val="10"/>
            <color rgb="FF000000"/>
            <rFont val="Calibri"/>
            <family val="2"/>
          </rPr>
          <t>Hervé Cochard: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is the threshold PLC for stomatal closure when Regul_turgor=0</t>
        </r>
      </text>
    </comment>
  </commentList>
</comments>
</file>

<file path=xl/sharedStrings.xml><?xml version="1.0" encoding="utf-8"?>
<sst xmlns="http://schemas.openxmlformats.org/spreadsheetml/2006/main" count="1543" uniqueCount="1063">
  <si>
    <t>SurEau</t>
  </si>
  <si>
    <t>dt</t>
  </si>
  <si>
    <t>Soil</t>
  </si>
  <si>
    <t>Teta_s</t>
  </si>
  <si>
    <t>Teta_r</t>
  </si>
  <si>
    <t>alpha</t>
  </si>
  <si>
    <t>n</t>
  </si>
  <si>
    <t>K_sat</t>
  </si>
  <si>
    <t>L</t>
  </si>
  <si>
    <t>Symplasme</t>
  </si>
  <si>
    <t>sec</t>
  </si>
  <si>
    <t>t_out</t>
  </si>
  <si>
    <t>hours</t>
  </si>
  <si>
    <t>TRANSIENT</t>
  </si>
  <si>
    <t>yes=1/no=0</t>
  </si>
  <si>
    <t>Plant type</t>
  </si>
  <si>
    <t>LA, m2</t>
  </si>
  <si>
    <t>HV, m2/m2</t>
  </si>
  <si>
    <t>Volume, m3</t>
  </si>
  <si>
    <t>Q_apo, Kg</t>
  </si>
  <si>
    <t>Q_symp,Kg</t>
  </si>
  <si>
    <t>Wood_apo capacitance, Kg Mpa-1</t>
  </si>
  <si>
    <t>Wood_symp specific Capacitance KgMPa-1m-3</t>
  </si>
  <si>
    <t>Wood_symp Capacitance KgMPa-1</t>
  </si>
  <si>
    <t>Wood symplasmic fraction</t>
  </si>
  <si>
    <t>Wood apo (lumen) fraction</t>
  </si>
  <si>
    <t>Leaf apoplasmic fraction</t>
  </si>
  <si>
    <t>Leaf succulence KgH20/m2</t>
  </si>
  <si>
    <t>Leaf</t>
  </si>
  <si>
    <t>Branch</t>
  </si>
  <si>
    <t>Trunk</t>
  </si>
  <si>
    <t>Root</t>
  </si>
  <si>
    <t>Surface  base, m2</t>
  </si>
  <si>
    <t>Length, m</t>
  </si>
  <si>
    <t>Kg/m3</t>
  </si>
  <si>
    <t>g/cm3</t>
  </si>
  <si>
    <t>Wood _apo specific capacitance, KgMpa-1m-3</t>
  </si>
  <si>
    <t>days</t>
  </si>
  <si>
    <t>cone</t>
  </si>
  <si>
    <t>Cylindre`</t>
  </si>
  <si>
    <t>Rayon base,m</t>
  </si>
  <si>
    <t>Area, m2</t>
  </si>
  <si>
    <t>CONTROL</t>
  </si>
  <si>
    <t>Volume_soil_A</t>
  </si>
  <si>
    <t>P_tlp</t>
  </si>
  <si>
    <t>Regul_turgor_A</t>
  </si>
  <si>
    <t>C_Leaf_Apo_A</t>
  </si>
  <si>
    <t xml:space="preserve"> C_Branch_Apo_A</t>
  </si>
  <si>
    <t xml:space="preserve"> C_Trunk_Apo_A</t>
  </si>
  <si>
    <t xml:space="preserve"> C_Root_Apo_A</t>
  </si>
  <si>
    <t>Epsilon_Leaf_Symp_A</t>
  </si>
  <si>
    <t>Epsilon_Branch_Symp_A</t>
  </si>
  <si>
    <t>Epsilon_Trunk_Symp_A</t>
  </si>
  <si>
    <t>Epsilon_Root_Symp_A</t>
  </si>
  <si>
    <t>Pi0_Leaf_Symp_A</t>
  </si>
  <si>
    <t>Pi0_Branch_Symp_A</t>
  </si>
  <si>
    <t>Pi0_Trunk_Symp_A</t>
  </si>
  <si>
    <t>Pi0_Root_Symp_A</t>
  </si>
  <si>
    <t>K_Leaf_Apo0_A</t>
  </si>
  <si>
    <t>K_Trunk_Apo0_A</t>
  </si>
  <si>
    <t>K_Root_Apo0_A</t>
  </si>
  <si>
    <t>K_Leaf_Symp_A</t>
  </si>
  <si>
    <t>K_Trunk_Symp_A</t>
  </si>
  <si>
    <t>K_Root_Symp_A</t>
  </si>
  <si>
    <t>P50_Leaf_Apo_A</t>
  </si>
  <si>
    <t>P50_Branch_Apo_A</t>
  </si>
  <si>
    <t>P50_Trunk_Apo_A</t>
  </si>
  <si>
    <t>P50_Root_Apo_A</t>
  </si>
  <si>
    <t xml:space="preserve"> Slope_Leaf_Apo_A</t>
  </si>
  <si>
    <t xml:space="preserve"> Slope_Branch_Apo_A</t>
  </si>
  <si>
    <t xml:space="preserve"> Slope_Trunk_Apo_A</t>
  </si>
  <si>
    <t xml:space="preserve"> Slope_Root_Apo_A</t>
  </si>
  <si>
    <t>Summary</t>
  </si>
  <si>
    <t>P12_Leaf</t>
  </si>
  <si>
    <t>Soil_V, l</t>
  </si>
  <si>
    <t>P50_Leaf, Mpa</t>
  </si>
  <si>
    <t>gs regulation</t>
  </si>
  <si>
    <t>Soil_A, m3</t>
  </si>
  <si>
    <t>PI0 Mpa</t>
  </si>
  <si>
    <t>P50, Mpa</t>
  </si>
  <si>
    <t>slope, %Mpa</t>
  </si>
  <si>
    <t>K_plant</t>
  </si>
  <si>
    <t>P_min_branch</t>
  </si>
  <si>
    <t>P_min_leaf</t>
  </si>
  <si>
    <t>K_xylem</t>
  </si>
  <si>
    <t>Specific symplasmic conducance, mmol s-1 Mpa-1 m-2</t>
  </si>
  <si>
    <t>Specific apoplasmic conducance, mmol s-1 Mpa-1 m-2</t>
  </si>
  <si>
    <t>Q_symp, Kg /m2</t>
  </si>
  <si>
    <t>Q_apo, Kg /m2</t>
  </si>
  <si>
    <t>P50_Branch</t>
  </si>
  <si>
    <t>P12_Branch</t>
  </si>
  <si>
    <t>Air</t>
  </si>
  <si>
    <t>T_air_min</t>
  </si>
  <si>
    <t>T_air_max</t>
  </si>
  <si>
    <t>RH_air_min</t>
  </si>
  <si>
    <t>RH_air_max</t>
  </si>
  <si>
    <t>g, mmol s-1 m-2 and Areas m2</t>
  </si>
  <si>
    <t>gs_max_A</t>
  </si>
  <si>
    <t>g_Branch_A</t>
  </si>
  <si>
    <t>g_Trunk_A</t>
  </si>
  <si>
    <t>g_Root_A</t>
  </si>
  <si>
    <t>g_soil_A</t>
  </si>
  <si>
    <t>gs_max, mmol</t>
  </si>
  <si>
    <t>g_cuti</t>
  </si>
  <si>
    <t>gs_min_A</t>
  </si>
  <si>
    <t>PAR_MAX, µmol</t>
  </si>
  <si>
    <t>Jarvis_PAR_A</t>
  </si>
  <si>
    <t>CUT</t>
  </si>
  <si>
    <t>gs_constant</t>
  </si>
  <si>
    <t>e_sat_air</t>
  </si>
  <si>
    <t>VPD_max</t>
  </si>
  <si>
    <t>e_air</t>
  </si>
  <si>
    <t>CLIMAT</t>
  </si>
  <si>
    <t>Climat</t>
  </si>
  <si>
    <t>Soil Water, Kg</t>
  </si>
  <si>
    <t>Avail Soil Water, Kg</t>
  </si>
  <si>
    <t>Growth</t>
  </si>
  <si>
    <t>Extensibility</t>
  </si>
  <si>
    <t>Yield, Mpa</t>
  </si>
  <si>
    <t>Tleaf</t>
  </si>
  <si>
    <t>PRINT_SCREEN</t>
  </si>
  <si>
    <t>Wind, m/s</t>
  </si>
  <si>
    <t>Root distribution</t>
  </si>
  <si>
    <t>Root_middle</t>
  </si>
  <si>
    <t>Root_upper</t>
  </si>
  <si>
    <t>Root_lower</t>
  </si>
  <si>
    <t>Root interface</t>
  </si>
  <si>
    <t>gap</t>
  </si>
  <si>
    <t>END_100PLC</t>
  </si>
  <si>
    <t>Px_leaf</t>
  </si>
  <si>
    <t>PLCx_A</t>
  </si>
  <si>
    <t>Simul1</t>
  </si>
  <si>
    <t>PLCx=0 Ptlp=1</t>
  </si>
  <si>
    <t>mm</t>
  </si>
  <si>
    <t>Arabido</t>
  </si>
  <si>
    <t>Leaf Specific Conductances, mmol s-1 Mpa-1 m-2</t>
  </si>
  <si>
    <t>K_VAR</t>
  </si>
  <si>
    <t>Leaf fall</t>
  </si>
  <si>
    <t>P50</t>
  </si>
  <si>
    <t>slope</t>
  </si>
  <si>
    <t>1= yes/ 0= NO</t>
  </si>
  <si>
    <t>succulence</t>
  </si>
  <si>
    <t>Apoplasmic fraction</t>
  </si>
  <si>
    <t>%</t>
  </si>
  <si>
    <t>% 0-1</t>
  </si>
  <si>
    <t>LEAF</t>
  </si>
  <si>
    <t>Characteristic size</t>
  </si>
  <si>
    <t>Q_Leaf_Symp0, Kg</t>
  </si>
  <si>
    <t>Q_Leaf_Apo0, Kg</t>
  </si>
  <si>
    <t>Wood _apo specific capacitance, KgMpa-1 L-1</t>
  </si>
  <si>
    <t>Leaf Area</t>
  </si>
  <si>
    <t>m2</t>
  </si>
  <si>
    <t>Number</t>
  </si>
  <si>
    <t xml:space="preserve">n </t>
  </si>
  <si>
    <t>Length</t>
  </si>
  <si>
    <t>m</t>
  </si>
  <si>
    <t>mean diameter</t>
  </si>
  <si>
    <t xml:space="preserve">m </t>
  </si>
  <si>
    <t>apo fraction</t>
  </si>
  <si>
    <t>symp fraction</t>
  </si>
  <si>
    <t>Diametre mean, m</t>
  </si>
  <si>
    <t>Cylindre</t>
  </si>
  <si>
    <t>Wood _apo specific capacitance, Kg Mpa-1 L-1</t>
  </si>
  <si>
    <t>Branch Trunk Root Specific Conductivity, mmol m s-1 Mpa-1 m-2</t>
  </si>
  <si>
    <t>Surface area specific conductance, mmol s-1 Mpa-1 m-2</t>
  </si>
  <si>
    <t>HV_Branch</t>
  </si>
  <si>
    <t>Branch area</t>
  </si>
  <si>
    <t>Trunk area</t>
  </si>
  <si>
    <t>Root area</t>
  </si>
  <si>
    <t>Root n=3</t>
  </si>
  <si>
    <t>HV_Trunk</t>
  </si>
  <si>
    <t>K_leaf_symp</t>
  </si>
  <si>
    <t>K_leaf_apo</t>
  </si>
  <si>
    <t>K_trunk_sym</t>
  </si>
  <si>
    <t>K_trunk_apo</t>
  </si>
  <si>
    <t>K_root_sym</t>
  </si>
  <si>
    <t>K_root_apo</t>
  </si>
  <si>
    <t>1 K_Branch_Apo0_A</t>
  </si>
  <si>
    <t>1 K_Branch_Symp_A</t>
  </si>
  <si>
    <t>K_branch_sym tot</t>
  </si>
  <si>
    <t>K_branch_apo tot</t>
  </si>
  <si>
    <t>C_leaf_apo</t>
  </si>
  <si>
    <t>C_branch_apo</t>
  </si>
  <si>
    <t>C_trunk_apo</t>
  </si>
  <si>
    <t>C_root_apo</t>
  </si>
  <si>
    <t>Q_Branch_Symp</t>
  </si>
  <si>
    <t>Q_Branch_apo</t>
  </si>
  <si>
    <t>Q_Trunk_Symp</t>
  </si>
  <si>
    <t>Q_Trunk_apo</t>
  </si>
  <si>
    <t>Q_Root_Symp</t>
  </si>
  <si>
    <t>Q_Root_apo</t>
  </si>
  <si>
    <t>Kg</t>
  </si>
  <si>
    <t>mmol</t>
  </si>
  <si>
    <t>sapwood radius fraction</t>
  </si>
  <si>
    <t>Sapwood area</t>
  </si>
  <si>
    <t>g</t>
  </si>
  <si>
    <t>LMA</t>
  </si>
  <si>
    <t>g /m2</t>
  </si>
  <si>
    <t>g H2O/m2</t>
  </si>
  <si>
    <t>Denity</t>
  </si>
  <si>
    <t>g_cuti_Leaf 20°C</t>
  </si>
  <si>
    <t>TP °C</t>
  </si>
  <si>
    <t>Q10_1</t>
  </si>
  <si>
    <t>Q10_2</t>
  </si>
  <si>
    <t>Specific Apoplasmic Capacitances, kg MPA-1 L-1</t>
  </si>
  <si>
    <t>FLUID</t>
  </si>
  <si>
    <t>SURFACE_TENSION</t>
  </si>
  <si>
    <t>T_OSMOTIC</t>
  </si>
  <si>
    <t>T_GMIN</t>
  </si>
  <si>
    <t>Heat Wave</t>
  </si>
  <si>
    <t>yes/no</t>
  </si>
  <si>
    <t>Start Day</t>
  </si>
  <si>
    <t>Duration</t>
  </si>
  <si>
    <t>+T</t>
  </si>
  <si>
    <t>T_air</t>
  </si>
  <si>
    <t>hygrophilous</t>
  </si>
  <si>
    <t>Mesohylous</t>
  </si>
  <si>
    <t>Xerophilous</t>
  </si>
  <si>
    <t>Bud</t>
  </si>
  <si>
    <t>K_Bud_Symp</t>
  </si>
  <si>
    <t>K_Bud_Apo0</t>
  </si>
  <si>
    <t>Epsilon_Bud_Symp</t>
  </si>
  <si>
    <t>Pi0_Bud_Symp</t>
  </si>
  <si>
    <t>P50_Bud_Apo</t>
  </si>
  <si>
    <t xml:space="preserve"> Slope_Bud_Apo</t>
  </si>
  <si>
    <t>g_Bud</t>
  </si>
  <si>
    <t xml:space="preserve"> C_Bud_Apo</t>
  </si>
  <si>
    <t>Density</t>
  </si>
  <si>
    <t>WC_Bud</t>
  </si>
  <si>
    <t>volumetric WC m3/m3</t>
  </si>
  <si>
    <t>Diam_Bud</t>
  </si>
  <si>
    <t>Bud_N per branch</t>
  </si>
  <si>
    <t>conductances mmol s-1 Mpa-1 for one bud</t>
  </si>
  <si>
    <t>Yes=1 / No =0</t>
  </si>
  <si>
    <t>T/3600/24</t>
  </si>
  <si>
    <t>P_Leaf_Apo</t>
  </si>
  <si>
    <t>turgor</t>
  </si>
  <si>
    <t>P_Branch_Apo</t>
  </si>
  <si>
    <t>P_Soil2</t>
  </si>
  <si>
    <t>P_Soil3</t>
  </si>
  <si>
    <t>REW2</t>
  </si>
  <si>
    <t>REW3</t>
  </si>
  <si>
    <t>PLC_Leaf_Apo</t>
  </si>
  <si>
    <t>PLC_Branch_Apo</t>
  </si>
  <si>
    <t>PLC_Trunk_Apo</t>
  </si>
  <si>
    <t>PLC_Root_Apo1</t>
  </si>
  <si>
    <t>Q_Leaf_Evap*18/1000/1000</t>
  </si>
  <si>
    <t>Q_Leaf_Symp*18/1000/1000</t>
  </si>
  <si>
    <t>Q_Leaf_Apo*18/1000/1000</t>
  </si>
  <si>
    <t>Q_Branch_Apo*18/1000/1000</t>
  </si>
  <si>
    <t>Q_Trunk_Symp*18/1000/1000</t>
  </si>
  <si>
    <t>(Q_Root_Symp1+Q_Root_Symp2+Q_Root_Symp2)*18/1000/1000</t>
  </si>
  <si>
    <t>(Q_Root_Apo1+Q_Root_Apo2+Q_Root_Apo3)*18/1000/1000</t>
  </si>
  <si>
    <t>(Q_Root_Endo1+Q_Root_Endo2+Q_Root_Endo3)*18/1000/1000</t>
  </si>
  <si>
    <t>Turgor_Trunk_Symp</t>
  </si>
  <si>
    <t>Growth_rate</t>
  </si>
  <si>
    <t>Radius</t>
  </si>
  <si>
    <t>An_tot/1000/1000</t>
  </si>
  <si>
    <t>K_Leaf_Apo/Leaf_Area</t>
  </si>
  <si>
    <t>Time, days</t>
  </si>
  <si>
    <t>Air temperature, °C</t>
  </si>
  <si>
    <t>Leaf temperature, °C</t>
  </si>
  <si>
    <t>Leaf-to-air VPD, kPa</t>
  </si>
  <si>
    <t>PAR, µmol</t>
  </si>
  <si>
    <t>Air water potential, Mpa</t>
  </si>
  <si>
    <t>Leaf Evaporation due to climatic demand, mmol s-1 m-2</t>
  </si>
  <si>
    <t>Whole plant evaporation, mmol s-1 m-2</t>
  </si>
  <si>
    <t>Days</t>
  </si>
  <si>
    <t>Turgor</t>
  </si>
  <si>
    <t xml:space="preserve">Whole plant evaporation, mmol s-1 </t>
  </si>
  <si>
    <t>Cumulated plant water loss,  Kg</t>
  </si>
  <si>
    <t>Canopy conductance, mmol s-1 m-2</t>
  </si>
  <si>
    <t>Leaf conductance, mmols-1 m-2</t>
  </si>
  <si>
    <t>Water potential at leaf evaporation sites, Mpa</t>
  </si>
  <si>
    <t>Symplasmic leaf water potential, Mpa</t>
  </si>
  <si>
    <t>Apoplasmic leaf water potential, Mpa</t>
  </si>
  <si>
    <t>relative leaf turgor, 0-1</t>
  </si>
  <si>
    <t>Symplasmic leaf turgor potential, Mpa</t>
  </si>
  <si>
    <t>Symplasmic branch water potential, Mpa</t>
  </si>
  <si>
    <t>Apoplasmic branch water potential, Mpa</t>
  </si>
  <si>
    <t>Symplasmic trunk water potential, Mpa</t>
  </si>
  <si>
    <t>Apoplasmic trunk water potential, Mpa</t>
  </si>
  <si>
    <t>Symplasmic root#1 water potential, Mpa</t>
  </si>
  <si>
    <t>Root#1 endoplasm water potential, Mpa</t>
  </si>
  <si>
    <t>Apoplasmic Root#1 water potential, Mpa</t>
  </si>
  <si>
    <t>Soil layer 1 water potential, Mpa</t>
  </si>
  <si>
    <t>Soil layer 2 water potential, Mpa</t>
  </si>
  <si>
    <t>Soil layer 3 water potential, Mpa</t>
  </si>
  <si>
    <t>Soil layer 1 relative extractable water</t>
  </si>
  <si>
    <t>Soil layer 2 relative extractable water</t>
  </si>
  <si>
    <t>Soil layer 3 relative extractable water</t>
  </si>
  <si>
    <t>Whole plant water content, Kg</t>
  </si>
  <si>
    <t>Soil water deficit, Kg</t>
  </si>
  <si>
    <t>Apoplasmic leaf PLC</t>
  </si>
  <si>
    <t>Apoplasmic Branch PLC</t>
  </si>
  <si>
    <t>Apoplasmic Trunk PLC</t>
  </si>
  <si>
    <t>Apoplasmic Root#1 PLC</t>
  </si>
  <si>
    <t>Leaf evaporation site water content, Kg</t>
  </si>
  <si>
    <t>Symplasmic leaf water content, Kg</t>
  </si>
  <si>
    <t>Apoplasmic leaf water content, Kg</t>
  </si>
  <si>
    <t>Symplasmic branch water content, Kg</t>
  </si>
  <si>
    <t>Apoplasmic branch water content, Kg</t>
  </si>
  <si>
    <t>Symplasmic trunk water content, Kg</t>
  </si>
  <si>
    <t>Apoplasmic trunk water content, Kg</t>
  </si>
  <si>
    <t>Symplasmic roots water content, Kg</t>
  </si>
  <si>
    <t>Apoplasmic roots water content, Kg</t>
  </si>
  <si>
    <t>Root endoplasm water content, Kg</t>
  </si>
  <si>
    <t>Symplasmic trunk turgor pressure, Mpa</t>
  </si>
  <si>
    <t>Growth rate</t>
  </si>
  <si>
    <t>Leaf symplasmic spcecific conductance, mmol s-1 Mpa-1 m-2</t>
  </si>
  <si>
    <t>Leaf apoplasmic spcecific conductance, mmol s-1 Mpa-1 m-2</t>
  </si>
  <si>
    <t>Whole leaf specific conductance, mmol s-1 MPa-1 m-2</t>
  </si>
  <si>
    <t>Whole root specific conductance, mmol s-1 Mpa-1 m-2</t>
  </si>
  <si>
    <t>Trunk apoplasmic specific conductance, mmol s-1 Mpa-1 m-2</t>
  </si>
  <si>
    <t>Whole plant specific conductance, mmol s-1 MPA-1 m-2</t>
  </si>
  <si>
    <t>Soil + Plant specific conductance, mmol s-1 MPA-1 m-2</t>
  </si>
  <si>
    <t>Water use efficiency</t>
  </si>
  <si>
    <t>Whole plant respiration rate, µmol CO2/s/m3</t>
  </si>
  <si>
    <t>CO2 content, mol</t>
  </si>
  <si>
    <t>Leaf area, m2</t>
  </si>
  <si>
    <t>Specific leaf water content, g H20 per g leaf dry mass</t>
  </si>
  <si>
    <t>Relative leaf+shoot water content, %</t>
  </si>
  <si>
    <t>Apoplasmic Bud PLC</t>
  </si>
  <si>
    <t>Symplasmic bud water potential, Mpa</t>
  </si>
  <si>
    <t>Bud relative water content, %</t>
  </si>
  <si>
    <t>Label</t>
  </si>
  <si>
    <t>RH_air</t>
  </si>
  <si>
    <t>Air relative humidity, %</t>
  </si>
  <si>
    <t>PAR</t>
  </si>
  <si>
    <t>VPD_Cuti</t>
  </si>
  <si>
    <t>VPD_Bud</t>
  </si>
  <si>
    <t>VPD_Branch</t>
  </si>
  <si>
    <t>VPD_Trunk</t>
  </si>
  <si>
    <t>VPD_Root1</t>
  </si>
  <si>
    <t>VPD_Root2</t>
  </si>
  <si>
    <t>VPD_Root3</t>
  </si>
  <si>
    <t>VPD_Soil</t>
  </si>
  <si>
    <t>Cuti-to-air VPD, kPa</t>
  </si>
  <si>
    <t>Bud-to-air VPD, kPa</t>
  </si>
  <si>
    <t>Branch-to-air VPD, kPa</t>
  </si>
  <si>
    <t>Trunk-to-air VPD, kPa</t>
  </si>
  <si>
    <t>Root1-to-air VPD, kPa</t>
  </si>
  <si>
    <t>Root2-to-air VPD, kPa</t>
  </si>
  <si>
    <t>Root3-to-air VPD, kPa</t>
  </si>
  <si>
    <t>Soil-to-air VPD, kPa</t>
  </si>
  <si>
    <t>E_Leaf</t>
  </si>
  <si>
    <t>Leaf Evaporation rate, mmol s-1 m-2</t>
  </si>
  <si>
    <t>E_cuti</t>
  </si>
  <si>
    <t>E_Branch</t>
  </si>
  <si>
    <t>E_Trunk</t>
  </si>
  <si>
    <t>E_Bud</t>
  </si>
  <si>
    <t>E_Root1</t>
  </si>
  <si>
    <t>E_Root2</t>
  </si>
  <si>
    <t>E_Root3</t>
  </si>
  <si>
    <t>E_Soil</t>
  </si>
  <si>
    <t>E_clim</t>
  </si>
  <si>
    <t>P_Soil1</t>
  </si>
  <si>
    <t>Turgor_Leaf_Symp</t>
  </si>
  <si>
    <t>REW1</t>
  </si>
  <si>
    <t>K_Soil1</t>
  </si>
  <si>
    <t>K_Soil2</t>
  </si>
  <si>
    <t>K_Soil3</t>
  </si>
  <si>
    <t>Soil layer 1 conductance</t>
  </si>
  <si>
    <t>Soil layer 2 conductance</t>
  </si>
  <si>
    <t>Soil layer 3 conductance</t>
  </si>
  <si>
    <t>K_Interface1</t>
  </si>
  <si>
    <t>K_Interface2</t>
  </si>
  <si>
    <t>K_Interface3</t>
  </si>
  <si>
    <t>Soil-Root1 interface conductance</t>
  </si>
  <si>
    <t>Soil-Root2 interface conductance</t>
  </si>
  <si>
    <t>Soil-Root3 interface conductance</t>
  </si>
  <si>
    <t>Q_Bud_Apo*18/1000/1000</t>
  </si>
  <si>
    <t>Symplasmic bud water content, Kg</t>
  </si>
  <si>
    <t>Apoplasmic bud water content, Kg</t>
  </si>
  <si>
    <t>Q_Bud_Symp*18/1000/1000</t>
  </si>
  <si>
    <t>Q_Branch_Symp*18/1000/1000</t>
  </si>
  <si>
    <t>Q_Soil1*18/1000/1000</t>
  </si>
  <si>
    <t>Soil layer 1 water content, kg</t>
  </si>
  <si>
    <t>Q_soil1</t>
  </si>
  <si>
    <t>Q_Soil2*18/1000/1000</t>
  </si>
  <si>
    <t>Soil layer 2 water content, kg</t>
  </si>
  <si>
    <t>Soil layer 3 water content, kg</t>
  </si>
  <si>
    <t>Q_soil2</t>
  </si>
  <si>
    <t>Q_soil3</t>
  </si>
  <si>
    <t>Symplasmic root#2 water potential, Mpa</t>
  </si>
  <si>
    <t>Root#2 endoplasm water potential, Mpa</t>
  </si>
  <si>
    <t>Apoplasmic Root#2 water potential, Mpa</t>
  </si>
  <si>
    <t>Symplasmic root#3 water potential, Mpa</t>
  </si>
  <si>
    <t>Root#13endoplasm water potential, Mpa</t>
  </si>
  <si>
    <t>Apoplasmic Root#3 water potential, Mpa</t>
  </si>
  <si>
    <t>Root1 symplasmic specific conductance, mmol s-1 Mpa-1 m-2</t>
  </si>
  <si>
    <t>Root1 apoplasmic specific conductance, mmol s-1 Mpa-1 m-2</t>
  </si>
  <si>
    <t>Root2 symplasmic specific conductance, mmol s-1 Mpa-1 m-2</t>
  </si>
  <si>
    <t>Root2 apoplasmic specific conductance, mmol s-1 Mpa-1 m-2</t>
  </si>
  <si>
    <t>Root3 symplasmic specific conductance, mmol s-1 Mpa-1 m-2</t>
  </si>
  <si>
    <t>Root3 apoplasmic specific conductance, mmol s-1 Mpa-1 m-2</t>
  </si>
  <si>
    <t>PLC_Root_Apo2</t>
  </si>
  <si>
    <t>PLC_Root_Apo3</t>
  </si>
  <si>
    <t>Apoplasmic Root#2 PLC</t>
  </si>
  <si>
    <t>Apoplasmic Root#3 PLC</t>
  </si>
  <si>
    <t>P_Branch_Symp</t>
  </si>
  <si>
    <t>An</t>
  </si>
  <si>
    <t>P_Bud_Apo</t>
  </si>
  <si>
    <t>Apoplasmic bud water potential, Mpa</t>
  </si>
  <si>
    <t>K_Leaf_Symp/Leaf_Area</t>
  </si>
  <si>
    <t>P_Bud_Symp</t>
  </si>
  <si>
    <t>Q_Plant</t>
  </si>
  <si>
    <t>T_Leaf</t>
  </si>
  <si>
    <t>VPD_Leaf</t>
  </si>
  <si>
    <t>P_air</t>
  </si>
  <si>
    <t>E_Plant</t>
  </si>
  <si>
    <t>E_Plant/Leaf_Area</t>
  </si>
  <si>
    <t>E_tot*18/1000/1000</t>
  </si>
  <si>
    <t>g_Canopy</t>
  </si>
  <si>
    <t>g_Leaf</t>
  </si>
  <si>
    <t>P_Leaf_Evap</t>
  </si>
  <si>
    <t>P_Leaf_Symp</t>
  </si>
  <si>
    <t>P_Trunk_Symp</t>
  </si>
  <si>
    <t>P_Trunk_Apo</t>
  </si>
  <si>
    <t>P_Root_Symp1</t>
  </si>
  <si>
    <t>P_Root_Endo1</t>
  </si>
  <si>
    <t>P_Root_Apo1</t>
  </si>
  <si>
    <t>P_Root_Symp2</t>
  </si>
  <si>
    <t>P_Root_Endo2</t>
  </si>
  <si>
    <t>P_Root_Apo2</t>
  </si>
  <si>
    <t>P_Root_Symp3</t>
  </si>
  <si>
    <t>P_Root_Endo3</t>
  </si>
  <si>
    <t>P_Root_Apo3</t>
  </si>
  <si>
    <t>1/(1/K_Leaf_Apo+1/K_Leaf_Symp)/Leaf_Area</t>
  </si>
  <si>
    <t>K_Root_Symp1*3/Leaf_Area</t>
  </si>
  <si>
    <t>K_Root_Apo1*3/Leaf_Area</t>
  </si>
  <si>
    <t>K_Root_Symp2*3/Leaf_Area</t>
  </si>
  <si>
    <t>K_Root_Apo2*3/Leaf_Area</t>
  </si>
  <si>
    <t>K_Root_Symp3*3/Leaf_Area</t>
  </si>
  <si>
    <t>K_Root_Apo3*3/Leaf_Area</t>
  </si>
  <si>
    <t>3/(1/K_Root_Symp1+1/K_Root_Apo1)/Leaf_Area</t>
  </si>
  <si>
    <t>K_Trunk_Apo/Leaf_Area</t>
  </si>
  <si>
    <t>K_Plant</t>
  </si>
  <si>
    <t>K_tot</t>
  </si>
  <si>
    <t>PLC_Bud_Apo</t>
  </si>
  <si>
    <t>(Q_Soil01-Q_Soil1+Q_Soil02-Q_Soil2+Q_Soil03-Q_Soil3)*18/1000/1000</t>
  </si>
  <si>
    <t>Q_Trunk_Apo*18/1000/1000</t>
  </si>
  <si>
    <t>An_tot/E_tot/1000</t>
  </si>
  <si>
    <t>Rm/1000</t>
  </si>
  <si>
    <t>Reserve/1000/1000</t>
  </si>
  <si>
    <t>Leaf_Area</t>
  </si>
  <si>
    <t>Specific_Leaf_WC</t>
  </si>
  <si>
    <t>RWC_shoot</t>
  </si>
  <si>
    <t>RWC_Bud</t>
  </si>
  <si>
    <t>SCREEN</t>
  </si>
  <si>
    <t>FILE</t>
  </si>
  <si>
    <t>Pointer</t>
  </si>
  <si>
    <t>T_leaf</t>
  </si>
  <si>
    <t>E</t>
  </si>
  <si>
    <t>E/m2</t>
  </si>
  <si>
    <t>E_tot</t>
  </si>
  <si>
    <t>g_canopy</t>
  </si>
  <si>
    <t>g_leaf</t>
  </si>
  <si>
    <t>P_evap_a</t>
  </si>
  <si>
    <t>P_leaf_s</t>
  </si>
  <si>
    <t>P_leaf_a</t>
  </si>
  <si>
    <t>Turgor_l</t>
  </si>
  <si>
    <t>P_branch_s</t>
  </si>
  <si>
    <t>P_branch_a</t>
  </si>
  <si>
    <t>P_trunk_s</t>
  </si>
  <si>
    <t>P_trunk_a</t>
  </si>
  <si>
    <t>P_root1_s</t>
  </si>
  <si>
    <t>P_endo1</t>
  </si>
  <si>
    <t>P_root1_a</t>
  </si>
  <si>
    <t>P_root2_s</t>
  </si>
  <si>
    <t>P_endo2</t>
  </si>
  <si>
    <t>P_root2_a</t>
  </si>
  <si>
    <t>P_root3_s</t>
  </si>
  <si>
    <t>P_endo3</t>
  </si>
  <si>
    <t>P_root3_a</t>
  </si>
  <si>
    <t>P_soil1</t>
  </si>
  <si>
    <t>P_soil2</t>
  </si>
  <si>
    <t>P_soil3</t>
  </si>
  <si>
    <t>K_leaf</t>
  </si>
  <si>
    <t>K_root</t>
  </si>
  <si>
    <t>K_trunk</t>
  </si>
  <si>
    <t>PLC_leaf</t>
  </si>
  <si>
    <t>PLC_trunk</t>
  </si>
  <si>
    <t>PLC_root1</t>
  </si>
  <si>
    <t>PLC_root2</t>
  </si>
  <si>
    <t>PLC_root3</t>
  </si>
  <si>
    <t>Q_plant</t>
  </si>
  <si>
    <t>DQ_soil</t>
  </si>
  <si>
    <t>Q_evap_a</t>
  </si>
  <si>
    <t>Q_leaf_s</t>
  </si>
  <si>
    <t>Q_leaf_a</t>
  </si>
  <si>
    <t>Q_branch_s</t>
  </si>
  <si>
    <t>Q_branch_a</t>
  </si>
  <si>
    <t>Q_bud_s</t>
  </si>
  <si>
    <t>Q_bud_a</t>
  </si>
  <si>
    <t>Q_trunk_s</t>
  </si>
  <si>
    <t>Q_trunk_a</t>
  </si>
  <si>
    <t>Q_root_s</t>
  </si>
  <si>
    <t>Q_root_a</t>
  </si>
  <si>
    <t>Q_endo</t>
  </si>
  <si>
    <t>Growth_r</t>
  </si>
  <si>
    <t>An_tot</t>
  </si>
  <si>
    <t>WUE</t>
  </si>
  <si>
    <t>Rm</t>
  </si>
  <si>
    <t>Reserve</t>
  </si>
  <si>
    <t>Leaf_wc</t>
  </si>
  <si>
    <t>Branch_wc</t>
  </si>
  <si>
    <t>VPD_Bra</t>
  </si>
  <si>
    <t>VPD_Tru</t>
  </si>
  <si>
    <t>VPD_R1</t>
  </si>
  <si>
    <t>VPD_R2</t>
  </si>
  <si>
    <t>VPD_R3</t>
  </si>
  <si>
    <t>E_Bran</t>
  </si>
  <si>
    <t>P_Bud_s</t>
  </si>
  <si>
    <t>P_Bud_a</t>
  </si>
  <si>
    <t>K_Inter1</t>
  </si>
  <si>
    <t>K_Inter2</t>
  </si>
  <si>
    <t>K_Inter3</t>
  </si>
  <si>
    <t>K_leaf_s</t>
  </si>
  <si>
    <t>K_leaf_a</t>
  </si>
  <si>
    <t>K_r1_s</t>
  </si>
  <si>
    <t>K_r1_a</t>
  </si>
  <si>
    <t>K_r2_s</t>
  </si>
  <si>
    <t>K_r2_a</t>
  </si>
  <si>
    <t>K_r3_s</t>
  </si>
  <si>
    <t>K_r3_a</t>
  </si>
  <si>
    <t>PLC_bran</t>
  </si>
  <si>
    <t>PLC_Bud</t>
  </si>
  <si>
    <t>Cuticle conductance, mmols-1m-2</t>
  </si>
  <si>
    <t>Trunk Radius variation, µm</t>
  </si>
  <si>
    <t>List of parameters to be displayed on screen and saved in the sureau_trs.cvs file</t>
  </si>
  <si>
    <t>Check 1 in the columns E anf F to validate</t>
  </si>
  <si>
    <t>Variable parameter/formula in the code</t>
  </si>
  <si>
    <t>Variable name</t>
  </si>
  <si>
    <t>Copy / Paste the yellow cells (only !) in the transient_out.txt text file</t>
  </si>
  <si>
    <t>Each yellow line is for one simulation; add as many lines as simulations that will be treated sequencially</t>
  </si>
  <si>
    <t>List of arguments (YES=1; NO=0) and variables to parametrize a simulation with Sureau.exe</t>
  </si>
  <si>
    <t>Copy / Paste the yellow cells (only !) in the sureau_ini.txt text file (must be pasted as a plain text)</t>
  </si>
  <si>
    <t>rain, mm</t>
  </si>
  <si>
    <t>Copy / Paste the yellow cells (only !) in the climat_day_in.txt text file (must be pasted as a plain text)</t>
  </si>
  <si>
    <t>Climatic data when passed as one set of parameter per day (option CLIMAT=2).</t>
  </si>
  <si>
    <t>T_air_min, °C</t>
  </si>
  <si>
    <t>T_air_max, °C</t>
  </si>
  <si>
    <t>RH_air_min, %</t>
  </si>
  <si>
    <t>RH_air_max,  %</t>
  </si>
  <si>
    <t>Climatic data when passed as multiple set of parameter per day (option CLIMAT=1).</t>
  </si>
  <si>
    <t>Copy / Paste the yellow cells (only !) in the climat_hour_in.txt text file (must be pasted as a plain text)</t>
  </si>
  <si>
    <t>T_air, °C</t>
  </si>
  <si>
    <t>RH_air, %</t>
  </si>
  <si>
    <t>Days, fraction of day</t>
  </si>
  <si>
    <t>Example for one day on an hourly basis</t>
  </si>
  <si>
    <t>END_@PLC</t>
  </si>
  <si>
    <t xml:space="preserve">PLC </t>
  </si>
  <si>
    <t>Specific Branch water content, kg H20 per kg wood dry mass</t>
  </si>
  <si>
    <t>Specific Branch apoplasmic water content, kg H20 per kg wood dry mass</t>
  </si>
  <si>
    <t>Specific_Br_WC</t>
  </si>
  <si>
    <t>Specific_Br_Symp_WC</t>
  </si>
  <si>
    <t>Specific_Br_Apo_WC</t>
  </si>
  <si>
    <t>Br_Sy_wc</t>
  </si>
  <si>
    <t>Br_Apo_wc</t>
  </si>
  <si>
    <t>Specific Branch symplasmic water content, kg H20 per kg symp dry mass</t>
  </si>
  <si>
    <t>Tgs_sens</t>
  </si>
  <si>
    <t>Legacy of PLC</t>
  </si>
  <si>
    <t>Tgs_optim</t>
  </si>
  <si>
    <t>Gs_max = f(T)</t>
  </si>
  <si>
    <t>Rain interception</t>
  </si>
  <si>
    <t>NULL= no</t>
  </si>
  <si>
    <t>Interception_min</t>
  </si>
  <si>
    <t>INTERCEPTION</t>
  </si>
  <si>
    <t>Interception_factor</t>
  </si>
  <si>
    <t>Threshold_rain</t>
  </si>
  <si>
    <t>REW_Soil</t>
  </si>
  <si>
    <t>REW_min</t>
  </si>
  <si>
    <t>REW_int</t>
  </si>
  <si>
    <t>P_soil</t>
  </si>
  <si>
    <t>P_soil_min</t>
  </si>
  <si>
    <t>P_soil_int</t>
  </si>
  <si>
    <t>Minimum REW</t>
  </si>
  <si>
    <t>Mean soil relative extractable water content REW</t>
  </si>
  <si>
    <t>Integrated REW deficit day-1</t>
  </si>
  <si>
    <t>Mean soil water potential, all 3 layers</t>
  </si>
  <si>
    <t>minimum Psoil</t>
  </si>
  <si>
    <t>Integrated Psoil per day</t>
  </si>
  <si>
    <t>CONSTANT</t>
  </si>
  <si>
    <t>LA_max, m2</t>
  </si>
  <si>
    <t>LA_min, m2</t>
  </si>
  <si>
    <t>LA_Day1</t>
  </si>
  <si>
    <t>LA_Day2</t>
  </si>
  <si>
    <t>LA_Day3</t>
  </si>
  <si>
    <t>LA_Day4</t>
  </si>
  <si>
    <t>dt2</t>
  </si>
  <si>
    <t>IRRIGATION</t>
  </si>
  <si>
    <t>0/1</t>
  </si>
  <si>
    <t>IRRIGATE</t>
  </si>
  <si>
    <t>Irrigation</t>
  </si>
  <si>
    <t>Cumulated irrigation, mm</t>
  </si>
  <si>
    <t>Regul_gs</t>
  </si>
  <si>
    <t>REW_Irr</t>
  </si>
  <si>
    <t>Photosynthesis</t>
  </si>
  <si>
    <t>Ca</t>
  </si>
  <si>
    <t>ppm</t>
  </si>
  <si>
    <t>umol.s-1.m-2</t>
  </si>
  <si>
    <t>VcMax 25°C</t>
  </si>
  <si>
    <t>VjMAx 25°C</t>
  </si>
  <si>
    <t>Qye</t>
  </si>
  <si>
    <t>Kc 25°C</t>
  </si>
  <si>
    <t>Ko 25°C</t>
  </si>
  <si>
    <t>R</t>
  </si>
  <si>
    <t>REHYDRATE</t>
  </si>
  <si>
    <t>Rehydratation</t>
  </si>
  <si>
    <t>PLC_Rehyd</t>
  </si>
  <si>
    <t>Ptlp</t>
  </si>
  <si>
    <t>Sap flow density, g m-2 s-1</t>
  </si>
  <si>
    <t>Sap_flow_d</t>
  </si>
  <si>
    <t>Air VPD</t>
  </si>
  <si>
    <t>VPD_Air</t>
  </si>
  <si>
    <t>Sap flow density, g cm-2 h-1</t>
  </si>
  <si>
    <t>Sap_flow_d2</t>
  </si>
  <si>
    <t>Daily_irr,mm</t>
  </si>
  <si>
    <t>SOIL</t>
  </si>
  <si>
    <t>Soil volume, m3</t>
  </si>
  <si>
    <t>Soil_Depth, m</t>
  </si>
  <si>
    <t>Soil_Width, m</t>
  </si>
  <si>
    <t>Day end</t>
  </si>
  <si>
    <t>DOY</t>
  </si>
  <si>
    <t>Day start if 3</t>
  </si>
  <si>
    <t>Diam_Fruit</t>
  </si>
  <si>
    <t>Fruit Diameter, m</t>
  </si>
  <si>
    <t>Leaf angle/horizon</t>
  </si>
  <si>
    <t>degrees</t>
  </si>
  <si>
    <t>Speed- actor</t>
  </si>
  <si>
    <t>0.01 - 10</t>
  </si>
  <si>
    <t>Continuous</t>
  </si>
  <si>
    <t>ETP_Penman_totale, in mm</t>
  </si>
  <si>
    <t>ETP_Penman_tot</t>
  </si>
  <si>
    <t>ETP_Pen_t</t>
  </si>
  <si>
    <t>ETP_Pen</t>
  </si>
  <si>
    <t>ETP_Penman</t>
  </si>
  <si>
    <t>Rain_tot</t>
  </si>
  <si>
    <t>Rain_soil</t>
  </si>
  <si>
    <t>VPD_Air_tot</t>
  </si>
  <si>
    <t>VPD_Leaf_tot</t>
  </si>
  <si>
    <t>Rain_Leaf_tot</t>
  </si>
  <si>
    <t>ETP_leaf_tot</t>
  </si>
  <si>
    <t>VPD_Air_t</t>
  </si>
  <si>
    <t>VPD_Leaf_t</t>
  </si>
  <si>
    <t>Rain_Leaf_t</t>
  </si>
  <si>
    <t>ETP_leaf_t</t>
  </si>
  <si>
    <t>Annual rain, mm</t>
  </si>
  <si>
    <t>Annual rain reaching the soil, mm</t>
  </si>
  <si>
    <t>Cumulative AIR VPD</t>
  </si>
  <si>
    <t>Cumulative Leaf VPD when leafy</t>
  </si>
  <si>
    <t>Rain when leafy</t>
  </si>
  <si>
    <t>EPT when leafy</t>
  </si>
  <si>
    <t>Mean annual temperature, °C</t>
  </si>
  <si>
    <t>Mean annual temperature, when leafy °C</t>
  </si>
  <si>
    <t>T_air_an</t>
  </si>
  <si>
    <t>T_air_an_l</t>
  </si>
  <si>
    <t>Month</t>
  </si>
  <si>
    <t>rain, mm/day</t>
  </si>
  <si>
    <t>LAI</t>
  </si>
  <si>
    <t>per m2</t>
  </si>
  <si>
    <t>Sapwood area, m2</t>
  </si>
  <si>
    <t>Branch area m2</t>
  </si>
  <si>
    <t>Trunk area m2</t>
  </si>
  <si>
    <t>Root area m2</t>
  </si>
  <si>
    <t>N</t>
  </si>
  <si>
    <t>Nombre de branches par nœuds</t>
  </si>
  <si>
    <t>Fractal dimension (Length)</t>
  </si>
  <si>
    <t>F</t>
  </si>
  <si>
    <t>Ltot, m</t>
  </si>
  <si>
    <t>Volume</t>
  </si>
  <si>
    <t>Nœud</t>
  </si>
  <si>
    <t>nb segments</t>
  </si>
  <si>
    <t>Périmètre, cm</t>
  </si>
  <si>
    <t>surface aubier, cm2</t>
  </si>
  <si>
    <t>aubier tot</t>
  </si>
  <si>
    <t>Volume N segments</t>
  </si>
  <si>
    <t>HV</t>
  </si>
  <si>
    <t>diam annual shoot, mm</t>
  </si>
  <si>
    <t>length annual shoot, m</t>
  </si>
  <si>
    <t>NB annual shoots</t>
  </si>
  <si>
    <t>diam segment, cm</t>
  </si>
  <si>
    <t>Section segment, cm2</t>
  </si>
  <si>
    <t>Section total</t>
  </si>
  <si>
    <t>Section duramen</t>
  </si>
  <si>
    <t>Diam duramen, cm</t>
  </si>
  <si>
    <t>Exposant de Leonardo (Diam segment)</t>
  </si>
  <si>
    <t>Exposant de Leonardo (Diam aubier)</t>
  </si>
  <si>
    <t>Delta1</t>
  </si>
  <si>
    <t>Delta2</t>
  </si>
  <si>
    <t>diam aubier annual shoot, mm</t>
  </si>
  <si>
    <t>L segment, m</t>
  </si>
  <si>
    <t>EPT-Penman</t>
  </si>
  <si>
    <t>coefficient</t>
  </si>
  <si>
    <t>Cuticule Evaporation rate, mmol s-1 m-2</t>
  </si>
  <si>
    <t>Branch bark Evaporation rate, mmol s-1 m-2</t>
  </si>
  <si>
    <t>Trunk bark Evaporation rate, mmol s-1 m-2</t>
  </si>
  <si>
    <t>Bud Evaporation rate, mmol s-1 m-2</t>
  </si>
  <si>
    <t>Root 1 Evaporation rate, mmol s-1 m-2</t>
  </si>
  <si>
    <t>Root 2 Evaporation rate, mmol s-1 m-2</t>
  </si>
  <si>
    <t>Root 3 Evaporation rate, mmol s-1 m-2</t>
  </si>
  <si>
    <t>Soil Evaporation rate, mmol s-1 m-2</t>
  </si>
  <si>
    <t>Calcul de gsoil</t>
  </si>
  <si>
    <t>Teta_soil</t>
  </si>
  <si>
    <t>g_soil_saturated</t>
  </si>
  <si>
    <t>g_Root</t>
  </si>
  <si>
    <t>g_Trunk</t>
  </si>
  <si>
    <t>g_Branch</t>
  </si>
  <si>
    <t>resistance s/m</t>
  </si>
  <si>
    <t>conductance mm/s</t>
  </si>
  <si>
    <t>conductance mmolm-2s-1</t>
  </si>
  <si>
    <t>Cumulated plant + soil water loss,  Kg</t>
  </si>
  <si>
    <t>EvapoT_tot*18/1000/1000</t>
  </si>
  <si>
    <t>EvapoT_tot</t>
  </si>
  <si>
    <t xml:space="preserve">EvapoT </t>
  </si>
  <si>
    <t>EvapoT</t>
  </si>
  <si>
    <t>Stomata</t>
  </si>
  <si>
    <t>Surface N segment, m2</t>
  </si>
  <si>
    <t>diam aubier cm</t>
  </si>
  <si>
    <t>dbh tot, cm</t>
  </si>
  <si>
    <t>dbh aubier, cm</t>
  </si>
  <si>
    <t>dbh epaisseur aubier, cm</t>
  </si>
  <si>
    <t>discriminant</t>
  </si>
  <si>
    <t>k base houppier</t>
  </si>
  <si>
    <t>tree height, m</t>
  </si>
  <si>
    <t>crown height, m</t>
  </si>
  <si>
    <t>Total tree leaf area, m2</t>
  </si>
  <si>
    <t>Epaisseur aubier, cm</t>
  </si>
  <si>
    <t>specific resistivity</t>
  </si>
  <si>
    <t>Resistance 1 segment</t>
  </si>
  <si>
    <t>Resistance N segment</t>
  </si>
  <si>
    <t>R cumul</t>
  </si>
  <si>
    <t>Mpa</t>
  </si>
  <si>
    <t>tapering</t>
  </si>
  <si>
    <t>Shoot Specific conductivity</t>
  </si>
  <si>
    <t>Input shoots</t>
  </si>
  <si>
    <t>values</t>
  </si>
  <si>
    <t>Wood volume, m3</t>
  </si>
  <si>
    <t>root/shoot ratio</t>
  </si>
  <si>
    <t>R/S</t>
  </si>
  <si>
    <t>3*Root volume, m3</t>
  </si>
  <si>
    <t>3*Root surface, m2</t>
  </si>
  <si>
    <t>Values for one root</t>
  </si>
  <si>
    <t>R root apo</t>
  </si>
  <si>
    <t>K root apo</t>
  </si>
  <si>
    <t>K shoot apo</t>
  </si>
  <si>
    <t>years to years</t>
  </si>
  <si>
    <t>g-crown</t>
  </si>
  <si>
    <t>mmol/m2/s</t>
  </si>
  <si>
    <t>Branch/crown</t>
  </si>
  <si>
    <t>dbh</t>
  </si>
  <si>
    <t>FRACTAL TREE</t>
  </si>
  <si>
    <t>yes =1 no=0</t>
  </si>
  <si>
    <t>LA annual shoot, cm2</t>
  </si>
  <si>
    <t>LA segment, cm2</t>
  </si>
  <si>
    <t xml:space="preserve">Q_Branch_apo </t>
  </si>
  <si>
    <t>Q_Branch_sym</t>
  </si>
  <si>
    <t>Vol tot arbre, m3</t>
  </si>
  <si>
    <t>Surface tot arbre, m2</t>
  </si>
  <si>
    <t>Volume aubier N segments, m3</t>
  </si>
  <si>
    <t>Volume aubier tot</t>
  </si>
  <si>
    <t>Volume aubier branches tot</t>
  </si>
  <si>
    <t>Volume aubier branche, m3</t>
  </si>
  <si>
    <t>Volume aubier tronc, m3</t>
  </si>
  <si>
    <t>Q_Trunk_apo , kg</t>
  </si>
  <si>
    <t>Q_Trunk_sym, kg</t>
  </si>
  <si>
    <t>Q, Kg</t>
  </si>
  <si>
    <t>Surface branches total</t>
  </si>
  <si>
    <t>Surface_trunk, m2</t>
  </si>
  <si>
    <t>Surface_branch, m2</t>
  </si>
  <si>
    <t>Q_Root_apo , kg</t>
  </si>
  <si>
    <t>Q_Root_sym, kg</t>
  </si>
  <si>
    <t>Volume aubier root, m3</t>
  </si>
  <si>
    <t>Surface_root, m2</t>
  </si>
  <si>
    <t>Surface tot root, m2</t>
  </si>
  <si>
    <t>Vol tot root, m3</t>
  </si>
  <si>
    <t>K, mmol/s/Mpa</t>
  </si>
  <si>
    <t>R branch apo</t>
  </si>
  <si>
    <t>R trunk apo</t>
  </si>
  <si>
    <t>R branch</t>
  </si>
  <si>
    <t>R arbre apo</t>
  </si>
  <si>
    <t>sapwood  fraction</t>
  </si>
  <si>
    <t>Q_Branch_Symp_FR</t>
  </si>
  <si>
    <t>Q_Branch_Apo_FR</t>
  </si>
  <si>
    <t>Q_Trunk_Sym_FR</t>
  </si>
  <si>
    <t>Q_Trunk_Apo_FR</t>
  </si>
  <si>
    <t>1 Q_Root_Symp_FR</t>
  </si>
  <si>
    <t>1 Q_Root_Apo_FR</t>
  </si>
  <si>
    <t>Branch_Area_FR</t>
  </si>
  <si>
    <t>Trunk_Area_FR</t>
  </si>
  <si>
    <t>K_Branch_Apo_FR</t>
  </si>
  <si>
    <t xml:space="preserve">K_Trunk_Apo_FR </t>
  </si>
  <si>
    <t>1 K_Root_Apo_FR</t>
  </si>
  <si>
    <t>HV shoot</t>
  </si>
  <si>
    <t>HV sapwood trunk</t>
  </si>
  <si>
    <t>HV_Trunk sapwood</t>
  </si>
  <si>
    <t>GRAVITY</t>
  </si>
  <si>
    <t>Latitude</t>
  </si>
  <si>
    <t>1-365</t>
  </si>
  <si>
    <t>(-90;90)</t>
  </si>
  <si>
    <t>Soil, van Genurchen equation</t>
  </si>
  <si>
    <t>K_sat, mol/s/Mpa/s</t>
  </si>
  <si>
    <t>root length</t>
  </si>
  <si>
    <t>root total length, m</t>
  </si>
  <si>
    <t>1 Root_Area_FR, m2</t>
  </si>
  <si>
    <t>1 Root length, m</t>
  </si>
  <si>
    <t>computed values for 1 root</t>
  </si>
  <si>
    <t>Volume tot 1 root, m"</t>
  </si>
  <si>
    <t>root radium, cm</t>
  </si>
  <si>
    <t>root radius, m</t>
  </si>
  <si>
    <t>Root_Radius, m</t>
  </si>
  <si>
    <t>root length/volume</t>
  </si>
  <si>
    <t>total 3 root length/surface</t>
  </si>
  <si>
    <t>Year</t>
  </si>
  <si>
    <t>Rg, j/cm2/day</t>
  </si>
  <si>
    <t>PAR_max, µmol/m2/s</t>
  </si>
  <si>
    <t>Rg, MJ/m2/day</t>
  </si>
  <si>
    <t>Surface, m2</t>
  </si>
  <si>
    <t>Diam cum, m</t>
  </si>
  <si>
    <t>Diam, cm</t>
  </si>
  <si>
    <t>Nb segments</t>
  </si>
  <si>
    <t>g_crown</t>
  </si>
  <si>
    <t>gs_max</t>
  </si>
  <si>
    <t>gs_min</t>
  </si>
  <si>
    <t>Jarvis_PAR</t>
  </si>
  <si>
    <t>Pi0_Leaf_Symp</t>
  </si>
  <si>
    <t>Pi0_Branch_Symp</t>
  </si>
  <si>
    <t>Pi0_Trunk_Symp</t>
  </si>
  <si>
    <t>Pi0_Root_Symp</t>
  </si>
  <si>
    <t>K_Leaf_Apo0</t>
  </si>
  <si>
    <t>1 K_Branch_Apo0</t>
  </si>
  <si>
    <t>K_Trunk_Apo0</t>
  </si>
  <si>
    <t>K_Root_Apo0</t>
  </si>
  <si>
    <t>K_Leaf_Symp</t>
  </si>
  <si>
    <t>1 K_Branch_Symp</t>
  </si>
  <si>
    <t>K_Trunk_Symp</t>
  </si>
  <si>
    <t>K_Root_Symp</t>
  </si>
  <si>
    <t>P50_Leaf_Apo</t>
  </si>
  <si>
    <t>P50_Branch_Apo</t>
  </si>
  <si>
    <t>P50_Trunk_Apo</t>
  </si>
  <si>
    <t>P50_Root_Apo</t>
  </si>
  <si>
    <t xml:space="preserve"> Slope_Leaf_Apo</t>
  </si>
  <si>
    <t xml:space="preserve"> Slope_Branch_Apo</t>
  </si>
  <si>
    <t xml:space="preserve"> Slope_Trunk_Apo</t>
  </si>
  <si>
    <t xml:space="preserve"> Slope_Root_Apo</t>
  </si>
  <si>
    <t>mmol/s/Mpa</t>
  </si>
  <si>
    <t>Height, m</t>
  </si>
  <si>
    <t>do not modify</t>
  </si>
  <si>
    <t>La, m m-2</t>
  </si>
  <si>
    <t>Lv, m m-3</t>
  </si>
  <si>
    <t>B</t>
  </si>
  <si>
    <t>Penman Coeff</t>
  </si>
  <si>
    <t>RU, mm</t>
  </si>
  <si>
    <t>E vpd, mmol/s</t>
  </si>
  <si>
    <t>E vpd, mmol/s/m2</t>
  </si>
  <si>
    <t>E ETP, mmol/s/m2</t>
  </si>
  <si>
    <t>ETP ref, mm/day</t>
  </si>
  <si>
    <t>E ETP, mmol/s *m2 sol</t>
  </si>
  <si>
    <t>if ETP limited</t>
  </si>
  <si>
    <t>Whole plant + soil evaporation, mmol s-1</t>
  </si>
  <si>
    <t>ETP_Penman, in mmol/s  m-2 of soil</t>
  </si>
  <si>
    <t>Branch diameter</t>
  </si>
  <si>
    <t>root length, m</t>
  </si>
  <si>
    <t>Ramified root length, m</t>
  </si>
  <si>
    <t>Total fine root  area, m2</t>
  </si>
  <si>
    <t>Area annual root, cm2</t>
  </si>
  <si>
    <t>diam aubier annual root, mm</t>
  </si>
  <si>
    <t>length annual root, m</t>
  </si>
  <si>
    <t>diam one root, cm</t>
  </si>
  <si>
    <t>root Specific conductivity</t>
  </si>
  <si>
    <t>NB annual roots</t>
  </si>
  <si>
    <t>Cross section, cm2</t>
  </si>
  <si>
    <t>Cumul cross-section, cm2</t>
  </si>
  <si>
    <t>Distance to ground, m</t>
  </si>
  <si>
    <t>Volume Cum, m3</t>
  </si>
  <si>
    <t>Capillarity</t>
  </si>
  <si>
    <t>DEBUG</t>
  </si>
  <si>
    <t>nœud base houppier</t>
  </si>
  <si>
    <t>Rhmin</t>
  </si>
  <si>
    <t>Rhmax</t>
  </si>
  <si>
    <t>Tmin, °C</t>
  </si>
  <si>
    <t>Tmax, °C</t>
  </si>
  <si>
    <t>Hum spé, g/Kg</t>
  </si>
  <si>
    <t xml:space="preserve">Soil parametrs: </t>
  </si>
  <si>
    <r>
      <rPr>
        <b/>
        <sz val="14"/>
        <rFont val="Calibri"/>
        <family val="2"/>
      </rPr>
      <t xml:space="preserve">α </t>
    </r>
  </si>
  <si>
    <t xml:space="preserve">Ksat </t>
  </si>
  <si>
    <t>l</t>
  </si>
  <si>
    <t>Sand</t>
  </si>
  <si>
    <t>Clay</t>
  </si>
  <si>
    <t>Loam</t>
  </si>
  <si>
    <t>Loamy sand</t>
  </si>
  <si>
    <t>Loamy Sand</t>
  </si>
  <si>
    <t>Sandy Loam</t>
  </si>
  <si>
    <t>Silt</t>
  </si>
  <si>
    <t>Silty Loam</t>
  </si>
  <si>
    <t>Sandy Clay Loam</t>
  </si>
  <si>
    <t>Clay Loam</t>
  </si>
  <si>
    <t>Silty Clay Loam</t>
  </si>
  <si>
    <t>Sandy Clay</t>
  </si>
  <si>
    <t>Silty Clay</t>
  </si>
  <si>
    <t>Textural class</t>
  </si>
  <si>
    <r>
      <t>θ</t>
    </r>
    <r>
      <rPr>
        <sz val="10"/>
        <color rgb="FFFF3333"/>
        <rFont val="Arial"/>
        <family val="2"/>
      </rPr>
      <t>r</t>
    </r>
  </si>
  <si>
    <r>
      <t>θ</t>
    </r>
    <r>
      <rPr>
        <sz val="10"/>
        <color rgb="FFFF3333"/>
        <rFont val="Arial"/>
        <family val="2"/>
      </rPr>
      <t>s</t>
    </r>
  </si>
  <si>
    <t>α</t>
  </si>
  <si>
    <r>
      <t>K</t>
    </r>
    <r>
      <rPr>
        <sz val="10"/>
        <color rgb="FFFF3333"/>
        <rFont val="Arial"/>
        <family val="2"/>
      </rPr>
      <t>s</t>
    </r>
  </si>
  <si>
    <r>
      <t>[L</t>
    </r>
    <r>
      <rPr>
        <sz val="12"/>
        <color rgb="FF000000"/>
        <rFont val="Inherit"/>
      </rPr>
      <t>3</t>
    </r>
    <r>
      <rPr>
        <sz val="10"/>
        <color rgb="FF000000"/>
        <rFont val="Arial"/>
        <family val="2"/>
      </rPr>
      <t>L</t>
    </r>
    <r>
      <rPr>
        <sz val="12"/>
        <color rgb="FF000000"/>
        <rFont val="Inherit"/>
      </rPr>
      <t>-3</t>
    </r>
    <r>
      <rPr>
        <sz val="10"/>
        <color rgb="FF000000"/>
        <rFont val="Arial"/>
        <family val="2"/>
      </rPr>
      <t>]</t>
    </r>
  </si>
  <si>
    <r>
      <t>[cm</t>
    </r>
    <r>
      <rPr>
        <sz val="12"/>
        <color rgb="FF000000"/>
        <rFont val="Inherit"/>
      </rPr>
      <t>-1</t>
    </r>
    <r>
      <rPr>
        <sz val="10"/>
        <color rgb="FF000000"/>
        <rFont val="Arial"/>
        <family val="2"/>
      </rPr>
      <t>]</t>
    </r>
  </si>
  <si>
    <t>[-]</t>
  </si>
  <si>
    <r>
      <t>[cm d</t>
    </r>
    <r>
      <rPr>
        <vertAlign val="superscript"/>
        <sz val="7"/>
        <color rgb="FF000000"/>
        <rFont val="Inherit"/>
      </rPr>
      <t>-1</t>
    </r>
    <r>
      <rPr>
        <sz val="10"/>
        <color rgb="FF000000"/>
        <rFont val="Arial"/>
        <family val="2"/>
      </rPr>
      <t>]</t>
    </r>
  </si>
  <si>
    <t>θsat</t>
  </si>
  <si>
    <t>θres</t>
  </si>
  <si>
    <t>θfc P=33kPa</t>
  </si>
  <si>
    <t>θwp P=1.5MPa</t>
  </si>
  <si>
    <t>WR, mm</t>
  </si>
  <si>
    <t>REW @ fc</t>
  </si>
  <si>
    <t>RU_tot, mm</t>
  </si>
  <si>
    <t>RU_wp, mm</t>
  </si>
  <si>
    <t>1 Root_Area_fi, m2</t>
  </si>
  <si>
    <t>Branch apoplasmic specific conductance, mmol s-1 Mpa-1 m-2</t>
  </si>
  <si>
    <t>K_Branch_Apo/Leaf_Area</t>
  </si>
  <si>
    <t>K_branch</t>
  </si>
  <si>
    <t>ETP_Pen_d</t>
  </si>
  <si>
    <t>Sap_flow</t>
  </si>
  <si>
    <t>ETP_Penman per day, in mm</t>
  </si>
  <si>
    <t>ETP_Penman_day</t>
  </si>
  <si>
    <t>Flux_Trunk_Apo_Branch_Apo/dt</t>
  </si>
  <si>
    <t>Sap flow in the trunk, mmol/s</t>
  </si>
  <si>
    <t>Fine root area m2</t>
  </si>
  <si>
    <t>K_Branch_Apo0</t>
  </si>
  <si>
    <t>kg.m/s/m2/Mpa</t>
  </si>
  <si>
    <t>terminal Branch Trunk Root Specific Conductivity, mmol m s-1 Mpa-1 m-2</t>
  </si>
  <si>
    <t>% Resistance</t>
  </si>
  <si>
    <t>leaf</t>
  </si>
  <si>
    <t>trunk</t>
  </si>
  <si>
    <t>root</t>
  </si>
  <si>
    <t>leaf symp</t>
  </si>
  <si>
    <t>leaf apo</t>
  </si>
  <si>
    <t>root symp</t>
  </si>
  <si>
    <t>root apo</t>
  </si>
  <si>
    <t>Organ</t>
  </si>
  <si>
    <t>0= not regulated</t>
  </si>
  <si>
    <t>Pgs_10</t>
  </si>
  <si>
    <t>Pgs_90</t>
  </si>
  <si>
    <t>1= using midday Turgor</t>
  </si>
  <si>
    <t>2= using midnight turgor</t>
  </si>
  <si>
    <t>3=  at Y = Px_branch</t>
  </si>
  <si>
    <t>4= at Y= Px_leaf</t>
  </si>
  <si>
    <t>5= at Y= P_leaf</t>
  </si>
  <si>
    <t>6= at PLCx</t>
  </si>
  <si>
    <t>9= between Pgs_10 and Pgs_90</t>
  </si>
  <si>
    <t>Y</t>
  </si>
  <si>
    <t>K_tot derived from K</t>
  </si>
  <si>
    <t>K_tot2</t>
  </si>
  <si>
    <t>Seasonal minimum leaf water potential</t>
  </si>
  <si>
    <t>min (P_leaf_symp)</t>
  </si>
  <si>
    <t>P_min_lf</t>
  </si>
  <si>
    <t>Seasonal minimum branch water potential</t>
  </si>
  <si>
    <t>min (P_branch_apo)</t>
  </si>
  <si>
    <t>P_min_br</t>
  </si>
  <si>
    <t>Crown</t>
  </si>
  <si>
    <t>K</t>
  </si>
  <si>
    <t>extinction coeff</t>
  </si>
  <si>
    <t>Pair</t>
  </si>
  <si>
    <t>K_tot derived from E and Y</t>
  </si>
  <si>
    <t>Top Leaf Photosynthesis per leaf area, µmol s-1 m-2</t>
  </si>
  <si>
    <t>Canopy Photosynthesis per ground area, µmol s-1 m-2</t>
  </si>
  <si>
    <t>An_c</t>
  </si>
  <si>
    <t>Leaf interception, mm</t>
  </si>
  <si>
    <t>Leaf_rain</t>
  </si>
  <si>
    <t>Intercep</t>
  </si>
  <si>
    <t>GPP, gross photosynthesis, gC/m2_soil/yrs</t>
  </si>
  <si>
    <t>An_tot/Soil_suface*12</t>
  </si>
  <si>
    <t>GPP</t>
  </si>
  <si>
    <t>GPP, gross photosynthesis, gC/m2_soil/day</t>
  </si>
  <si>
    <t>An_day/Soil_suface*12</t>
  </si>
  <si>
    <t>GPP_day</t>
  </si>
  <si>
    <t>Rg, W/m2/day</t>
  </si>
  <si>
    <t>DOI</t>
  </si>
  <si>
    <t>T_Soil</t>
  </si>
  <si>
    <t>Cumulated photosynthesis at whole tree level,  mol</t>
  </si>
  <si>
    <t>An/Extinction_Coeff*(1-exp(-Extinction_Coeff*LAI))</t>
  </si>
  <si>
    <t>Daily plant + soil water loss,  Kg H20/ m2_soil</t>
  </si>
  <si>
    <t>EvapoT_day*18/1000/1000/Soil_surface</t>
  </si>
  <si>
    <t>EvapoT_day</t>
  </si>
  <si>
    <t>Daily plant water loss Kg H20/ m2_soil</t>
  </si>
  <si>
    <t>E_tot_day*18/1000/1000/Soil_surface</t>
  </si>
  <si>
    <t>E_tot_day</t>
  </si>
  <si>
    <t>Potential PAR</t>
  </si>
  <si>
    <t>POTENTIAL_PAR</t>
  </si>
  <si>
    <t>PAR_pot</t>
  </si>
  <si>
    <t>Surface totale arbre, m2</t>
  </si>
  <si>
    <t>Volume total arbre, m3</t>
  </si>
  <si>
    <t>cm3</t>
  </si>
  <si>
    <t>Cloud</t>
  </si>
  <si>
    <t>F_ls_le</t>
  </si>
  <si>
    <t>F_la_le</t>
  </si>
  <si>
    <t>F_ba_la</t>
  </si>
  <si>
    <t>F_ba_bs</t>
  </si>
  <si>
    <t>F_ta_ba</t>
  </si>
  <si>
    <t>F_ta_ts</t>
  </si>
  <si>
    <t>F_bua_bus</t>
  </si>
  <si>
    <t>F_ba_bua</t>
  </si>
  <si>
    <t>F_ra_ta</t>
  </si>
  <si>
    <t>F_re_ra</t>
  </si>
  <si>
    <t>F_rs_re</t>
  </si>
  <si>
    <t>F_s_re1</t>
  </si>
  <si>
    <t>F_s_12</t>
  </si>
  <si>
    <t>F_s_23</t>
  </si>
  <si>
    <t>An1</t>
  </si>
  <si>
    <t>An2</t>
  </si>
  <si>
    <t>cloud_cover</t>
  </si>
  <si>
    <t>Flux_Leaf_Symp_Leaf_Evap/dt</t>
  </si>
  <si>
    <t>-Flux_Leaf_Symp_Leaf_Evap/dt</t>
  </si>
  <si>
    <t>Flux_Leaf_Apo_Leaf_Evap/dt</t>
  </si>
  <si>
    <t>Flux_Branch_Apo_Leaf_Apo/dt</t>
  </si>
  <si>
    <t>Flux_Branch_Apo_Branch_Symp/dt</t>
  </si>
  <si>
    <t>Flux_Trunk_Apo_Trunk_Symp/dt</t>
  </si>
  <si>
    <t>Flux_Bud_Apo_Bud_Symp/dt</t>
  </si>
  <si>
    <t>Flux_Branch_Apo_Bud_Apo/dt</t>
  </si>
  <si>
    <t>Flux_Root_Apo_Trunk_Apo1/dt</t>
  </si>
  <si>
    <t>Flux_Root_Endo_Root_Apo1/dt</t>
  </si>
  <si>
    <t>Flux_Root_Symp_Root_Endo1/dt</t>
  </si>
  <si>
    <t>Flux_Soil_Root_Endo1/dt</t>
  </si>
  <si>
    <t>Flux_Soil_12/dt</t>
  </si>
  <si>
    <t>Flux_Soil_23/dt</t>
  </si>
  <si>
    <t>Rubisco-limited rate of photosynthesis</t>
  </si>
  <si>
    <t>Light-limited rate of photosynthesis</t>
  </si>
  <si>
    <t>g_cuti_Leaf 20°C projected</t>
  </si>
  <si>
    <t>Bud/fruit/Flower</t>
  </si>
  <si>
    <t>Branch diameter Fractal</t>
  </si>
  <si>
    <t>Branch diameter NON Fractal</t>
  </si>
  <si>
    <t>30cm shoot</t>
  </si>
  <si>
    <t>Chene vert</t>
  </si>
  <si>
    <t>m/m2</t>
  </si>
  <si>
    <t>depth</t>
  </si>
  <si>
    <t>b</t>
  </si>
  <si>
    <t>r</t>
  </si>
  <si>
    <t>h</t>
  </si>
  <si>
    <t>z</t>
  </si>
  <si>
    <t>%Stone</t>
  </si>
  <si>
    <t>La</t>
  </si>
  <si>
    <t>Lv</t>
  </si>
  <si>
    <t>heffectif</t>
  </si>
  <si>
    <t>L (fraction de racine dans chaque couche)</t>
  </si>
  <si>
    <t>longueur</t>
  </si>
  <si>
    <t>rayon</t>
  </si>
  <si>
    <t>LA fraction (attention surfacique)</t>
  </si>
  <si>
    <t>width</t>
  </si>
  <si>
    <t>Surface</t>
  </si>
  <si>
    <t>Ksat (mol/m/s/Mpa)</t>
  </si>
  <si>
    <t>REW</t>
  </si>
  <si>
    <t>facteur conversion Ksat (mol ==&gt; mmol)</t>
  </si>
  <si>
    <t>teta res</t>
  </si>
  <si>
    <t>teta sat</t>
  </si>
  <si>
    <t>Sol Manip Hervé</t>
  </si>
  <si>
    <t>REW @ wilt</t>
  </si>
  <si>
    <t>kSoil</t>
  </si>
  <si>
    <t>Conductance belowground chute avant cavitation : conductance interface (mortalité ou aerenchyme) / conductance sol / conductance corticale / (pas conductance foliaire car potentiel)</t>
  </si>
  <si>
    <t>part1</t>
  </si>
  <si>
    <t>part2</t>
  </si>
  <si>
    <t>Saturation Soil Conductance</t>
  </si>
  <si>
    <t>Saturation (1) Wilt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</si>
</sst>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"/>
    <numFmt numFmtId="165" formatCode="0.000"/>
    <numFmt numFmtId="166" formatCode="0.0000"/>
    <numFmt numFmtId="167" formatCode="0.0000E+00"/>
    <numFmt numFmtId="168" formatCode="0.000E+00"/>
    <numFmt numFmtId="169" formatCode="0.000000"/>
    <numFmt numFmtId="170" formatCode="0.00000"/>
    <numFmt numFmtId="171" formatCode="0.0"/>
  </numFmts>
  <fonts count="4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indexed="10"/>
      <name val="Arial MT"/>
    </font>
    <font>
      <b/>
      <sz val="12"/>
      <color indexed="17"/>
      <name val="Arial MT"/>
    </font>
    <font>
      <sz val="12"/>
      <color indexed="12"/>
      <name val="Arial MT"/>
    </font>
    <font>
      <sz val="12"/>
      <color theme="1"/>
      <name val="Arial MT"/>
    </font>
    <font>
      <sz val="12"/>
      <color theme="0" tint="-0.1499984740745262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4"/>
      <name val="Arial"/>
      <family val="2"/>
    </font>
    <font>
      <b/>
      <sz val="14"/>
      <name val="Calibri"/>
      <family val="2"/>
    </font>
    <font>
      <b/>
      <sz val="12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Arial"/>
      <family val="2"/>
    </font>
    <font>
      <sz val="10"/>
      <color rgb="FFFF3333"/>
      <name val="Arial"/>
      <family val="2"/>
    </font>
    <font>
      <i/>
      <sz val="10"/>
      <color rgb="FF000000"/>
      <name val="Arial Unicode MS"/>
      <family val="2"/>
    </font>
    <font>
      <i/>
      <sz val="10"/>
      <color rgb="FF000000"/>
      <name val="Inherit"/>
    </font>
    <font>
      <sz val="12"/>
      <color rgb="FF000000"/>
      <name val="Inherit"/>
    </font>
    <font>
      <vertAlign val="superscript"/>
      <sz val="7"/>
      <color rgb="FF000000"/>
      <name val="Inherit"/>
    </font>
    <font>
      <i/>
      <vertAlign val="subscript"/>
      <sz val="10"/>
      <color rgb="FF000000"/>
      <name val="Inherit"/>
    </font>
    <font>
      <sz val="14"/>
      <name val="Arial"/>
      <family val="2"/>
    </font>
    <font>
      <b/>
      <sz val="12"/>
      <color theme="1"/>
      <name val="Symbol"/>
      <charset val="2"/>
    </font>
    <font>
      <sz val="10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5">
    <xf numFmtId="0" fontId="0" fillId="0" borderId="0" xfId="0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" borderId="1" xfId="0" applyFill="1" applyBorder="1"/>
    <xf numFmtId="0" fontId="0" fillId="0" borderId="1" xfId="0" applyBorder="1"/>
    <xf numFmtId="0" fontId="8" fillId="8" borderId="0" xfId="0" applyFont="1" applyFill="1"/>
    <xf numFmtId="2" fontId="0" fillId="11" borderId="1" xfId="0" applyNumberFormat="1" applyFill="1" applyBorder="1"/>
    <xf numFmtId="0" fontId="0" fillId="0" borderId="1" xfId="0" applyFill="1" applyBorder="1"/>
    <xf numFmtId="0" fontId="10" fillId="12" borderId="1" xfId="0" applyFont="1" applyFill="1" applyBorder="1"/>
    <xf numFmtId="0" fontId="0" fillId="11" borderId="1" xfId="0" applyFill="1" applyBorder="1" applyAlignment="1">
      <alignment horizontal="right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2" fontId="0" fillId="0" borderId="0" xfId="0" applyNumberFormat="1" applyFill="1" applyBorder="1"/>
    <xf numFmtId="0" fontId="10" fillId="0" borderId="0" xfId="0" applyFont="1" applyFill="1" applyBorder="1"/>
    <xf numFmtId="0" fontId="0" fillId="0" borderId="0" xfId="0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0" fontId="0" fillId="15" borderId="1" xfId="0" applyFill="1" applyBorder="1" applyAlignment="1">
      <alignment shrinkToFit="1"/>
    </xf>
    <xf numFmtId="0" fontId="0" fillId="16" borderId="3" xfId="0" applyFill="1" applyBorder="1"/>
    <xf numFmtId="0" fontId="0" fillId="16" borderId="1" xfId="0" applyFill="1" applyBorder="1"/>
    <xf numFmtId="0" fontId="11" fillId="0" borderId="0" xfId="0" applyFont="1"/>
    <xf numFmtId="0" fontId="11" fillId="0" borderId="0" xfId="0" applyNumberFormat="1" applyFont="1"/>
    <xf numFmtId="11" fontId="11" fillId="0" borderId="0" xfId="0" applyNumberFormat="1" applyFont="1"/>
    <xf numFmtId="0" fontId="6" fillId="2" borderId="1" xfId="0" applyFont="1" applyFill="1" applyBorder="1"/>
    <xf numFmtId="2" fontId="0" fillId="0" borderId="0" xfId="0" applyNumberFormat="1" applyFill="1" applyBorder="1" applyAlignment="1">
      <alignment horizontal="right"/>
    </xf>
    <xf numFmtId="167" fontId="0" fillId="0" borderId="0" xfId="0" applyNumberFormat="1" applyFont="1"/>
    <xf numFmtId="0" fontId="0" fillId="0" borderId="0" xfId="0" applyFont="1"/>
    <xf numFmtId="0" fontId="13" fillId="0" borderId="0" xfId="0" applyFont="1"/>
    <xf numFmtId="0" fontId="0" fillId="0" borderId="0" xfId="0" quotePrefix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7" fillId="0" borderId="0" xfId="0" applyFont="1" applyFill="1" applyBorder="1"/>
    <xf numFmtId="0" fontId="6" fillId="0" borderId="0" xfId="0" applyFont="1" applyFill="1" applyBorder="1"/>
    <xf numFmtId="165" fontId="13" fillId="0" borderId="0" xfId="0" applyNumberFormat="1" applyFont="1" applyFill="1" applyBorder="1"/>
    <xf numFmtId="166" fontId="13" fillId="0" borderId="0" xfId="0" applyNumberFormat="1" applyFont="1" applyFill="1" applyBorder="1"/>
    <xf numFmtId="0" fontId="11" fillId="0" borderId="0" xfId="0" applyFont="1" applyFill="1" applyBorder="1"/>
    <xf numFmtId="11" fontId="11" fillId="0" borderId="0" xfId="0" applyNumberFormat="1" applyFont="1" applyFill="1" applyBorder="1"/>
    <xf numFmtId="167" fontId="11" fillId="0" borderId="0" xfId="0" applyNumberFormat="1" applyFont="1" applyFill="1" applyBorder="1"/>
    <xf numFmtId="166" fontId="11" fillId="0" borderId="0" xfId="0" applyNumberFormat="1" applyFont="1" applyFill="1" applyBorder="1"/>
    <xf numFmtId="164" fontId="13" fillId="0" borderId="0" xfId="0" applyNumberFormat="1" applyFont="1" applyFill="1" applyBorder="1"/>
    <xf numFmtId="167" fontId="13" fillId="0" borderId="0" xfId="0" applyNumberFormat="1" applyFont="1" applyFill="1" applyBorder="1"/>
    <xf numFmtId="165" fontId="11" fillId="0" borderId="0" xfId="0" applyNumberFormat="1" applyFont="1" applyFill="1" applyBorder="1"/>
    <xf numFmtId="164" fontId="11" fillId="0" borderId="0" xfId="0" applyNumberFormat="1" applyFont="1" applyFill="1" applyBorder="1"/>
    <xf numFmtId="0" fontId="10" fillId="13" borderId="1" xfId="0" applyFont="1" applyFill="1" applyBorder="1"/>
    <xf numFmtId="0" fontId="0" fillId="14" borderId="6" xfId="0" applyFill="1" applyBorder="1" applyAlignment="1"/>
    <xf numFmtId="0" fontId="0" fillId="14" borderId="7" xfId="0" applyFill="1" applyBorder="1" applyAlignment="1"/>
    <xf numFmtId="0" fontId="0" fillId="14" borderId="8" xfId="0" applyFill="1" applyBorder="1" applyAlignment="1"/>
    <xf numFmtId="0" fontId="8" fillId="0" borderId="0" xfId="0" applyFont="1" applyFill="1"/>
    <xf numFmtId="0" fontId="9" fillId="2" borderId="3" xfId="0" applyFont="1" applyFill="1" applyBorder="1"/>
    <xf numFmtId="0" fontId="9" fillId="15" borderId="3" xfId="0" applyFont="1" applyFill="1" applyBorder="1"/>
    <xf numFmtId="166" fontId="0" fillId="0" borderId="0" xfId="0" applyNumberFormat="1" applyFont="1"/>
    <xf numFmtId="0" fontId="0" fillId="9" borderId="3" xfId="0" applyFill="1" applyBorder="1"/>
    <xf numFmtId="168" fontId="0" fillId="0" borderId="0" xfId="0" applyNumberFormat="1"/>
    <xf numFmtId="11" fontId="0" fillId="11" borderId="1" xfId="0" applyNumberFormat="1" applyFill="1" applyBorder="1"/>
    <xf numFmtId="0" fontId="14" fillId="0" borderId="0" xfId="0" applyFont="1"/>
    <xf numFmtId="11" fontId="14" fillId="0" borderId="0" xfId="0" applyNumberFormat="1" applyFont="1"/>
    <xf numFmtId="2" fontId="12" fillId="15" borderId="3" xfId="0" applyNumberFormat="1" applyFont="1" applyFill="1" applyBorder="1"/>
    <xf numFmtId="0" fontId="0" fillId="0" borderId="0" xfId="0" applyNumberFormat="1"/>
    <xf numFmtId="165" fontId="0" fillId="0" borderId="0" xfId="0" applyNumberFormat="1" applyFont="1"/>
    <xf numFmtId="0" fontId="0" fillId="2" borderId="3" xfId="0" applyFont="1" applyFill="1" applyBorder="1"/>
    <xf numFmtId="0" fontId="0" fillId="2" borderId="1" xfId="0" applyFont="1" applyFill="1" applyBorder="1"/>
    <xf numFmtId="0" fontId="0" fillId="0" borderId="0" xfId="0" applyNumberFormat="1" applyFill="1" applyBorder="1"/>
    <xf numFmtId="0" fontId="11" fillId="0" borderId="0" xfId="0" applyNumberFormat="1" applyFont="1" applyFill="1" applyBorder="1"/>
    <xf numFmtId="0" fontId="0" fillId="9" borderId="2" xfId="0" applyFill="1" applyBorder="1"/>
    <xf numFmtId="0" fontId="0" fillId="9" borderId="4" xfId="0" applyFill="1" applyBorder="1"/>
    <xf numFmtId="0" fontId="17" fillId="2" borderId="1" xfId="0" applyFont="1" applyFill="1" applyBorder="1"/>
    <xf numFmtId="0" fontId="17" fillId="2" borderId="1" xfId="0" applyFont="1" applyFill="1" applyBorder="1" applyAlignment="1">
      <alignment horizontal="center"/>
    </xf>
    <xf numFmtId="0" fontId="17" fillId="15" borderId="1" xfId="0" applyFont="1" applyFill="1" applyBorder="1"/>
    <xf numFmtId="0" fontId="0" fillId="17" borderId="1" xfId="0" applyFill="1" applyBorder="1"/>
    <xf numFmtId="0" fontId="0" fillId="17" borderId="2" xfId="0" applyFill="1" applyBorder="1"/>
    <xf numFmtId="0" fontId="6" fillId="9" borderId="1" xfId="0" applyFont="1" applyFill="1" applyBorder="1"/>
    <xf numFmtId="0" fontId="0" fillId="18" borderId="1" xfId="0" applyFill="1" applyBorder="1"/>
    <xf numFmtId="0" fontId="0" fillId="18" borderId="2" xfId="0" applyFill="1" applyBorder="1"/>
    <xf numFmtId="11" fontId="0" fillId="0" borderId="0" xfId="0" applyNumberFormat="1" applyFill="1" applyBorder="1"/>
    <xf numFmtId="11" fontId="0" fillId="0" borderId="0" xfId="0" applyNumberFormat="1" applyFont="1"/>
    <xf numFmtId="11" fontId="0" fillId="0" borderId="0" xfId="0" applyNumberFormat="1" applyFill="1" applyBorder="1" applyAlignment="1">
      <alignment horizontal="right"/>
    </xf>
    <xf numFmtId="2" fontId="0" fillId="8" borderId="1" xfId="0" applyNumberFormat="1" applyFill="1" applyBorder="1" applyAlignment="1">
      <alignment horizontal="left"/>
    </xf>
    <xf numFmtId="165" fontId="0" fillId="8" borderId="1" xfId="0" applyNumberFormat="1" applyFill="1" applyBorder="1" applyAlignment="1">
      <alignment horizontal="left"/>
    </xf>
    <xf numFmtId="0" fontId="0" fillId="19" borderId="1" xfId="0" applyFill="1" applyBorder="1"/>
    <xf numFmtId="0" fontId="17" fillId="9" borderId="1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6" fillId="15" borderId="3" xfId="0" applyFont="1" applyFill="1" applyBorder="1"/>
    <xf numFmtId="165" fontId="3" fillId="0" borderId="0" xfId="0" applyNumberFormat="1" applyFont="1"/>
    <xf numFmtId="0" fontId="6" fillId="15" borderId="1" xfId="0" applyFont="1" applyFill="1" applyBorder="1" applyAlignment="1">
      <alignment shrinkToFit="1"/>
    </xf>
    <xf numFmtId="0" fontId="0" fillId="15" borderId="1" xfId="0" quotePrefix="1" applyFill="1" applyBorder="1" applyAlignment="1">
      <alignment shrinkToFit="1"/>
    </xf>
    <xf numFmtId="0" fontId="0" fillId="0" borderId="0" xfId="0" applyFill="1" applyBorder="1" applyAlignment="1"/>
    <xf numFmtId="0" fontId="0" fillId="14" borderId="5" xfId="0" applyFill="1" applyBorder="1" applyAlignment="1"/>
    <xf numFmtId="0" fontId="11" fillId="0" borderId="0" xfId="0" quotePrefix="1" applyNumberFormat="1" applyFont="1" applyFill="1" applyBorder="1"/>
    <xf numFmtId="166" fontId="3" fillId="0" borderId="0" xfId="0" applyNumberFormat="1" applyFont="1"/>
    <xf numFmtId="169" fontId="0" fillId="0" borderId="0" xfId="0" applyNumberFormat="1"/>
    <xf numFmtId="0" fontId="0" fillId="0" borderId="0" xfId="0" applyNumberFormat="1" applyFont="1"/>
    <xf numFmtId="168" fontId="0" fillId="0" borderId="0" xfId="0" applyNumberFormat="1" applyFont="1"/>
    <xf numFmtId="166" fontId="3" fillId="0" borderId="0" xfId="0" applyNumberFormat="1" applyFont="1" applyFill="1" applyBorder="1"/>
    <xf numFmtId="165" fontId="3" fillId="0" borderId="0" xfId="0" applyNumberFormat="1" applyFont="1" applyFill="1" applyBorder="1"/>
    <xf numFmtId="164" fontId="3" fillId="0" borderId="0" xfId="0" applyNumberFormat="1" applyFont="1" applyFill="1" applyBorder="1"/>
    <xf numFmtId="167" fontId="3" fillId="0" borderId="0" xfId="0" applyNumberFormat="1" applyFont="1" applyFill="1" applyBorder="1"/>
    <xf numFmtId="11" fontId="3" fillId="0" borderId="0" xfId="0" applyNumberFormat="1" applyFont="1" applyFill="1" applyBorder="1"/>
    <xf numFmtId="0" fontId="0" fillId="20" borderId="0" xfId="0" applyFill="1" applyBorder="1"/>
    <xf numFmtId="0" fontId="0" fillId="20" borderId="9" xfId="0" applyFill="1" applyBorder="1"/>
    <xf numFmtId="0" fontId="0" fillId="20" borderId="10" xfId="0" applyFill="1" applyBorder="1"/>
    <xf numFmtId="0" fontId="0" fillId="20" borderId="11" xfId="0" applyFill="1" applyBorder="1"/>
    <xf numFmtId="0" fontId="0" fillId="20" borderId="12" xfId="0" applyFill="1" applyBorder="1"/>
    <xf numFmtId="168" fontId="13" fillId="0" borderId="0" xfId="0" applyNumberFormat="1" applyFont="1" applyFill="1" applyBorder="1"/>
    <xf numFmtId="0" fontId="0" fillId="0" borderId="0" xfId="0" applyFill="1" applyBorder="1" applyAlignment="1"/>
    <xf numFmtId="0" fontId="0" fillId="0" borderId="1" xfId="0" applyFont="1" applyBorder="1"/>
    <xf numFmtId="0" fontId="0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0" fillId="0" borderId="0" xfId="0" applyFont="1" applyBorder="1"/>
    <xf numFmtId="0" fontId="0" fillId="21" borderId="1" xfId="0" applyFont="1" applyFill="1" applyBorder="1" applyAlignment="1">
      <alignment horizontal="center"/>
    </xf>
    <xf numFmtId="0" fontId="7" fillId="22" borderId="1" xfId="0" applyFont="1" applyFill="1" applyBorder="1"/>
    <xf numFmtId="0" fontId="20" fillId="22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ont="1" applyFill="1"/>
    <xf numFmtId="0" fontId="17" fillId="2" borderId="13" xfId="0" applyFont="1" applyFill="1" applyBorder="1"/>
    <xf numFmtId="0" fontId="17" fillId="2" borderId="13" xfId="0" applyFont="1" applyFill="1" applyBorder="1" applyAlignment="1">
      <alignment horizontal="center"/>
    </xf>
    <xf numFmtId="0" fontId="0" fillId="2" borderId="13" xfId="0" applyFill="1" applyBorder="1"/>
    <xf numFmtId="0" fontId="17" fillId="15" borderId="13" xfId="0" applyFont="1" applyFill="1" applyBorder="1"/>
    <xf numFmtId="0" fontId="6" fillId="2" borderId="13" xfId="0" applyFont="1" applyFill="1" applyBorder="1"/>
    <xf numFmtId="0" fontId="0" fillId="15" borderId="13" xfId="0" applyFill="1" applyBorder="1" applyAlignment="1">
      <alignment shrinkToFit="1"/>
    </xf>
    <xf numFmtId="0" fontId="6" fillId="15" borderId="13" xfId="0" applyFont="1" applyFill="1" applyBorder="1" applyAlignment="1">
      <alignment shrinkToFit="1"/>
    </xf>
    <xf numFmtId="0" fontId="0" fillId="15" borderId="13" xfId="0" quotePrefix="1" applyFill="1" applyBorder="1" applyAlignment="1">
      <alignment shrinkToFit="1"/>
    </xf>
    <xf numFmtId="0" fontId="0" fillId="5" borderId="13" xfId="0" applyFill="1" applyBorder="1"/>
    <xf numFmtId="0" fontId="0" fillId="9" borderId="13" xfId="0" applyFill="1" applyBorder="1"/>
    <xf numFmtId="0" fontId="0" fillId="18" borderId="13" xfId="0" applyFill="1" applyBorder="1"/>
    <xf numFmtId="0" fontId="0" fillId="17" borderId="13" xfId="0" applyFill="1" applyBorder="1"/>
    <xf numFmtId="0" fontId="0" fillId="16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7" borderId="13" xfId="0" applyFill="1" applyBorder="1"/>
    <xf numFmtId="0" fontId="0" fillId="8" borderId="13" xfId="0" applyFill="1" applyBorder="1"/>
    <xf numFmtId="0" fontId="0" fillId="10" borderId="13" xfId="0" applyFill="1" applyBorder="1"/>
    <xf numFmtId="0" fontId="0" fillId="3" borderId="13" xfId="0" applyFill="1" applyBorder="1"/>
    <xf numFmtId="0" fontId="0" fillId="3" borderId="9" xfId="0" applyFill="1" applyBorder="1"/>
    <xf numFmtId="0" fontId="0" fillId="20" borderId="13" xfId="0" applyFill="1" applyBorder="1"/>
    <xf numFmtId="167" fontId="0" fillId="20" borderId="13" xfId="0" applyNumberFormat="1" applyFont="1" applyFill="1" applyBorder="1"/>
    <xf numFmtId="0" fontId="22" fillId="4" borderId="0" xfId="0" applyNumberFormat="1" applyFont="1" applyFill="1"/>
    <xf numFmtId="0" fontId="0" fillId="4" borderId="0" xfId="0" applyFill="1" applyBorder="1" applyAlignment="1"/>
    <xf numFmtId="0" fontId="22" fillId="4" borderId="0" xfId="0" applyFont="1" applyFill="1"/>
    <xf numFmtId="0" fontId="20" fillId="4" borderId="0" xfId="0" applyFont="1" applyFill="1"/>
    <xf numFmtId="0" fontId="0" fillId="0" borderId="0" xfId="0" applyFont="1" applyFill="1" applyBorder="1"/>
    <xf numFmtId="167" fontId="0" fillId="0" borderId="0" xfId="0" applyNumberFormat="1" applyFont="1" applyFill="1" applyBorder="1"/>
    <xf numFmtId="168" fontId="0" fillId="0" borderId="0" xfId="0" applyNumberFormat="1" applyFill="1" applyBorder="1"/>
    <xf numFmtId="167" fontId="0" fillId="0" borderId="0" xfId="0" applyNumberFormat="1" applyFill="1" applyBorder="1"/>
    <xf numFmtId="0" fontId="0" fillId="21" borderId="0" xfId="0" applyFill="1"/>
    <xf numFmtId="0" fontId="0" fillId="6" borderId="0" xfId="0" applyFill="1"/>
    <xf numFmtId="0" fontId="22" fillId="6" borderId="0" xfId="0" applyFont="1" applyFill="1"/>
    <xf numFmtId="0" fontId="20" fillId="20" borderId="1" xfId="0" applyFont="1" applyFill="1" applyBorder="1"/>
    <xf numFmtId="0" fontId="20" fillId="20" borderId="1" xfId="0" applyFont="1" applyFill="1" applyBorder="1" applyAlignment="1">
      <alignment shrinkToFit="1"/>
    </xf>
    <xf numFmtId="0" fontId="23" fillId="0" borderId="0" xfId="0" applyFont="1"/>
    <xf numFmtId="0" fontId="0" fillId="23" borderId="0" xfId="0" applyFill="1" applyBorder="1"/>
    <xf numFmtId="0" fontId="0" fillId="23" borderId="12" xfId="0" applyFill="1" applyBorder="1"/>
    <xf numFmtId="165" fontId="0" fillId="0" borderId="0" xfId="0" applyNumberFormat="1" applyFont="1" applyFill="1" applyBorder="1"/>
    <xf numFmtId="165" fontId="0" fillId="0" borderId="0" xfId="0" applyNumberFormat="1" applyFill="1" applyBorder="1"/>
    <xf numFmtId="0" fontId="0" fillId="24" borderId="4" xfId="0" applyFill="1" applyBorder="1"/>
    <xf numFmtId="0" fontId="0" fillId="24" borderId="13" xfId="0" applyFill="1" applyBorder="1"/>
    <xf numFmtId="0" fontId="0" fillId="24" borderId="0" xfId="0" applyFill="1"/>
    <xf numFmtId="0" fontId="0" fillId="0" borderId="1" xfId="0" applyFont="1" applyFill="1" applyBorder="1"/>
    <xf numFmtId="0" fontId="0" fillId="25" borderId="4" xfId="0" applyFill="1" applyBorder="1"/>
    <xf numFmtId="0" fontId="0" fillId="25" borderId="13" xfId="0" applyFill="1" applyBorder="1"/>
    <xf numFmtId="0" fontId="25" fillId="25" borderId="0" xfId="0" applyFont="1" applyFill="1"/>
    <xf numFmtId="0" fontId="25" fillId="26" borderId="0" xfId="0" applyFont="1" applyFill="1"/>
    <xf numFmtId="0" fontId="0" fillId="26" borderId="4" xfId="0" applyFill="1" applyBorder="1"/>
    <xf numFmtId="0" fontId="0" fillId="26" borderId="13" xfId="0" applyFill="1" applyBorder="1"/>
    <xf numFmtId="0" fontId="0" fillId="0" borderId="0" xfId="0"/>
    <xf numFmtId="0" fontId="0" fillId="0" borderId="0" xfId="0"/>
    <xf numFmtId="0" fontId="0" fillId="23" borderId="14" xfId="0" applyFill="1" applyBorder="1"/>
    <xf numFmtId="0" fontId="0" fillId="20" borderId="1" xfId="0" applyFill="1" applyBorder="1"/>
    <xf numFmtId="167" fontId="0" fillId="20" borderId="1" xfId="0" applyNumberFormat="1" applyFont="1" applyFill="1" applyBorder="1"/>
    <xf numFmtId="0" fontId="0" fillId="0" borderId="12" xfId="0" applyFont="1" applyFill="1" applyBorder="1"/>
    <xf numFmtId="0" fontId="0" fillId="0" borderId="0" xfId="0"/>
    <xf numFmtId="0" fontId="0" fillId="0" borderId="0" xfId="0"/>
    <xf numFmtId="0" fontId="25" fillId="16" borderId="0" xfId="0" applyFont="1" applyFill="1"/>
    <xf numFmtId="0" fontId="0" fillId="16" borderId="4" xfId="0" applyFill="1" applyBorder="1"/>
    <xf numFmtId="0" fontId="6" fillId="2" borderId="2" xfId="0" applyFont="1" applyFill="1" applyBorder="1"/>
    <xf numFmtId="0" fontId="0" fillId="27" borderId="1" xfId="0" applyFont="1" applyFill="1" applyBorder="1"/>
    <xf numFmtId="0" fontId="0" fillId="0" borderId="0" xfId="0"/>
    <xf numFmtId="0" fontId="0" fillId="0" borderId="0" xfId="0"/>
    <xf numFmtId="2" fontId="0" fillId="28" borderId="1" xfId="0" applyNumberFormat="1" applyFill="1" applyBorder="1"/>
    <xf numFmtId="166" fontId="0" fillId="28" borderId="1" xfId="0" applyNumberFormat="1" applyFill="1" applyBorder="1"/>
    <xf numFmtId="0" fontId="0" fillId="28" borderId="1" xfId="0" applyFill="1" applyBorder="1" applyAlignment="1">
      <alignment horizontal="right"/>
    </xf>
    <xf numFmtId="0" fontId="0" fillId="0" borderId="0" xfId="0"/>
    <xf numFmtId="0" fontId="29" fillId="0" borderId="0" xfId="0" applyNumberFormat="1" applyFont="1" applyFill="1"/>
    <xf numFmtId="0" fontId="29" fillId="0" borderId="0" xfId="0" applyNumberFormat="1" applyFont="1" applyFill="1" applyProtection="1">
      <protection locked="0"/>
    </xf>
    <xf numFmtId="0" fontId="0" fillId="13" borderId="0" xfId="0" applyFill="1"/>
    <xf numFmtId="0" fontId="0" fillId="13" borderId="4" xfId="0" applyFill="1" applyBorder="1"/>
    <xf numFmtId="0" fontId="0" fillId="13" borderId="13" xfId="0" applyFill="1" applyBorder="1"/>
    <xf numFmtId="0" fontId="6" fillId="29" borderId="1" xfId="0" applyFont="1" applyFill="1" applyBorder="1"/>
    <xf numFmtId="0" fontId="6" fillId="29" borderId="0" xfId="0" applyFont="1" applyFill="1" applyBorder="1"/>
    <xf numFmtId="0" fontId="0" fillId="29" borderId="1" xfId="0" applyFill="1" applyBorder="1"/>
    <xf numFmtId="0" fontId="0" fillId="29" borderId="13" xfId="0" applyFill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0" fontId="0" fillId="29" borderId="13" xfId="0" applyFill="1" applyBorder="1" applyAlignment="1">
      <alignment horizontal="center"/>
    </xf>
    <xf numFmtId="0" fontId="17" fillId="29" borderId="13" xfId="0" applyFont="1" applyFill="1" applyBorder="1"/>
    <xf numFmtId="0" fontId="0" fillId="29" borderId="9" xfId="0" applyFill="1" applyBorder="1"/>
    <xf numFmtId="0" fontId="20" fillId="13" borderId="1" xfId="0" applyFont="1" applyFill="1" applyBorder="1"/>
    <xf numFmtId="0" fontId="0" fillId="13" borderId="1" xfId="0" applyFill="1" applyBorder="1"/>
    <xf numFmtId="0" fontId="0" fillId="13" borderId="9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3" xfId="0" applyFont="1" applyFill="1" applyBorder="1"/>
    <xf numFmtId="0" fontId="0" fillId="13" borderId="13" xfId="0" applyFont="1" applyFill="1" applyBorder="1"/>
    <xf numFmtId="0" fontId="13" fillId="0" borderId="1" xfId="0" applyFont="1" applyFill="1" applyBorder="1"/>
    <xf numFmtId="0" fontId="13" fillId="0" borderId="0" xfId="0" applyFont="1" applyFill="1"/>
    <xf numFmtId="0" fontId="0" fillId="0" borderId="0" xfId="0" applyNumberFormat="1" applyFill="1"/>
    <xf numFmtId="1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 applyFill="1" applyProtection="1"/>
    <xf numFmtId="0" fontId="26" fillId="0" borderId="0" xfId="0" applyNumberFormat="1" applyFont="1" applyFill="1"/>
    <xf numFmtId="0" fontId="27" fillId="0" borderId="0" xfId="0" applyNumberFormat="1" applyFont="1" applyFill="1"/>
    <xf numFmtId="0" fontId="28" fillId="0" borderId="0" xfId="0" applyNumberFormat="1" applyFont="1" applyFill="1" applyProtection="1">
      <protection locked="0"/>
    </xf>
    <xf numFmtId="0" fontId="0" fillId="24" borderId="1" xfId="0" applyFill="1" applyBorder="1"/>
    <xf numFmtId="11" fontId="29" fillId="0" borderId="0" xfId="0" applyNumberFormat="1" applyFont="1" applyFill="1"/>
    <xf numFmtId="0" fontId="0" fillId="0" borderId="0" xfId="0"/>
    <xf numFmtId="0" fontId="0" fillId="0" borderId="0" xfId="0"/>
    <xf numFmtId="0" fontId="0" fillId="18" borderId="0" xfId="0" applyFill="1"/>
    <xf numFmtId="0" fontId="30" fillId="28" borderId="1" xfId="0" applyFont="1" applyFill="1" applyBorder="1"/>
    <xf numFmtId="11" fontId="30" fillId="28" borderId="1" xfId="0" applyNumberFormat="1" applyFont="1" applyFill="1" applyBorder="1"/>
    <xf numFmtId="0" fontId="0" fillId="29" borderId="1" xfId="0" applyFont="1" applyFill="1" applyBorder="1"/>
    <xf numFmtId="0" fontId="0" fillId="29" borderId="0" xfId="0" applyFill="1"/>
    <xf numFmtId="0" fontId="13" fillId="29" borderId="0" xfId="0" applyFont="1" applyFill="1"/>
    <xf numFmtId="0" fontId="13" fillId="0" borderId="0" xfId="0" applyFont="1" applyAlignment="1">
      <alignment horizontal="center"/>
    </xf>
    <xf numFmtId="11" fontId="0" fillId="0" borderId="1" xfId="0" applyNumberFormat="1" applyBorder="1"/>
    <xf numFmtId="11" fontId="13" fillId="0" borderId="0" xfId="0" applyNumberFormat="1" applyFont="1" applyFill="1"/>
    <xf numFmtId="11" fontId="0" fillId="0" borderId="0" xfId="0" applyNumberFormat="1" applyBorder="1"/>
    <xf numFmtId="0" fontId="0" fillId="0" borderId="12" xfId="0" applyFill="1" applyBorder="1"/>
    <xf numFmtId="0" fontId="0" fillId="0" borderId="0" xfId="0"/>
    <xf numFmtId="0" fontId="0" fillId="0" borderId="0" xfId="0"/>
    <xf numFmtId="0" fontId="0" fillId="0" borderId="0" xfId="0"/>
    <xf numFmtId="0" fontId="6" fillId="30" borderId="13" xfId="0" applyFont="1" applyFill="1" applyBorder="1"/>
    <xf numFmtId="0" fontId="0" fillId="30" borderId="1" xfId="0" applyFill="1" applyBorder="1"/>
    <xf numFmtId="0" fontId="31" fillId="0" borderId="1" xfId="0" applyFont="1" applyFill="1" applyBorder="1"/>
    <xf numFmtId="0" fontId="31" fillId="28" borderId="1" xfId="0" applyFont="1" applyFill="1" applyBorder="1"/>
    <xf numFmtId="11" fontId="31" fillId="0" borderId="1" xfId="0" applyNumberFormat="1" applyFont="1" applyFill="1" applyBorder="1"/>
    <xf numFmtId="0" fontId="0" fillId="0" borderId="0" xfId="0"/>
    <xf numFmtId="0" fontId="0" fillId="0" borderId="0" xfId="0"/>
    <xf numFmtId="0" fontId="0" fillId="7" borderId="1" xfId="0" applyFill="1" applyBorder="1" applyAlignment="1">
      <alignment horizontal="left"/>
    </xf>
    <xf numFmtId="2" fontId="0" fillId="7" borderId="1" xfId="0" applyNumberFormat="1" applyFill="1" applyBorder="1" applyAlignment="1">
      <alignment horizontal="left"/>
    </xf>
    <xf numFmtId="0" fontId="0" fillId="28" borderId="1" xfId="0" applyNumberFormat="1" applyFill="1" applyBorder="1"/>
    <xf numFmtId="0" fontId="6" fillId="8" borderId="1" xfId="0" applyFont="1" applyFill="1" applyBorder="1"/>
    <xf numFmtId="0" fontId="0" fillId="19" borderId="0" xfId="0" applyFill="1" applyBorder="1"/>
    <xf numFmtId="0" fontId="0" fillId="19" borderId="0" xfId="0" applyFill="1"/>
    <xf numFmtId="0" fontId="0" fillId="19" borderId="4" xfId="0" applyFill="1" applyBorder="1"/>
    <xf numFmtId="2" fontId="0" fillId="19" borderId="1" xfId="0" applyNumberFormat="1" applyFill="1" applyBorder="1"/>
    <xf numFmtId="2" fontId="0" fillId="0" borderId="1" xfId="0" applyNumberFormat="1" applyFill="1" applyBorder="1"/>
    <xf numFmtId="0" fontId="32" fillId="0" borderId="1" xfId="0" applyFont="1" applyFill="1" applyBorder="1"/>
    <xf numFmtId="0" fontId="6" fillId="0" borderId="0" xfId="0" applyNumberFormat="1" applyFont="1" applyFill="1" applyBorder="1"/>
    <xf numFmtId="0" fontId="0" fillId="0" borderId="0" xfId="0" applyNumberFormat="1" applyFill="1" applyBorder="1" applyAlignment="1">
      <alignment horizontal="center"/>
    </xf>
    <xf numFmtId="0" fontId="13" fillId="0" borderId="0" xfId="0" applyNumberFormat="1" applyFont="1" applyFill="1" applyBorder="1"/>
    <xf numFmtId="0" fontId="3" fillId="0" borderId="0" xfId="0" applyNumberFormat="1" applyFont="1" applyFill="1" applyBorder="1"/>
    <xf numFmtId="0" fontId="0" fillId="7" borderId="12" xfId="0" applyFill="1" applyBorder="1"/>
    <xf numFmtId="0" fontId="6" fillId="15" borderId="13" xfId="0" applyFont="1" applyFill="1" applyBorder="1"/>
    <xf numFmtId="0" fontId="25" fillId="31" borderId="1" xfId="0" applyFont="1" applyFill="1" applyBorder="1"/>
    <xf numFmtId="0" fontId="6" fillId="23" borderId="1" xfId="0" applyFont="1" applyFill="1" applyBorder="1"/>
    <xf numFmtId="0" fontId="38" fillId="0" borderId="0" xfId="0" applyFont="1"/>
    <xf numFmtId="0" fontId="40" fillId="0" borderId="0" xfId="0" applyFont="1"/>
    <xf numFmtId="0" fontId="41" fillId="0" borderId="0" xfId="0" applyFont="1"/>
    <xf numFmtId="0" fontId="44" fillId="0" borderId="0" xfId="0" applyFont="1"/>
    <xf numFmtId="170" fontId="11" fillId="0" borderId="1" xfId="0" applyNumberFormat="1" applyFont="1" applyFill="1" applyBorder="1" applyAlignment="1">
      <alignment horizontal="center"/>
    </xf>
    <xf numFmtId="170" fontId="0" fillId="0" borderId="1" xfId="0" applyNumberFormat="1" applyBorder="1"/>
    <xf numFmtId="1" fontId="0" fillId="0" borderId="1" xfId="0" applyNumberFormat="1" applyBorder="1"/>
    <xf numFmtId="170" fontId="0" fillId="0" borderId="1" xfId="0" applyNumberFormat="1" applyFont="1" applyFill="1" applyBorder="1" applyAlignment="1">
      <alignment horizontal="center"/>
    </xf>
    <xf numFmtId="170" fontId="33" fillId="32" borderId="1" xfId="0" applyNumberFormat="1" applyFont="1" applyFill="1" applyBorder="1" applyAlignment="1">
      <alignment horizontal="center"/>
    </xf>
    <xf numFmtId="0" fontId="33" fillId="32" borderId="1" xfId="0" applyFont="1" applyFill="1" applyBorder="1" applyAlignment="1">
      <alignment horizontal="center"/>
    </xf>
    <xf numFmtId="171" fontId="35" fillId="32" borderId="1" xfId="0" applyNumberFormat="1" applyFont="1" applyFill="1" applyBorder="1" applyAlignment="1">
      <alignment horizontal="center"/>
    </xf>
    <xf numFmtId="11" fontId="35" fillId="32" borderId="1" xfId="0" applyNumberFormat="1" applyFont="1" applyFill="1" applyBorder="1" applyAlignment="1">
      <alignment horizontal="center"/>
    </xf>
    <xf numFmtId="0" fontId="6" fillId="33" borderId="1" xfId="0" applyFont="1" applyFill="1" applyBorder="1" applyAlignment="1">
      <alignment horizontal="center"/>
    </xf>
    <xf numFmtId="170" fontId="45" fillId="33" borderId="13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22" borderId="1" xfId="0" applyFont="1" applyFill="1" applyBorder="1"/>
    <xf numFmtId="0" fontId="13" fillId="0" borderId="1" xfId="0" applyFont="1" applyBorder="1"/>
    <xf numFmtId="0" fontId="13" fillId="0" borderId="12" xfId="0" applyFont="1" applyFill="1" applyBorder="1"/>
    <xf numFmtId="0" fontId="13" fillId="27" borderId="1" xfId="0" applyFont="1" applyFill="1" applyBorder="1"/>
    <xf numFmtId="0" fontId="0" fillId="34" borderId="0" xfId="0" applyFill="1"/>
    <xf numFmtId="0" fontId="0" fillId="0" borderId="1" xfId="0" applyNumberFormat="1" applyBorder="1"/>
    <xf numFmtId="0" fontId="0" fillId="33" borderId="1" xfId="0" applyFill="1" applyBorder="1"/>
    <xf numFmtId="11" fontId="0" fillId="33" borderId="1" xfId="0" applyNumberFormat="1" applyFill="1" applyBorder="1" applyAlignment="1">
      <alignment horizontal="center"/>
    </xf>
    <xf numFmtId="171" fontId="0" fillId="35" borderId="1" xfId="0" applyNumberFormat="1" applyFill="1" applyBorder="1" applyAlignment="1">
      <alignment horizontal="center"/>
    </xf>
    <xf numFmtId="11" fontId="0" fillId="35" borderId="1" xfId="0" applyNumberFormat="1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2" fontId="0" fillId="8" borderId="12" xfId="0" applyNumberFormat="1" applyFill="1" applyBorder="1" applyAlignment="1">
      <alignment horizontal="left"/>
    </xf>
    <xf numFmtId="0" fontId="0" fillId="0" borderId="0" xfId="0" applyFill="1" applyBorder="1" applyAlignment="1"/>
    <xf numFmtId="0" fontId="46" fillId="2" borderId="13" xfId="0" applyFon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25" fillId="9" borderId="0" xfId="0" applyFont="1" applyFill="1"/>
    <xf numFmtId="0" fontId="20" fillId="20" borderId="0" xfId="0" applyFont="1" applyFill="1" applyBorder="1" applyAlignment="1">
      <alignment shrinkToFit="1"/>
    </xf>
    <xf numFmtId="0" fontId="0" fillId="7" borderId="1" xfId="0" applyFont="1" applyFill="1" applyBorder="1"/>
    <xf numFmtId="0" fontId="13" fillId="7" borderId="1" xfId="0" applyFont="1" applyFill="1" applyBorder="1"/>
    <xf numFmtId="0" fontId="0" fillId="10" borderId="1" xfId="0" applyFont="1" applyFill="1" applyBorder="1"/>
    <xf numFmtId="0" fontId="0" fillId="0" borderId="1" xfId="0" quotePrefix="1" applyFont="1" applyBorder="1"/>
    <xf numFmtId="165" fontId="0" fillId="0" borderId="13" xfId="0" applyNumberFormat="1" applyFont="1" applyFill="1" applyBorder="1"/>
    <xf numFmtId="166" fontId="3" fillId="0" borderId="13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NumberFormat="1" applyFont="1" applyFill="1" applyBorder="1"/>
    <xf numFmtId="168" fontId="0" fillId="0" borderId="0" xfId="0" applyNumberFormat="1" applyFont="1" applyFill="1" applyBorder="1"/>
    <xf numFmtId="11" fontId="0" fillId="0" borderId="0" xfId="0" applyNumberFormat="1" applyFont="1" applyFill="1" applyBorder="1"/>
    <xf numFmtId="166" fontId="0" fillId="0" borderId="0" xfId="0" applyNumberFormat="1" applyFont="1" applyFill="1" applyBorder="1"/>
    <xf numFmtId="2" fontId="11" fillId="0" borderId="0" xfId="0" applyNumberFormat="1" applyFont="1" applyFill="1" applyBorder="1"/>
    <xf numFmtId="168" fontId="11" fillId="0" borderId="0" xfId="0" applyNumberFormat="1" applyFont="1" applyFill="1" applyBorder="1"/>
    <xf numFmtId="165" fontId="24" fillId="0" borderId="0" xfId="0" applyNumberFormat="1" applyFont="1" applyFill="1" applyBorder="1"/>
    <xf numFmtId="0" fontId="3" fillId="0" borderId="0" xfId="0" applyFont="1" applyFill="1" applyBorder="1"/>
    <xf numFmtId="0" fontId="13" fillId="0" borderId="0" xfId="0" applyFont="1" applyFill="1" applyBorder="1"/>
    <xf numFmtId="166" fontId="0" fillId="0" borderId="0" xfId="0" applyNumberFormat="1" applyFill="1" applyBorder="1"/>
    <xf numFmtId="0" fontId="0" fillId="0" borderId="0" xfId="0" applyBorder="1"/>
    <xf numFmtId="165" fontId="0" fillId="0" borderId="0" xfId="0" applyNumberFormat="1" applyBorder="1"/>
    <xf numFmtId="0" fontId="3" fillId="0" borderId="0" xfId="0" applyFont="1" applyBorder="1"/>
    <xf numFmtId="0" fontId="13" fillId="0" borderId="0" xfId="0" applyFont="1" applyBorder="1"/>
    <xf numFmtId="165" fontId="3" fillId="0" borderId="0" xfId="0" applyNumberFormat="1" applyFont="1" applyBorder="1"/>
    <xf numFmtId="0" fontId="0" fillId="0" borderId="0" xfId="0" applyNumberFormat="1" applyBorder="1"/>
    <xf numFmtId="168" fontId="0" fillId="0" borderId="0" xfId="0" applyNumberFormat="1" applyBorder="1"/>
    <xf numFmtId="165" fontId="0" fillId="0" borderId="0" xfId="0" applyNumberFormat="1" applyFont="1" applyBorder="1"/>
    <xf numFmtId="167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Font="1" applyBorder="1"/>
    <xf numFmtId="167" fontId="0" fillId="0" borderId="0" xfId="0" applyNumberFormat="1" applyFont="1" applyBorder="1"/>
    <xf numFmtId="1" fontId="0" fillId="0" borderId="0" xfId="0" applyNumberFormat="1" applyBorder="1"/>
    <xf numFmtId="0" fontId="11" fillId="0" borderId="0" xfId="0" applyNumberFormat="1" applyFont="1" applyBorder="1"/>
    <xf numFmtId="11" fontId="11" fillId="0" borderId="0" xfId="0" applyNumberFormat="1" applyFont="1" applyBorder="1"/>
    <xf numFmtId="0" fontId="0" fillId="4" borderId="1" xfId="0" applyFont="1" applyFill="1" applyBorder="1"/>
    <xf numFmtId="165" fontId="0" fillId="4" borderId="1" xfId="0" applyNumberFormat="1" applyFont="1" applyFill="1" applyBorder="1"/>
    <xf numFmtId="2" fontId="0" fillId="4" borderId="1" xfId="0" applyNumberFormat="1" applyFont="1" applyFill="1" applyBorder="1"/>
    <xf numFmtId="0" fontId="0" fillId="4" borderId="1" xfId="0" applyNumberFormat="1" applyFont="1" applyFill="1" applyBorder="1"/>
    <xf numFmtId="168" fontId="0" fillId="4" borderId="1" xfId="0" applyNumberFormat="1" applyFont="1" applyFill="1" applyBorder="1"/>
    <xf numFmtId="165" fontId="32" fillId="4" borderId="1" xfId="0" applyNumberFormat="1" applyFont="1" applyFill="1" applyBorder="1"/>
    <xf numFmtId="165" fontId="31" fillId="4" borderId="1" xfId="0" applyNumberFormat="1" applyFont="1" applyFill="1" applyBorder="1"/>
    <xf numFmtId="11" fontId="0" fillId="4" borderId="1" xfId="0" applyNumberFormat="1" applyFont="1" applyFill="1" applyBorder="1"/>
    <xf numFmtId="167" fontId="0" fillId="4" borderId="1" xfId="0" applyNumberFormat="1" applyFont="1" applyFill="1" applyBorder="1"/>
    <xf numFmtId="166" fontId="0" fillId="4" borderId="1" xfId="0" applyNumberFormat="1" applyFont="1" applyFill="1" applyBorder="1"/>
    <xf numFmtId="166" fontId="3" fillId="4" borderId="1" xfId="0" applyNumberFormat="1" applyFont="1" applyFill="1" applyBorder="1"/>
    <xf numFmtId="11" fontId="31" fillId="4" borderId="1" xfId="0" applyNumberFormat="1" applyFont="1" applyFill="1" applyBorder="1"/>
    <xf numFmtId="168" fontId="32" fillId="0" borderId="0" xfId="0" applyNumberFormat="1" applyFont="1" applyFill="1" applyBorder="1"/>
    <xf numFmtId="168" fontId="32" fillId="4" borderId="1" xfId="0" applyNumberFormat="1" applyFont="1" applyFill="1" applyBorder="1"/>
    <xf numFmtId="0" fontId="32" fillId="4" borderId="1" xfId="0" applyFont="1" applyFill="1" applyBorder="1"/>
    <xf numFmtId="11" fontId="0" fillId="0" borderId="3" xfId="0" applyNumberForma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/>
    <xf numFmtId="11" fontId="6" fillId="0" borderId="1" xfId="0" applyNumberFormat="1" applyFont="1" applyBorder="1"/>
    <xf numFmtId="0" fontId="6" fillId="33" borderId="2" xfId="0" applyFont="1" applyFill="1" applyBorder="1" applyAlignment="1">
      <alignment horizontal="center"/>
    </xf>
    <xf numFmtId="1" fontId="0" fillId="0" borderId="2" xfId="0" applyNumberFormat="1" applyBorder="1"/>
    <xf numFmtId="0" fontId="0" fillId="0" borderId="0" xfId="0" applyFill="1" applyBorder="1" applyAlignment="1"/>
    <xf numFmtId="0" fontId="0" fillId="0" borderId="0" xfId="0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7" xfId="0" applyFill="1" applyBorder="1" applyAlignment="1"/>
    <xf numFmtId="0" fontId="0" fillId="14" borderId="5" xfId="0" applyFill="1" applyBorder="1" applyAlignment="1"/>
    <xf numFmtId="0" fontId="0" fillId="0" borderId="5" xfId="0" applyBorder="1" applyAlignment="1"/>
    <xf numFmtId="0" fontId="0" fillId="14" borderId="1" xfId="0" applyFill="1" applyBorder="1" applyAlignment="1"/>
    <xf numFmtId="0" fontId="0" fillId="0" borderId="1" xfId="0" applyBorder="1" applyAlignment="1"/>
  </cellXfs>
  <cellStyles count="16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xVal>
          <c:yVal>
            <c:numLit>
              <c:formatCode>General</c:formatCode>
              <c:ptCount val="16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E78-4243-B2E9-D7FF3C189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365600"/>
        <c:axId val="1336358288"/>
      </c:scatterChart>
      <c:valAx>
        <c:axId val="1336365600"/>
        <c:scaling>
          <c:orientation val="minMax"/>
        </c:scaling>
        <c:delete val="0"/>
        <c:axPos val="b"/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6358288"/>
        <c:crosses val="autoZero"/>
        <c:crossBetween val="midCat"/>
      </c:valAx>
      <c:valAx>
        <c:axId val="13363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636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Height, m</a:t>
            </a:r>
          </a:p>
        </c:rich>
      </c:tx>
      <c:layout>
        <c:manualLayout>
          <c:xMode val="edge"/>
          <c:yMode val="edge"/>
          <c:x val="0.75586789151356082"/>
          <c:y val="8.836524300441826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95384951881015"/>
          <c:y val="0.16100977119189272"/>
          <c:w val="0.80058727034120736"/>
          <c:h val="0.81724491550383016"/>
        </c:manualLayout>
      </c:layout>
      <c:scatterChart>
        <c:scatterStyle val="lineMarker"/>
        <c:varyColors val="0"/>
        <c:ser>
          <c:idx val="4"/>
          <c:order val="0"/>
          <c:tx>
            <c:strRef>
              <c:f>'Fractal map'!$E$2</c:f>
              <c:strCache>
                <c:ptCount val="1"/>
                <c:pt idx="0">
                  <c:v>Nb segments</c:v>
                </c:pt>
              </c:strCache>
            </c:strRef>
          </c:tx>
          <c:marker>
            <c:symbol val="none"/>
          </c:marker>
          <c:xVal>
            <c:numRef>
              <c:f>'Fractal map'!$E$8:$E$211</c:f>
              <c:numCache>
                <c:formatCode>General</c:formatCode>
                <c:ptCount val="204"/>
                <c:pt idx="0">
                  <c:v>900</c:v>
                </c:pt>
                <c:pt idx="1">
                  <c:v>741.46318733194596</c:v>
                </c:pt>
                <c:pt idx="2">
                  <c:v>610.8529535204982</c:v>
                </c:pt>
                <c:pt idx="3">
                  <c:v>503.24997545382405</c:v>
                </c:pt>
                <c:pt idx="4">
                  <c:v>414.60147869412884</c:v>
                </c:pt>
                <c:pt idx="5">
                  <c:v>341.56859318342964</c:v>
                </c:pt>
                <c:pt idx="6">
                  <c:v>281.40059754919395</c:v>
                </c:pt>
                <c:pt idx="7">
                  <c:v>231.8313155288217</c:v>
                </c:pt>
                <c:pt idx="8">
                  <c:v>190.99376237262021</c:v>
                </c:pt>
                <c:pt idx="9">
                  <c:v>157.34982645480363</c:v>
                </c:pt>
                <c:pt idx="10">
                  <c:v>129.63233761034138</c:v>
                </c:pt>
                <c:pt idx="11">
                  <c:v>106.79734025094957</c:v>
                </c:pt>
                <c:pt idx="12">
                  <c:v>87.984773667825991</c:v>
                </c:pt>
                <c:pt idx="13">
                  <c:v>72.486078578251252</c:v>
                </c:pt>
                <c:pt idx="14">
                  <c:v>59.717509844248958</c:v>
                </c:pt>
                <c:pt idx="15">
                  <c:v>49.198150209604101</c:v>
                </c:pt>
                <c:pt idx="16">
                  <c:v>40.53179696138767</c:v>
                </c:pt>
                <c:pt idx="17">
                  <c:v>33.392039292535316</c:v>
                </c:pt>
                <c:pt idx="18">
                  <c:v>27.509964317063126</c:v>
                </c:pt>
                <c:pt idx="19">
                  <c:v>22.66402869546414</c:v>
                </c:pt>
                <c:pt idx="20">
                  <c:v>18.671714393690586</c:v>
                </c:pt>
                <c:pt idx="21">
                  <c:v>15.382654296997327</c:v>
                </c:pt>
                <c:pt idx="22">
                  <c:v>12.672968760752324</c:v>
                </c:pt>
                <c:pt idx="23">
                  <c:v>10.440599789228443</c:v>
                </c:pt>
                <c:pt idx="24">
                  <c:v>8.6014671081984044</c:v>
                </c:pt>
                <c:pt idx="25">
                  <c:v>7.0863013530840941</c:v>
                </c:pt>
                <c:pt idx="26">
                  <c:v>5.8380350973915709</c:v>
                </c:pt>
                <c:pt idx="27">
                  <c:v>4.8096534567419127</c:v>
                </c:pt>
                <c:pt idx="28">
                  <c:v>3.9624233133310782</c:v>
                </c:pt>
                <c:pt idx="29">
                  <c:v>3.2644344660676348</c:v>
                </c:pt>
                <c:pt idx="30">
                  <c:v>2.6893977600519641</c:v>
                </c:pt>
                <c:pt idx="31">
                  <c:v>2.2156549279683615</c:v>
                </c:pt>
                <c:pt idx="32">
                  <c:v>1.8253628499101717</c:v>
                </c:pt>
                <c:pt idx="33">
                  <c:v>1.5038215074796895</c:v>
                </c:pt>
                <c:pt idx="34">
                  <c:v>1.2389203201269137</c:v>
                </c:pt>
                <c:pt idx="35">
                  <c:v>1.0206820104573513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3">
                  <c:v>38197.097020626432</c:v>
                </c:pt>
                <c:pt idx="104">
                  <c:v>20853.111400323236</c:v>
                </c:pt>
                <c:pt idx="105">
                  <c:v>11384.432037844936</c:v>
                </c:pt>
                <c:pt idx="106">
                  <c:v>6215.1537166919479</c:v>
                </c:pt>
                <c:pt idx="107">
                  <c:v>3393.0665661404405</c:v>
                </c:pt>
                <c:pt idx="108">
                  <c:v>1852.3919515200487</c:v>
                </c:pt>
                <c:pt idx="109">
                  <c:v>1011.2845932048328</c:v>
                </c:pt>
                <c:pt idx="110">
                  <c:v>552.09510471812018</c:v>
                </c:pt>
                <c:pt idx="111">
                  <c:v>301.40774090876897</c:v>
                </c:pt>
                <c:pt idx="112">
                  <c:v>164.54887120600463</c:v>
                </c:pt>
                <c:pt idx="113">
                  <c:v>89.832898563032757</c:v>
                </c:pt>
                <c:pt idx="114">
                  <c:v>49.042874649277131</c:v>
                </c:pt>
                <c:pt idx="115">
                  <c:v>26.774195114911695</c:v>
                </c:pt>
                <c:pt idx="116">
                  <c:v>14.616955657225681</c:v>
                </c:pt>
                <c:pt idx="117">
                  <c:v>7.9798997418341813</c:v>
                </c:pt>
                <c:pt idx="118">
                  <c:v>4.3565022281672272</c:v>
                </c:pt>
                <c:pt idx="119">
                  <c:v>2.378364676003268</c:v>
                </c:pt>
                <c:pt idx="120">
                  <c:v>1.2984312266586076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</c:numCache>
            </c:numRef>
          </c:xVal>
          <c:yVal>
            <c:numRef>
              <c:f>'Fractal map'!$A$8:$A$211</c:f>
              <c:numCache>
                <c:formatCode>General</c:formatCode>
                <c:ptCount val="204"/>
                <c:pt idx="0">
                  <c:v>7</c:v>
                </c:pt>
                <c:pt idx="1">
                  <c:v>6.95</c:v>
                </c:pt>
                <c:pt idx="2">
                  <c:v>6.8996138613861389</c:v>
                </c:pt>
                <c:pt idx="3">
                  <c:v>6.848841584158416</c:v>
                </c:pt>
                <c:pt idx="4">
                  <c:v>6.7976831683168317</c:v>
                </c:pt>
                <c:pt idx="5">
                  <c:v>6.7461386138613859</c:v>
                </c:pt>
                <c:pt idx="6">
                  <c:v>6.6942079207920795</c:v>
                </c:pt>
                <c:pt idx="7">
                  <c:v>6.6418910891089107</c:v>
                </c:pt>
                <c:pt idx="8">
                  <c:v>6.5891881188118813</c:v>
                </c:pt>
                <c:pt idx="9">
                  <c:v>6.5360990099009904</c:v>
                </c:pt>
                <c:pt idx="10">
                  <c:v>6.4826237623762379</c:v>
                </c:pt>
                <c:pt idx="11">
                  <c:v>6.428762376237624</c:v>
                </c:pt>
                <c:pt idx="12">
                  <c:v>6.3745148514851486</c:v>
                </c:pt>
                <c:pt idx="13">
                  <c:v>6.3198811881188117</c:v>
                </c:pt>
                <c:pt idx="14">
                  <c:v>6.2648613861386142</c:v>
                </c:pt>
                <c:pt idx="15">
                  <c:v>6.2094554455445543</c:v>
                </c:pt>
                <c:pt idx="16">
                  <c:v>6.1536633663366338</c:v>
                </c:pt>
                <c:pt idx="17">
                  <c:v>6.0974851485148518</c:v>
                </c:pt>
                <c:pt idx="18">
                  <c:v>6.0409207920792083</c:v>
                </c:pt>
                <c:pt idx="19">
                  <c:v>5.9839702970297033</c:v>
                </c:pt>
                <c:pt idx="20">
                  <c:v>5.9266336633663368</c:v>
                </c:pt>
                <c:pt idx="21">
                  <c:v>5.8689108910891088</c:v>
                </c:pt>
                <c:pt idx="22">
                  <c:v>5.8108019801980202</c:v>
                </c:pt>
                <c:pt idx="23">
                  <c:v>5.7523069306930692</c:v>
                </c:pt>
                <c:pt idx="24">
                  <c:v>5.6934257425742576</c:v>
                </c:pt>
                <c:pt idx="25">
                  <c:v>5.6341584158415845</c:v>
                </c:pt>
                <c:pt idx="26">
                  <c:v>5.574504950495049</c:v>
                </c:pt>
                <c:pt idx="27">
                  <c:v>5.5144653465346529</c:v>
                </c:pt>
                <c:pt idx="28">
                  <c:v>5.4540396039603962</c:v>
                </c:pt>
                <c:pt idx="29">
                  <c:v>5.3932277227722771</c:v>
                </c:pt>
                <c:pt idx="30">
                  <c:v>5.3320297029702974</c:v>
                </c:pt>
                <c:pt idx="31">
                  <c:v>5.2704455445544554</c:v>
                </c:pt>
                <c:pt idx="32">
                  <c:v>5.2084752475247527</c:v>
                </c:pt>
                <c:pt idx="33">
                  <c:v>5.1461188118811876</c:v>
                </c:pt>
                <c:pt idx="34">
                  <c:v>5.0833762376237619</c:v>
                </c:pt>
                <c:pt idx="35">
                  <c:v>5.0202475247524756</c:v>
                </c:pt>
                <c:pt idx="36">
                  <c:v>4.9567326732673269</c:v>
                </c:pt>
                <c:pt idx="37">
                  <c:v>4.8928316831683167</c:v>
                </c:pt>
                <c:pt idx="38">
                  <c:v>4.8285445544554459</c:v>
                </c:pt>
                <c:pt idx="39">
                  <c:v>4.7638712871287128</c:v>
                </c:pt>
                <c:pt idx="40">
                  <c:v>4.698811881188119</c:v>
                </c:pt>
                <c:pt idx="41">
                  <c:v>4.6333663366336637</c:v>
                </c:pt>
                <c:pt idx="42">
                  <c:v>4.5675346534653469</c:v>
                </c:pt>
                <c:pt idx="43">
                  <c:v>4.5013168316831687</c:v>
                </c:pt>
                <c:pt idx="44">
                  <c:v>4.4347128712871289</c:v>
                </c:pt>
                <c:pt idx="45">
                  <c:v>4.3677227722772276</c:v>
                </c:pt>
                <c:pt idx="46">
                  <c:v>4.3003465346534657</c:v>
                </c:pt>
                <c:pt idx="47">
                  <c:v>4.2325841584158415</c:v>
                </c:pt>
                <c:pt idx="48">
                  <c:v>4.1644356435643566</c:v>
                </c:pt>
                <c:pt idx="49">
                  <c:v>4.0959009900990102</c:v>
                </c:pt>
                <c:pt idx="50">
                  <c:v>4.0269801980198023</c:v>
                </c:pt>
                <c:pt idx="51">
                  <c:v>3.957673267326733</c:v>
                </c:pt>
                <c:pt idx="52">
                  <c:v>3.8879801980198021</c:v>
                </c:pt>
                <c:pt idx="53">
                  <c:v>3.8179009900990102</c:v>
                </c:pt>
                <c:pt idx="54">
                  <c:v>3.7474356435643568</c:v>
                </c:pt>
                <c:pt idx="55">
                  <c:v>3.6765841584158419</c:v>
                </c:pt>
                <c:pt idx="56">
                  <c:v>3.6053465346534654</c:v>
                </c:pt>
                <c:pt idx="57">
                  <c:v>3.533722772277228</c:v>
                </c:pt>
                <c:pt idx="58">
                  <c:v>3.461712871287129</c:v>
                </c:pt>
                <c:pt idx="59">
                  <c:v>3.3893168316831686</c:v>
                </c:pt>
                <c:pt idx="60">
                  <c:v>3.3165346534653466</c:v>
                </c:pt>
                <c:pt idx="61">
                  <c:v>3.2433663366336636</c:v>
                </c:pt>
                <c:pt idx="62">
                  <c:v>3.1698118811881191</c:v>
                </c:pt>
                <c:pt idx="63">
                  <c:v>3.0958712871287131</c:v>
                </c:pt>
                <c:pt idx="64">
                  <c:v>3.0215445544554456</c:v>
                </c:pt>
                <c:pt idx="65">
                  <c:v>2.946831683168317</c:v>
                </c:pt>
                <c:pt idx="66">
                  <c:v>2.871732673267327</c:v>
                </c:pt>
                <c:pt idx="67">
                  <c:v>2.7962475247524754</c:v>
                </c:pt>
                <c:pt idx="68">
                  <c:v>2.7203762376237623</c:v>
                </c:pt>
                <c:pt idx="69">
                  <c:v>2.6441188118811878</c:v>
                </c:pt>
                <c:pt idx="70">
                  <c:v>2.5674752475247526</c:v>
                </c:pt>
                <c:pt idx="71">
                  <c:v>2.4904455445544551</c:v>
                </c:pt>
                <c:pt idx="72">
                  <c:v>2.413029702970297</c:v>
                </c:pt>
                <c:pt idx="73">
                  <c:v>2.3352277227722773</c:v>
                </c:pt>
                <c:pt idx="74">
                  <c:v>2.2570396039603962</c:v>
                </c:pt>
                <c:pt idx="75">
                  <c:v>2.1784653465346535</c:v>
                </c:pt>
                <c:pt idx="76">
                  <c:v>2.0995049504950494</c:v>
                </c:pt>
                <c:pt idx="77">
                  <c:v>2.0201584158415837</c:v>
                </c:pt>
                <c:pt idx="78">
                  <c:v>1.9404257425742575</c:v>
                </c:pt>
                <c:pt idx="79">
                  <c:v>1.8603069306930688</c:v>
                </c:pt>
                <c:pt idx="80">
                  <c:v>1.7798019801980196</c:v>
                </c:pt>
                <c:pt idx="81">
                  <c:v>1.6989108910891089</c:v>
                </c:pt>
                <c:pt idx="82">
                  <c:v>1.6176336633663366</c:v>
                </c:pt>
                <c:pt idx="83">
                  <c:v>1.5359702970297029</c:v>
                </c:pt>
                <c:pt idx="84">
                  <c:v>1.4539207920792077</c:v>
                </c:pt>
                <c:pt idx="85">
                  <c:v>1.3714851485148509</c:v>
                </c:pt>
                <c:pt idx="86">
                  <c:v>1.2886633663366336</c:v>
                </c:pt>
                <c:pt idx="87">
                  <c:v>1.2054554455445539</c:v>
                </c:pt>
                <c:pt idx="88">
                  <c:v>1.1218613861386135</c:v>
                </c:pt>
                <c:pt idx="89">
                  <c:v>1.0378811881188117</c:v>
                </c:pt>
                <c:pt idx="90">
                  <c:v>0.95351485148514836</c:v>
                </c:pt>
                <c:pt idx="91">
                  <c:v>0.86876237623762353</c:v>
                </c:pt>
                <c:pt idx="92">
                  <c:v>0.78362376237623721</c:v>
                </c:pt>
                <c:pt idx="93">
                  <c:v>0.69809900990098939</c:v>
                </c:pt>
                <c:pt idx="94">
                  <c:v>0.61218811881188184</c:v>
                </c:pt>
                <c:pt idx="95">
                  <c:v>0.52589108910891191</c:v>
                </c:pt>
                <c:pt idx="96">
                  <c:v>0.43920792079208049</c:v>
                </c:pt>
                <c:pt idx="97">
                  <c:v>0.35213861386138667</c:v>
                </c:pt>
                <c:pt idx="98">
                  <c:v>0.26468316831683225</c:v>
                </c:pt>
                <c:pt idx="99">
                  <c:v>0.17684158415841633</c:v>
                </c:pt>
                <c:pt idx="100">
                  <c:v>8.8613861386139803E-2</c:v>
                </c:pt>
                <c:pt idx="101">
                  <c:v>0</c:v>
                </c:pt>
                <c:pt idx="103">
                  <c:v>-2.7500000000000004</c:v>
                </c:pt>
                <c:pt idx="104">
                  <c:v>-2.7004455445544555</c:v>
                </c:pt>
                <c:pt idx="105">
                  <c:v>-2.6513366336633668</c:v>
                </c:pt>
                <c:pt idx="106">
                  <c:v>-2.602673267326733</c:v>
                </c:pt>
                <c:pt idx="107">
                  <c:v>-2.5544554455445549</c:v>
                </c:pt>
                <c:pt idx="108">
                  <c:v>-2.5066831683168318</c:v>
                </c:pt>
                <c:pt idx="109">
                  <c:v>-2.4593564356435644</c:v>
                </c:pt>
                <c:pt idx="110">
                  <c:v>-2.4124752475247528</c:v>
                </c:pt>
                <c:pt idx="111">
                  <c:v>-2.3660396039603961</c:v>
                </c:pt>
                <c:pt idx="112">
                  <c:v>-2.3200495049504952</c:v>
                </c:pt>
                <c:pt idx="113">
                  <c:v>-2.2745049504950496</c:v>
                </c:pt>
                <c:pt idx="114">
                  <c:v>-2.2294059405940594</c:v>
                </c:pt>
                <c:pt idx="115">
                  <c:v>-2.1847524752475249</c:v>
                </c:pt>
                <c:pt idx="116">
                  <c:v>-2.1405445544554458</c:v>
                </c:pt>
                <c:pt idx="117">
                  <c:v>-2.096782178217822</c:v>
                </c:pt>
                <c:pt idx="118">
                  <c:v>-2.0534653465346535</c:v>
                </c:pt>
                <c:pt idx="119">
                  <c:v>-2.0105940594059408</c:v>
                </c:pt>
                <c:pt idx="120">
                  <c:v>-1.9681683168316835</c:v>
                </c:pt>
                <c:pt idx="121">
                  <c:v>-1.9261881188118815</c:v>
                </c:pt>
                <c:pt idx="122">
                  <c:v>-1.884653465346535</c:v>
                </c:pt>
                <c:pt idx="123">
                  <c:v>-1.8435643564356439</c:v>
                </c:pt>
                <c:pt idx="124">
                  <c:v>-1.8029207920792083</c:v>
                </c:pt>
                <c:pt idx="125">
                  <c:v>-1.7627227722772281</c:v>
                </c:pt>
                <c:pt idx="126">
                  <c:v>-1.7229702970297032</c:v>
                </c:pt>
                <c:pt idx="127">
                  <c:v>-1.683663366336634</c:v>
                </c:pt>
                <c:pt idx="128">
                  <c:v>-1.64480198019802</c:v>
                </c:pt>
                <c:pt idx="129">
                  <c:v>-1.6063861386138616</c:v>
                </c:pt>
                <c:pt idx="130">
                  <c:v>-1.5684158415841585</c:v>
                </c:pt>
                <c:pt idx="131">
                  <c:v>-1.5308910891089111</c:v>
                </c:pt>
                <c:pt idx="132">
                  <c:v>-1.4938118811881189</c:v>
                </c:pt>
                <c:pt idx="133">
                  <c:v>-1.4571782178217823</c:v>
                </c:pt>
                <c:pt idx="134">
                  <c:v>-1.4209900990099011</c:v>
                </c:pt>
                <c:pt idx="135">
                  <c:v>-1.3852475247524754</c:v>
                </c:pt>
                <c:pt idx="136">
                  <c:v>-1.3499504950495052</c:v>
                </c:pt>
                <c:pt idx="137">
                  <c:v>-1.3150990099009903</c:v>
                </c:pt>
                <c:pt idx="138">
                  <c:v>-1.2806930693069309</c:v>
                </c:pt>
                <c:pt idx="139">
                  <c:v>-1.246732673267327</c:v>
                </c:pt>
                <c:pt idx="140">
                  <c:v>-1.2132178217821783</c:v>
                </c:pt>
                <c:pt idx="141">
                  <c:v>-1.1801485148514854</c:v>
                </c:pt>
                <c:pt idx="142">
                  <c:v>-1.1475247524752477</c:v>
                </c:pt>
                <c:pt idx="143">
                  <c:v>-1.1153465346534654</c:v>
                </c:pt>
                <c:pt idx="144">
                  <c:v>-1.0836138613861388</c:v>
                </c:pt>
                <c:pt idx="145">
                  <c:v>-1.0523267326732675</c:v>
                </c:pt>
                <c:pt idx="146">
                  <c:v>-1.0214851485148517</c:v>
                </c:pt>
                <c:pt idx="147">
                  <c:v>-0.9910891089108913</c:v>
                </c:pt>
                <c:pt idx="148">
                  <c:v>-0.96113861386138644</c:v>
                </c:pt>
                <c:pt idx="149">
                  <c:v>-0.93163366336633691</c:v>
                </c:pt>
                <c:pt idx="150">
                  <c:v>-0.90257425742574293</c:v>
                </c:pt>
                <c:pt idx="151">
                  <c:v>-0.87396039603960429</c:v>
                </c:pt>
                <c:pt idx="152">
                  <c:v>-0.84579207920792099</c:v>
                </c:pt>
                <c:pt idx="153">
                  <c:v>-0.81806930693069324</c:v>
                </c:pt>
                <c:pt idx="154">
                  <c:v>-0.79079207920792127</c:v>
                </c:pt>
                <c:pt idx="155">
                  <c:v>-0.76396039603960419</c:v>
                </c:pt>
                <c:pt idx="156">
                  <c:v>-0.7375742574257429</c:v>
                </c:pt>
                <c:pt idx="157">
                  <c:v>-0.71163366336633693</c:v>
                </c:pt>
                <c:pt idx="158">
                  <c:v>-0.6861386138613863</c:v>
                </c:pt>
                <c:pt idx="159">
                  <c:v>-0.66108910891089145</c:v>
                </c:pt>
                <c:pt idx="160">
                  <c:v>-0.63648514851485194</c:v>
                </c:pt>
                <c:pt idx="161">
                  <c:v>-0.61232673267326776</c:v>
                </c:pt>
                <c:pt idx="162">
                  <c:v>-0.58861386138613847</c:v>
                </c:pt>
                <c:pt idx="163">
                  <c:v>-0.5653465346534654</c:v>
                </c:pt>
                <c:pt idx="164">
                  <c:v>-0.54252475247524767</c:v>
                </c:pt>
                <c:pt idx="165">
                  <c:v>-0.52014851485148528</c:v>
                </c:pt>
                <c:pt idx="166">
                  <c:v>-0.49821782178217822</c:v>
                </c:pt>
                <c:pt idx="167">
                  <c:v>-0.47673267326732693</c:v>
                </c:pt>
                <c:pt idx="168">
                  <c:v>-0.45569306930693054</c:v>
                </c:pt>
                <c:pt idx="169">
                  <c:v>-0.43509900990098993</c:v>
                </c:pt>
                <c:pt idx="170">
                  <c:v>-0.4149504950495051</c:v>
                </c:pt>
                <c:pt idx="171">
                  <c:v>-0.39524752475247515</c:v>
                </c:pt>
                <c:pt idx="172">
                  <c:v>-0.37599009900990099</c:v>
                </c:pt>
                <c:pt idx="173">
                  <c:v>-0.35717821782178216</c:v>
                </c:pt>
                <c:pt idx="174">
                  <c:v>-0.33881188118811911</c:v>
                </c:pt>
                <c:pt idx="175">
                  <c:v>-0.32089108910891095</c:v>
                </c:pt>
                <c:pt idx="176">
                  <c:v>-0.30341584158415857</c:v>
                </c:pt>
                <c:pt idx="177">
                  <c:v>-0.28638613861386153</c:v>
                </c:pt>
                <c:pt idx="178">
                  <c:v>-0.26980198019801982</c:v>
                </c:pt>
                <c:pt idx="179">
                  <c:v>-0.25366336633663389</c:v>
                </c:pt>
                <c:pt idx="180">
                  <c:v>-0.23797029702970329</c:v>
                </c:pt>
                <c:pt idx="181">
                  <c:v>-0.22272277227722803</c:v>
                </c:pt>
                <c:pt idx="182">
                  <c:v>-0.20792079207920811</c:v>
                </c:pt>
                <c:pt idx="183">
                  <c:v>-0.19356435643564396</c:v>
                </c:pt>
                <c:pt idx="184">
                  <c:v>-0.1796534653465347</c:v>
                </c:pt>
                <c:pt idx="185">
                  <c:v>-0.16618811881188122</c:v>
                </c:pt>
                <c:pt idx="186">
                  <c:v>-0.15316831683168353</c:v>
                </c:pt>
                <c:pt idx="187">
                  <c:v>-0.14059405940594072</c:v>
                </c:pt>
                <c:pt idx="188">
                  <c:v>-0.12846534653465369</c:v>
                </c:pt>
                <c:pt idx="189">
                  <c:v>-0.116782178217822</c:v>
                </c:pt>
                <c:pt idx="190">
                  <c:v>-0.10554455445544564</c:v>
                </c:pt>
                <c:pt idx="191">
                  <c:v>-9.4752475247525059E-2</c:v>
                </c:pt>
                <c:pt idx="192">
                  <c:v>-8.4405940594059814E-2</c:v>
                </c:pt>
                <c:pt idx="193">
                  <c:v>-7.4504950495049904E-2</c:v>
                </c:pt>
                <c:pt idx="194">
                  <c:v>-6.5049504950495329E-2</c:v>
                </c:pt>
                <c:pt idx="195">
                  <c:v>-5.6039603960396533E-2</c:v>
                </c:pt>
                <c:pt idx="196">
                  <c:v>-4.7475247524753073E-2</c:v>
                </c:pt>
                <c:pt idx="197">
                  <c:v>-3.9356435643564947E-2</c:v>
                </c:pt>
                <c:pt idx="198">
                  <c:v>-3.1683168316832155E-2</c:v>
                </c:pt>
                <c:pt idx="199">
                  <c:v>-2.4455445544555143E-2</c:v>
                </c:pt>
                <c:pt idx="200">
                  <c:v>-1.7673267326733022E-2</c:v>
                </c:pt>
                <c:pt idx="201">
                  <c:v>-1.133663366336668E-2</c:v>
                </c:pt>
                <c:pt idx="202">
                  <c:v>-5.4455445544556724E-3</c:v>
                </c:pt>
                <c:pt idx="2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E3-9746-A47B-9EA913EAEE6B}"/>
            </c:ext>
          </c:extLst>
        </c:ser>
        <c:ser>
          <c:idx val="3"/>
          <c:order val="1"/>
          <c:tx>
            <c:strRef>
              <c:f>'Fractal map'!$D$2</c:f>
              <c:strCache>
                <c:ptCount val="1"/>
                <c:pt idx="0">
                  <c:v>Diam, cm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xVal>
            <c:numRef>
              <c:f>'Fractal map'!$D$8:$D$211</c:f>
              <c:numCache>
                <c:formatCode>General</c:formatCode>
                <c:ptCount val="204"/>
                <c:pt idx="0">
                  <c:v>0.5</c:v>
                </c:pt>
                <c:pt idx="1">
                  <c:v>0.55539938923079291</c:v>
                </c:pt>
                <c:pt idx="2">
                  <c:v>0.61693696311587576</c:v>
                </c:pt>
                <c:pt idx="3">
                  <c:v>0.68529282501691524</c:v>
                </c:pt>
                <c:pt idx="4">
                  <c:v>0.76122243291727876</c:v>
                </c:pt>
                <c:pt idx="5">
                  <c:v>0.84556494862206988</c:v>
                </c:pt>
                <c:pt idx="6">
                  <c:v>0.9392525120393288</c:v>
                </c:pt>
                <c:pt idx="7">
                  <c:v>1.0433205430402626</c:v>
                </c:pt>
                <c:pt idx="8">
                  <c:v>1.158919184753002</c:v>
                </c:pt>
                <c:pt idx="9">
                  <c:v>1.2873260147593317</c:v>
                </c:pt>
                <c:pt idx="10">
                  <c:v>1.4299601646764872</c:v>
                </c:pt>
                <c:pt idx="11">
                  <c:v>1.5883980041713706</c:v>
                </c:pt>
                <c:pt idx="12">
                  <c:v>1.7643905627443792</c:v>
                </c:pt>
                <c:pt idx="13">
                  <c:v>1.9598828818256067</c:v>
                </c:pt>
                <c:pt idx="14">
                  <c:v>2.1770355110596564</c:v>
                </c:pt>
                <c:pt idx="15">
                  <c:v>2.4182483863525608</c:v>
                </c:pt>
                <c:pt idx="16">
                  <c:v>2.6861873535771257</c:v>
                </c:pt>
                <c:pt idx="17">
                  <c:v>2.9838136310724317</c:v>
                </c:pt>
                <c:pt idx="18">
                  <c:v>3.3144165365522857</c:v>
                </c:pt>
                <c:pt idx="19">
                  <c:v>3.6816498401151598</c:v>
                </c:pt>
                <c:pt idx="20">
                  <c:v>4.0895721451232134</c:v>
                </c:pt>
                <c:pt idx="21">
                  <c:v>4.5426917432333935</c:v>
                </c:pt>
                <c:pt idx="22">
                  <c:v>5.0460164393111864</c:v>
                </c:pt>
                <c:pt idx="23">
                  <c:v>5.6051088968839444</c:v>
                </c:pt>
                <c:pt idx="24">
                  <c:v>6.2261481158028538</c:v>
                </c:pt>
                <c:pt idx="25">
                  <c:v>6.9159977215547155</c:v>
                </c:pt>
                <c:pt idx="26">
                  <c:v>7.6822818209460904</c:v>
                </c:pt>
                <c:pt idx="27">
                  <c:v>8.5334692625045623</c:v>
                </c:pt>
                <c:pt idx="28">
                  <c:v>9.4789672328295591</c:v>
                </c:pt>
                <c:pt idx="29">
                  <c:v>10.529225223304474</c:v>
                </c:pt>
                <c:pt idx="30">
                  <c:v>11.695850516193531</c:v>
                </c:pt>
                <c:pt idx="31">
                  <c:v>12.991736466457084</c:v>
                </c:pt>
                <c:pt idx="32">
                  <c:v>14.431204997035364</c:v>
                </c:pt>
                <c:pt idx="33">
                  <c:v>16.030164882435621</c:v>
                </c:pt>
                <c:pt idx="34">
                  <c:v>17.806287569947298</c:v>
                </c:pt>
                <c:pt idx="35">
                  <c:v>19.779202481633185</c:v>
                </c:pt>
                <c:pt idx="36">
                  <c:v>19.999999999999982</c:v>
                </c:pt>
                <c:pt idx="37">
                  <c:v>19.999999999999982</c:v>
                </c:pt>
                <c:pt idx="38">
                  <c:v>19.999999999999982</c:v>
                </c:pt>
                <c:pt idx="39">
                  <c:v>19.999999999999982</c:v>
                </c:pt>
                <c:pt idx="40">
                  <c:v>19.999999999999982</c:v>
                </c:pt>
                <c:pt idx="41">
                  <c:v>19.999999999999982</c:v>
                </c:pt>
                <c:pt idx="42">
                  <c:v>19.999999999999982</c:v>
                </c:pt>
                <c:pt idx="43">
                  <c:v>19.999999999999982</c:v>
                </c:pt>
                <c:pt idx="44">
                  <c:v>19.999999999999982</c:v>
                </c:pt>
                <c:pt idx="45">
                  <c:v>19.999999999999982</c:v>
                </c:pt>
                <c:pt idx="46">
                  <c:v>19.999999999999982</c:v>
                </c:pt>
                <c:pt idx="47">
                  <c:v>19.999999999999982</c:v>
                </c:pt>
                <c:pt idx="48">
                  <c:v>19.999999999999982</c:v>
                </c:pt>
                <c:pt idx="49">
                  <c:v>19.999999999999982</c:v>
                </c:pt>
                <c:pt idx="50">
                  <c:v>19.999999999999982</c:v>
                </c:pt>
                <c:pt idx="51">
                  <c:v>19.999999999999982</c:v>
                </c:pt>
                <c:pt idx="52">
                  <c:v>19.999999999999982</c:v>
                </c:pt>
                <c:pt idx="53">
                  <c:v>19.999999999999982</c:v>
                </c:pt>
                <c:pt idx="54">
                  <c:v>19.999999999999982</c:v>
                </c:pt>
                <c:pt idx="55">
                  <c:v>19.999999999999982</c:v>
                </c:pt>
                <c:pt idx="56">
                  <c:v>19.999999999999982</c:v>
                </c:pt>
                <c:pt idx="57">
                  <c:v>19.999999999999982</c:v>
                </c:pt>
                <c:pt idx="58">
                  <c:v>19.999999999999982</c:v>
                </c:pt>
                <c:pt idx="59">
                  <c:v>19.999999999999982</c:v>
                </c:pt>
                <c:pt idx="60">
                  <c:v>19.999999999999982</c:v>
                </c:pt>
                <c:pt idx="61">
                  <c:v>19.999999999999982</c:v>
                </c:pt>
                <c:pt idx="62">
                  <c:v>19.999999999999982</c:v>
                </c:pt>
                <c:pt idx="63">
                  <c:v>19.999999999999982</c:v>
                </c:pt>
                <c:pt idx="64">
                  <c:v>19.999999999999982</c:v>
                </c:pt>
                <c:pt idx="65">
                  <c:v>19.999999999999982</c:v>
                </c:pt>
                <c:pt idx="66">
                  <c:v>19.999999999999982</c:v>
                </c:pt>
                <c:pt idx="67">
                  <c:v>19.999999999999982</c:v>
                </c:pt>
                <c:pt idx="68">
                  <c:v>19.999999999999982</c:v>
                </c:pt>
                <c:pt idx="69">
                  <c:v>19.999999999999982</c:v>
                </c:pt>
                <c:pt idx="70">
                  <c:v>19.999999999999982</c:v>
                </c:pt>
                <c:pt idx="71">
                  <c:v>19.999999999999982</c:v>
                </c:pt>
                <c:pt idx="72">
                  <c:v>19.999999999999982</c:v>
                </c:pt>
                <c:pt idx="73">
                  <c:v>19.999999999999982</c:v>
                </c:pt>
                <c:pt idx="74">
                  <c:v>19.999999999999982</c:v>
                </c:pt>
                <c:pt idx="75">
                  <c:v>19.999999999999982</c:v>
                </c:pt>
                <c:pt idx="76">
                  <c:v>19.999999999999982</c:v>
                </c:pt>
                <c:pt idx="77">
                  <c:v>19.999999999999982</c:v>
                </c:pt>
                <c:pt idx="78">
                  <c:v>19.999999999999982</c:v>
                </c:pt>
                <c:pt idx="79">
                  <c:v>19.999999999999982</c:v>
                </c:pt>
                <c:pt idx="80">
                  <c:v>19.999999999999982</c:v>
                </c:pt>
                <c:pt idx="81">
                  <c:v>19.999999999999982</c:v>
                </c:pt>
                <c:pt idx="82">
                  <c:v>19.999999999999982</c:v>
                </c:pt>
                <c:pt idx="83">
                  <c:v>19.999999999999982</c:v>
                </c:pt>
                <c:pt idx="84">
                  <c:v>19.999999999999982</c:v>
                </c:pt>
                <c:pt idx="85">
                  <c:v>19.999999999999982</c:v>
                </c:pt>
                <c:pt idx="86">
                  <c:v>19.999999999999982</c:v>
                </c:pt>
                <c:pt idx="87">
                  <c:v>19.999999999999982</c:v>
                </c:pt>
                <c:pt idx="88">
                  <c:v>19.999999999999982</c:v>
                </c:pt>
                <c:pt idx="89">
                  <c:v>19.999999999999982</c:v>
                </c:pt>
                <c:pt idx="90">
                  <c:v>19.999999999999982</c:v>
                </c:pt>
                <c:pt idx="91">
                  <c:v>19.999999999999982</c:v>
                </c:pt>
                <c:pt idx="92">
                  <c:v>19.999999999999982</c:v>
                </c:pt>
                <c:pt idx="93">
                  <c:v>19.999999999999982</c:v>
                </c:pt>
                <c:pt idx="94">
                  <c:v>19.999999999999982</c:v>
                </c:pt>
                <c:pt idx="95">
                  <c:v>19.999999999999982</c:v>
                </c:pt>
                <c:pt idx="96">
                  <c:v>19.999999999999982</c:v>
                </c:pt>
                <c:pt idx="97">
                  <c:v>19.999999999999982</c:v>
                </c:pt>
                <c:pt idx="98">
                  <c:v>19.999999999999982</c:v>
                </c:pt>
                <c:pt idx="99">
                  <c:v>19.999999999999982</c:v>
                </c:pt>
                <c:pt idx="100">
                  <c:v>19.999999999999982</c:v>
                </c:pt>
                <c:pt idx="101">
                  <c:v>19.999999999999982</c:v>
                </c:pt>
                <c:pt idx="103">
                  <c:v>0.1</c:v>
                </c:pt>
                <c:pt idx="104">
                  <c:v>0.13131630441411868</c:v>
                </c:pt>
                <c:pt idx="105">
                  <c:v>0.17243971804981487</c:v>
                </c:pt>
                <c:pt idx="106">
                  <c:v>0.22644146508514285</c:v>
                </c:pt>
                <c:pt idx="107">
                  <c:v>0.29735456361099649</c:v>
                </c:pt>
                <c:pt idx="108">
                  <c:v>0.39047502394069028</c:v>
                </c:pt>
                <c:pt idx="109">
                  <c:v>0.51275737109905961</c:v>
                </c:pt>
                <c:pt idx="110">
                  <c:v>0.67333403033827333</c:v>
                </c:pt>
                <c:pt idx="111">
                  <c:v>0.88419736500286139</c:v>
                </c:pt>
                <c:pt idx="112">
                  <c:v>1.1610953034487737</c:v>
                </c:pt>
                <c:pt idx="113">
                  <c:v>1.5247074432148267</c:v>
                </c:pt>
                <c:pt idx="114">
                  <c:v>2.0021894675567071</c:v>
                </c:pt>
                <c:pt idx="115">
                  <c:v>2.6292012161641876</c:v>
                </c:pt>
                <c:pt idx="116">
                  <c:v>3.4525698726778766</c:v>
                </c:pt>
                <c:pt idx="117">
                  <c:v>4.5337871641158278</c:v>
                </c:pt>
                <c:pt idx="118">
                  <c:v>5.953601753918579</c:v>
                </c:pt>
                <c:pt idx="119">
                  <c:v>7.8180498027800329</c:v>
                </c:pt>
                <c:pt idx="120">
                  <c:v>10.266374078266029</c:v>
                </c:pt>
                <c:pt idx="121">
                  <c:v>11.547005383792516</c:v>
                </c:pt>
                <c:pt idx="122">
                  <c:v>11.547005383792516</c:v>
                </c:pt>
                <c:pt idx="123">
                  <c:v>11.547005383792516</c:v>
                </c:pt>
                <c:pt idx="124">
                  <c:v>11.547005383792516</c:v>
                </c:pt>
                <c:pt idx="125">
                  <c:v>11.547005383792516</c:v>
                </c:pt>
                <c:pt idx="126">
                  <c:v>11.547005383792516</c:v>
                </c:pt>
                <c:pt idx="127">
                  <c:v>11.547005383792516</c:v>
                </c:pt>
                <c:pt idx="128">
                  <c:v>11.547005383792516</c:v>
                </c:pt>
                <c:pt idx="129">
                  <c:v>11.547005383792516</c:v>
                </c:pt>
                <c:pt idx="130">
                  <c:v>11.547005383792516</c:v>
                </c:pt>
                <c:pt idx="131">
                  <c:v>11.547005383792516</c:v>
                </c:pt>
                <c:pt idx="132">
                  <c:v>11.547005383792516</c:v>
                </c:pt>
                <c:pt idx="133">
                  <c:v>11.547005383792516</c:v>
                </c:pt>
                <c:pt idx="134">
                  <c:v>11.547005383792516</c:v>
                </c:pt>
                <c:pt idx="135">
                  <c:v>11.547005383792516</c:v>
                </c:pt>
                <c:pt idx="136">
                  <c:v>11.547005383792516</c:v>
                </c:pt>
                <c:pt idx="137">
                  <c:v>11.547005383792516</c:v>
                </c:pt>
                <c:pt idx="138">
                  <c:v>11.547005383792516</c:v>
                </c:pt>
                <c:pt idx="139">
                  <c:v>11.547005383792516</c:v>
                </c:pt>
                <c:pt idx="140">
                  <c:v>11.547005383792516</c:v>
                </c:pt>
                <c:pt idx="141">
                  <c:v>11.547005383792516</c:v>
                </c:pt>
                <c:pt idx="142">
                  <c:v>11.547005383792516</c:v>
                </c:pt>
                <c:pt idx="143">
                  <c:v>11.547005383792516</c:v>
                </c:pt>
                <c:pt idx="144">
                  <c:v>11.547005383792516</c:v>
                </c:pt>
                <c:pt idx="145">
                  <c:v>11.547005383792516</c:v>
                </c:pt>
                <c:pt idx="146">
                  <c:v>11.547005383792516</c:v>
                </c:pt>
                <c:pt idx="147">
                  <c:v>11.547005383792516</c:v>
                </c:pt>
                <c:pt idx="148">
                  <c:v>11.547005383792516</c:v>
                </c:pt>
                <c:pt idx="149">
                  <c:v>11.547005383792516</c:v>
                </c:pt>
                <c:pt idx="150">
                  <c:v>11.547005383792516</c:v>
                </c:pt>
                <c:pt idx="151">
                  <c:v>11.547005383792516</c:v>
                </c:pt>
                <c:pt idx="152">
                  <c:v>11.547005383792516</c:v>
                </c:pt>
                <c:pt idx="153">
                  <c:v>11.547005383792516</c:v>
                </c:pt>
                <c:pt idx="154">
                  <c:v>11.547005383792516</c:v>
                </c:pt>
                <c:pt idx="155">
                  <c:v>11.547005383792516</c:v>
                </c:pt>
                <c:pt idx="156">
                  <c:v>11.547005383792516</c:v>
                </c:pt>
                <c:pt idx="157">
                  <c:v>11.547005383792516</c:v>
                </c:pt>
                <c:pt idx="158">
                  <c:v>11.547005383792516</c:v>
                </c:pt>
                <c:pt idx="159">
                  <c:v>11.547005383792516</c:v>
                </c:pt>
                <c:pt idx="160">
                  <c:v>11.547005383792516</c:v>
                </c:pt>
                <c:pt idx="161">
                  <c:v>11.547005383792516</c:v>
                </c:pt>
                <c:pt idx="162">
                  <c:v>11.547005383792516</c:v>
                </c:pt>
                <c:pt idx="163">
                  <c:v>11.547005383792516</c:v>
                </c:pt>
                <c:pt idx="164">
                  <c:v>11.547005383792516</c:v>
                </c:pt>
                <c:pt idx="165">
                  <c:v>11.547005383792516</c:v>
                </c:pt>
                <c:pt idx="166">
                  <c:v>11.547005383792516</c:v>
                </c:pt>
                <c:pt idx="167">
                  <c:v>11.547005383792516</c:v>
                </c:pt>
                <c:pt idx="168">
                  <c:v>11.547005383792516</c:v>
                </c:pt>
                <c:pt idx="169">
                  <c:v>11.547005383792516</c:v>
                </c:pt>
                <c:pt idx="170">
                  <c:v>11.547005383792516</c:v>
                </c:pt>
                <c:pt idx="171">
                  <c:v>11.547005383792516</c:v>
                </c:pt>
                <c:pt idx="172">
                  <c:v>11.547005383792516</c:v>
                </c:pt>
                <c:pt idx="173">
                  <c:v>11.547005383792516</c:v>
                </c:pt>
                <c:pt idx="174">
                  <c:v>11.547005383792516</c:v>
                </c:pt>
                <c:pt idx="175">
                  <c:v>11.547005383792516</c:v>
                </c:pt>
                <c:pt idx="176">
                  <c:v>11.547005383792516</c:v>
                </c:pt>
                <c:pt idx="177">
                  <c:v>11.547005383792516</c:v>
                </c:pt>
                <c:pt idx="178">
                  <c:v>11.547005383792516</c:v>
                </c:pt>
                <c:pt idx="179">
                  <c:v>11.547005383792516</c:v>
                </c:pt>
                <c:pt idx="180">
                  <c:v>11.547005383792516</c:v>
                </c:pt>
                <c:pt idx="181">
                  <c:v>11.547005383792516</c:v>
                </c:pt>
                <c:pt idx="182">
                  <c:v>11.547005383792516</c:v>
                </c:pt>
                <c:pt idx="183">
                  <c:v>11.547005383792516</c:v>
                </c:pt>
                <c:pt idx="184">
                  <c:v>11.547005383792516</c:v>
                </c:pt>
                <c:pt idx="185">
                  <c:v>11.547005383792516</c:v>
                </c:pt>
                <c:pt idx="186">
                  <c:v>11.547005383792516</c:v>
                </c:pt>
                <c:pt idx="187">
                  <c:v>11.547005383792516</c:v>
                </c:pt>
                <c:pt idx="188">
                  <c:v>11.547005383792516</c:v>
                </c:pt>
                <c:pt idx="189">
                  <c:v>11.547005383792516</c:v>
                </c:pt>
                <c:pt idx="190">
                  <c:v>11.547005383792516</c:v>
                </c:pt>
                <c:pt idx="191">
                  <c:v>11.547005383792516</c:v>
                </c:pt>
                <c:pt idx="192">
                  <c:v>11.547005383792516</c:v>
                </c:pt>
                <c:pt idx="193">
                  <c:v>11.547005383792516</c:v>
                </c:pt>
                <c:pt idx="194">
                  <c:v>11.547005383792516</c:v>
                </c:pt>
                <c:pt idx="195">
                  <c:v>11.547005383792516</c:v>
                </c:pt>
                <c:pt idx="196">
                  <c:v>11.547005383792516</c:v>
                </c:pt>
                <c:pt idx="197">
                  <c:v>11.547005383792516</c:v>
                </c:pt>
                <c:pt idx="198">
                  <c:v>11.547005383792516</c:v>
                </c:pt>
                <c:pt idx="199">
                  <c:v>11.547005383792516</c:v>
                </c:pt>
                <c:pt idx="200">
                  <c:v>11.547005383792516</c:v>
                </c:pt>
                <c:pt idx="201">
                  <c:v>11.547005383792516</c:v>
                </c:pt>
                <c:pt idx="202">
                  <c:v>11.547005383792516</c:v>
                </c:pt>
                <c:pt idx="203">
                  <c:v>11.547005383792516</c:v>
                </c:pt>
              </c:numCache>
            </c:numRef>
          </c:xVal>
          <c:yVal>
            <c:numRef>
              <c:f>'Fractal map'!$A$8:$A$211</c:f>
              <c:numCache>
                <c:formatCode>General</c:formatCode>
                <c:ptCount val="204"/>
                <c:pt idx="0">
                  <c:v>7</c:v>
                </c:pt>
                <c:pt idx="1">
                  <c:v>6.95</c:v>
                </c:pt>
                <c:pt idx="2">
                  <c:v>6.8996138613861389</c:v>
                </c:pt>
                <c:pt idx="3">
                  <c:v>6.848841584158416</c:v>
                </c:pt>
                <c:pt idx="4">
                  <c:v>6.7976831683168317</c:v>
                </c:pt>
                <c:pt idx="5">
                  <c:v>6.7461386138613859</c:v>
                </c:pt>
                <c:pt idx="6">
                  <c:v>6.6942079207920795</c:v>
                </c:pt>
                <c:pt idx="7">
                  <c:v>6.6418910891089107</c:v>
                </c:pt>
                <c:pt idx="8">
                  <c:v>6.5891881188118813</c:v>
                </c:pt>
                <c:pt idx="9">
                  <c:v>6.5360990099009904</c:v>
                </c:pt>
                <c:pt idx="10">
                  <c:v>6.4826237623762379</c:v>
                </c:pt>
                <c:pt idx="11">
                  <c:v>6.428762376237624</c:v>
                </c:pt>
                <c:pt idx="12">
                  <c:v>6.3745148514851486</c:v>
                </c:pt>
                <c:pt idx="13">
                  <c:v>6.3198811881188117</c:v>
                </c:pt>
                <c:pt idx="14">
                  <c:v>6.2648613861386142</c:v>
                </c:pt>
                <c:pt idx="15">
                  <c:v>6.2094554455445543</c:v>
                </c:pt>
                <c:pt idx="16">
                  <c:v>6.1536633663366338</c:v>
                </c:pt>
                <c:pt idx="17">
                  <c:v>6.0974851485148518</c:v>
                </c:pt>
                <c:pt idx="18">
                  <c:v>6.0409207920792083</c:v>
                </c:pt>
                <c:pt idx="19">
                  <c:v>5.9839702970297033</c:v>
                </c:pt>
                <c:pt idx="20">
                  <c:v>5.9266336633663368</c:v>
                </c:pt>
                <c:pt idx="21">
                  <c:v>5.8689108910891088</c:v>
                </c:pt>
                <c:pt idx="22">
                  <c:v>5.8108019801980202</c:v>
                </c:pt>
                <c:pt idx="23">
                  <c:v>5.7523069306930692</c:v>
                </c:pt>
                <c:pt idx="24">
                  <c:v>5.6934257425742576</c:v>
                </c:pt>
                <c:pt idx="25">
                  <c:v>5.6341584158415845</c:v>
                </c:pt>
                <c:pt idx="26">
                  <c:v>5.574504950495049</c:v>
                </c:pt>
                <c:pt idx="27">
                  <c:v>5.5144653465346529</c:v>
                </c:pt>
                <c:pt idx="28">
                  <c:v>5.4540396039603962</c:v>
                </c:pt>
                <c:pt idx="29">
                  <c:v>5.3932277227722771</c:v>
                </c:pt>
                <c:pt idx="30">
                  <c:v>5.3320297029702974</c:v>
                </c:pt>
                <c:pt idx="31">
                  <c:v>5.2704455445544554</c:v>
                </c:pt>
                <c:pt idx="32">
                  <c:v>5.2084752475247527</c:v>
                </c:pt>
                <c:pt idx="33">
                  <c:v>5.1461188118811876</c:v>
                </c:pt>
                <c:pt idx="34">
                  <c:v>5.0833762376237619</c:v>
                </c:pt>
                <c:pt idx="35">
                  <c:v>5.0202475247524756</c:v>
                </c:pt>
                <c:pt idx="36">
                  <c:v>4.9567326732673269</c:v>
                </c:pt>
                <c:pt idx="37">
                  <c:v>4.8928316831683167</c:v>
                </c:pt>
                <c:pt idx="38">
                  <c:v>4.8285445544554459</c:v>
                </c:pt>
                <c:pt idx="39">
                  <c:v>4.7638712871287128</c:v>
                </c:pt>
                <c:pt idx="40">
                  <c:v>4.698811881188119</c:v>
                </c:pt>
                <c:pt idx="41">
                  <c:v>4.6333663366336637</c:v>
                </c:pt>
                <c:pt idx="42">
                  <c:v>4.5675346534653469</c:v>
                </c:pt>
                <c:pt idx="43">
                  <c:v>4.5013168316831687</c:v>
                </c:pt>
                <c:pt idx="44">
                  <c:v>4.4347128712871289</c:v>
                </c:pt>
                <c:pt idx="45">
                  <c:v>4.3677227722772276</c:v>
                </c:pt>
                <c:pt idx="46">
                  <c:v>4.3003465346534657</c:v>
                </c:pt>
                <c:pt idx="47">
                  <c:v>4.2325841584158415</c:v>
                </c:pt>
                <c:pt idx="48">
                  <c:v>4.1644356435643566</c:v>
                </c:pt>
                <c:pt idx="49">
                  <c:v>4.0959009900990102</c:v>
                </c:pt>
                <c:pt idx="50">
                  <c:v>4.0269801980198023</c:v>
                </c:pt>
                <c:pt idx="51">
                  <c:v>3.957673267326733</c:v>
                </c:pt>
                <c:pt idx="52">
                  <c:v>3.8879801980198021</c:v>
                </c:pt>
                <c:pt idx="53">
                  <c:v>3.8179009900990102</c:v>
                </c:pt>
                <c:pt idx="54">
                  <c:v>3.7474356435643568</c:v>
                </c:pt>
                <c:pt idx="55">
                  <c:v>3.6765841584158419</c:v>
                </c:pt>
                <c:pt idx="56">
                  <c:v>3.6053465346534654</c:v>
                </c:pt>
                <c:pt idx="57">
                  <c:v>3.533722772277228</c:v>
                </c:pt>
                <c:pt idx="58">
                  <c:v>3.461712871287129</c:v>
                </c:pt>
                <c:pt idx="59">
                  <c:v>3.3893168316831686</c:v>
                </c:pt>
                <c:pt idx="60">
                  <c:v>3.3165346534653466</c:v>
                </c:pt>
                <c:pt idx="61">
                  <c:v>3.2433663366336636</c:v>
                </c:pt>
                <c:pt idx="62">
                  <c:v>3.1698118811881191</c:v>
                </c:pt>
                <c:pt idx="63">
                  <c:v>3.0958712871287131</c:v>
                </c:pt>
                <c:pt idx="64">
                  <c:v>3.0215445544554456</c:v>
                </c:pt>
                <c:pt idx="65">
                  <c:v>2.946831683168317</c:v>
                </c:pt>
                <c:pt idx="66">
                  <c:v>2.871732673267327</c:v>
                </c:pt>
                <c:pt idx="67">
                  <c:v>2.7962475247524754</c:v>
                </c:pt>
                <c:pt idx="68">
                  <c:v>2.7203762376237623</c:v>
                </c:pt>
                <c:pt idx="69">
                  <c:v>2.6441188118811878</c:v>
                </c:pt>
                <c:pt idx="70">
                  <c:v>2.5674752475247526</c:v>
                </c:pt>
                <c:pt idx="71">
                  <c:v>2.4904455445544551</c:v>
                </c:pt>
                <c:pt idx="72">
                  <c:v>2.413029702970297</c:v>
                </c:pt>
                <c:pt idx="73">
                  <c:v>2.3352277227722773</c:v>
                </c:pt>
                <c:pt idx="74">
                  <c:v>2.2570396039603962</c:v>
                </c:pt>
                <c:pt idx="75">
                  <c:v>2.1784653465346535</c:v>
                </c:pt>
                <c:pt idx="76">
                  <c:v>2.0995049504950494</c:v>
                </c:pt>
                <c:pt idx="77">
                  <c:v>2.0201584158415837</c:v>
                </c:pt>
                <c:pt idx="78">
                  <c:v>1.9404257425742575</c:v>
                </c:pt>
                <c:pt idx="79">
                  <c:v>1.8603069306930688</c:v>
                </c:pt>
                <c:pt idx="80">
                  <c:v>1.7798019801980196</c:v>
                </c:pt>
                <c:pt idx="81">
                  <c:v>1.6989108910891089</c:v>
                </c:pt>
                <c:pt idx="82">
                  <c:v>1.6176336633663366</c:v>
                </c:pt>
                <c:pt idx="83">
                  <c:v>1.5359702970297029</c:v>
                </c:pt>
                <c:pt idx="84">
                  <c:v>1.4539207920792077</c:v>
                </c:pt>
                <c:pt idx="85">
                  <c:v>1.3714851485148509</c:v>
                </c:pt>
                <c:pt idx="86">
                  <c:v>1.2886633663366336</c:v>
                </c:pt>
                <c:pt idx="87">
                  <c:v>1.2054554455445539</c:v>
                </c:pt>
                <c:pt idx="88">
                  <c:v>1.1218613861386135</c:v>
                </c:pt>
                <c:pt idx="89">
                  <c:v>1.0378811881188117</c:v>
                </c:pt>
                <c:pt idx="90">
                  <c:v>0.95351485148514836</c:v>
                </c:pt>
                <c:pt idx="91">
                  <c:v>0.86876237623762353</c:v>
                </c:pt>
                <c:pt idx="92">
                  <c:v>0.78362376237623721</c:v>
                </c:pt>
                <c:pt idx="93">
                  <c:v>0.69809900990098939</c:v>
                </c:pt>
                <c:pt idx="94">
                  <c:v>0.61218811881188184</c:v>
                </c:pt>
                <c:pt idx="95">
                  <c:v>0.52589108910891191</c:v>
                </c:pt>
                <c:pt idx="96">
                  <c:v>0.43920792079208049</c:v>
                </c:pt>
                <c:pt idx="97">
                  <c:v>0.35213861386138667</c:v>
                </c:pt>
                <c:pt idx="98">
                  <c:v>0.26468316831683225</c:v>
                </c:pt>
                <c:pt idx="99">
                  <c:v>0.17684158415841633</c:v>
                </c:pt>
                <c:pt idx="100">
                  <c:v>8.8613861386139803E-2</c:v>
                </c:pt>
                <c:pt idx="101">
                  <c:v>0</c:v>
                </c:pt>
                <c:pt idx="103">
                  <c:v>-2.7500000000000004</c:v>
                </c:pt>
                <c:pt idx="104">
                  <c:v>-2.7004455445544555</c:v>
                </c:pt>
                <c:pt idx="105">
                  <c:v>-2.6513366336633668</c:v>
                </c:pt>
                <c:pt idx="106">
                  <c:v>-2.602673267326733</c:v>
                </c:pt>
                <c:pt idx="107">
                  <c:v>-2.5544554455445549</c:v>
                </c:pt>
                <c:pt idx="108">
                  <c:v>-2.5066831683168318</c:v>
                </c:pt>
                <c:pt idx="109">
                  <c:v>-2.4593564356435644</c:v>
                </c:pt>
                <c:pt idx="110">
                  <c:v>-2.4124752475247528</c:v>
                </c:pt>
                <c:pt idx="111">
                  <c:v>-2.3660396039603961</c:v>
                </c:pt>
                <c:pt idx="112">
                  <c:v>-2.3200495049504952</c:v>
                </c:pt>
                <c:pt idx="113">
                  <c:v>-2.2745049504950496</c:v>
                </c:pt>
                <c:pt idx="114">
                  <c:v>-2.2294059405940594</c:v>
                </c:pt>
                <c:pt idx="115">
                  <c:v>-2.1847524752475249</c:v>
                </c:pt>
                <c:pt idx="116">
                  <c:v>-2.1405445544554458</c:v>
                </c:pt>
                <c:pt idx="117">
                  <c:v>-2.096782178217822</c:v>
                </c:pt>
                <c:pt idx="118">
                  <c:v>-2.0534653465346535</c:v>
                </c:pt>
                <c:pt idx="119">
                  <c:v>-2.0105940594059408</c:v>
                </c:pt>
                <c:pt idx="120">
                  <c:v>-1.9681683168316835</c:v>
                </c:pt>
                <c:pt idx="121">
                  <c:v>-1.9261881188118815</c:v>
                </c:pt>
                <c:pt idx="122">
                  <c:v>-1.884653465346535</c:v>
                </c:pt>
                <c:pt idx="123">
                  <c:v>-1.8435643564356439</c:v>
                </c:pt>
                <c:pt idx="124">
                  <c:v>-1.8029207920792083</c:v>
                </c:pt>
                <c:pt idx="125">
                  <c:v>-1.7627227722772281</c:v>
                </c:pt>
                <c:pt idx="126">
                  <c:v>-1.7229702970297032</c:v>
                </c:pt>
                <c:pt idx="127">
                  <c:v>-1.683663366336634</c:v>
                </c:pt>
                <c:pt idx="128">
                  <c:v>-1.64480198019802</c:v>
                </c:pt>
                <c:pt idx="129">
                  <c:v>-1.6063861386138616</c:v>
                </c:pt>
                <c:pt idx="130">
                  <c:v>-1.5684158415841585</c:v>
                </c:pt>
                <c:pt idx="131">
                  <c:v>-1.5308910891089111</c:v>
                </c:pt>
                <c:pt idx="132">
                  <c:v>-1.4938118811881189</c:v>
                </c:pt>
                <c:pt idx="133">
                  <c:v>-1.4571782178217823</c:v>
                </c:pt>
                <c:pt idx="134">
                  <c:v>-1.4209900990099011</c:v>
                </c:pt>
                <c:pt idx="135">
                  <c:v>-1.3852475247524754</c:v>
                </c:pt>
                <c:pt idx="136">
                  <c:v>-1.3499504950495052</c:v>
                </c:pt>
                <c:pt idx="137">
                  <c:v>-1.3150990099009903</c:v>
                </c:pt>
                <c:pt idx="138">
                  <c:v>-1.2806930693069309</c:v>
                </c:pt>
                <c:pt idx="139">
                  <c:v>-1.246732673267327</c:v>
                </c:pt>
                <c:pt idx="140">
                  <c:v>-1.2132178217821783</c:v>
                </c:pt>
                <c:pt idx="141">
                  <c:v>-1.1801485148514854</c:v>
                </c:pt>
                <c:pt idx="142">
                  <c:v>-1.1475247524752477</c:v>
                </c:pt>
                <c:pt idx="143">
                  <c:v>-1.1153465346534654</c:v>
                </c:pt>
                <c:pt idx="144">
                  <c:v>-1.0836138613861388</c:v>
                </c:pt>
                <c:pt idx="145">
                  <c:v>-1.0523267326732675</c:v>
                </c:pt>
                <c:pt idx="146">
                  <c:v>-1.0214851485148517</c:v>
                </c:pt>
                <c:pt idx="147">
                  <c:v>-0.9910891089108913</c:v>
                </c:pt>
                <c:pt idx="148">
                  <c:v>-0.96113861386138644</c:v>
                </c:pt>
                <c:pt idx="149">
                  <c:v>-0.93163366336633691</c:v>
                </c:pt>
                <c:pt idx="150">
                  <c:v>-0.90257425742574293</c:v>
                </c:pt>
                <c:pt idx="151">
                  <c:v>-0.87396039603960429</c:v>
                </c:pt>
                <c:pt idx="152">
                  <c:v>-0.84579207920792099</c:v>
                </c:pt>
                <c:pt idx="153">
                  <c:v>-0.81806930693069324</c:v>
                </c:pt>
                <c:pt idx="154">
                  <c:v>-0.79079207920792127</c:v>
                </c:pt>
                <c:pt idx="155">
                  <c:v>-0.76396039603960419</c:v>
                </c:pt>
                <c:pt idx="156">
                  <c:v>-0.7375742574257429</c:v>
                </c:pt>
                <c:pt idx="157">
                  <c:v>-0.71163366336633693</c:v>
                </c:pt>
                <c:pt idx="158">
                  <c:v>-0.6861386138613863</c:v>
                </c:pt>
                <c:pt idx="159">
                  <c:v>-0.66108910891089145</c:v>
                </c:pt>
                <c:pt idx="160">
                  <c:v>-0.63648514851485194</c:v>
                </c:pt>
                <c:pt idx="161">
                  <c:v>-0.61232673267326776</c:v>
                </c:pt>
                <c:pt idx="162">
                  <c:v>-0.58861386138613847</c:v>
                </c:pt>
                <c:pt idx="163">
                  <c:v>-0.5653465346534654</c:v>
                </c:pt>
                <c:pt idx="164">
                  <c:v>-0.54252475247524767</c:v>
                </c:pt>
                <c:pt idx="165">
                  <c:v>-0.52014851485148528</c:v>
                </c:pt>
                <c:pt idx="166">
                  <c:v>-0.49821782178217822</c:v>
                </c:pt>
                <c:pt idx="167">
                  <c:v>-0.47673267326732693</c:v>
                </c:pt>
                <c:pt idx="168">
                  <c:v>-0.45569306930693054</c:v>
                </c:pt>
                <c:pt idx="169">
                  <c:v>-0.43509900990098993</c:v>
                </c:pt>
                <c:pt idx="170">
                  <c:v>-0.4149504950495051</c:v>
                </c:pt>
                <c:pt idx="171">
                  <c:v>-0.39524752475247515</c:v>
                </c:pt>
                <c:pt idx="172">
                  <c:v>-0.37599009900990099</c:v>
                </c:pt>
                <c:pt idx="173">
                  <c:v>-0.35717821782178216</c:v>
                </c:pt>
                <c:pt idx="174">
                  <c:v>-0.33881188118811911</c:v>
                </c:pt>
                <c:pt idx="175">
                  <c:v>-0.32089108910891095</c:v>
                </c:pt>
                <c:pt idx="176">
                  <c:v>-0.30341584158415857</c:v>
                </c:pt>
                <c:pt idx="177">
                  <c:v>-0.28638613861386153</c:v>
                </c:pt>
                <c:pt idx="178">
                  <c:v>-0.26980198019801982</c:v>
                </c:pt>
                <c:pt idx="179">
                  <c:v>-0.25366336633663389</c:v>
                </c:pt>
                <c:pt idx="180">
                  <c:v>-0.23797029702970329</c:v>
                </c:pt>
                <c:pt idx="181">
                  <c:v>-0.22272277227722803</c:v>
                </c:pt>
                <c:pt idx="182">
                  <c:v>-0.20792079207920811</c:v>
                </c:pt>
                <c:pt idx="183">
                  <c:v>-0.19356435643564396</c:v>
                </c:pt>
                <c:pt idx="184">
                  <c:v>-0.1796534653465347</c:v>
                </c:pt>
                <c:pt idx="185">
                  <c:v>-0.16618811881188122</c:v>
                </c:pt>
                <c:pt idx="186">
                  <c:v>-0.15316831683168353</c:v>
                </c:pt>
                <c:pt idx="187">
                  <c:v>-0.14059405940594072</c:v>
                </c:pt>
                <c:pt idx="188">
                  <c:v>-0.12846534653465369</c:v>
                </c:pt>
                <c:pt idx="189">
                  <c:v>-0.116782178217822</c:v>
                </c:pt>
                <c:pt idx="190">
                  <c:v>-0.10554455445544564</c:v>
                </c:pt>
                <c:pt idx="191">
                  <c:v>-9.4752475247525059E-2</c:v>
                </c:pt>
                <c:pt idx="192">
                  <c:v>-8.4405940594059814E-2</c:v>
                </c:pt>
                <c:pt idx="193">
                  <c:v>-7.4504950495049904E-2</c:v>
                </c:pt>
                <c:pt idx="194">
                  <c:v>-6.5049504950495329E-2</c:v>
                </c:pt>
                <c:pt idx="195">
                  <c:v>-5.6039603960396533E-2</c:v>
                </c:pt>
                <c:pt idx="196">
                  <c:v>-4.7475247524753073E-2</c:v>
                </c:pt>
                <c:pt idx="197">
                  <c:v>-3.9356435643564947E-2</c:v>
                </c:pt>
                <c:pt idx="198">
                  <c:v>-3.1683168316832155E-2</c:v>
                </c:pt>
                <c:pt idx="199">
                  <c:v>-2.4455445544555143E-2</c:v>
                </c:pt>
                <c:pt idx="200">
                  <c:v>-1.7673267326733022E-2</c:v>
                </c:pt>
                <c:pt idx="201">
                  <c:v>-1.133663366336668E-2</c:v>
                </c:pt>
                <c:pt idx="202">
                  <c:v>-5.4455445544556724E-3</c:v>
                </c:pt>
                <c:pt idx="2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E3-9746-A47B-9EA913EAEE6B}"/>
            </c:ext>
          </c:extLst>
        </c:ser>
        <c:ser>
          <c:idx val="5"/>
          <c:order val="2"/>
          <c:tx>
            <c:strRef>
              <c:f>'Fractal map'!$F$2</c:f>
              <c:strCache>
                <c:ptCount val="1"/>
                <c:pt idx="0">
                  <c:v>Cross section, cm2</c:v>
                </c:pt>
              </c:strCache>
            </c:strRef>
          </c:tx>
          <c:marker>
            <c:symbol val="none"/>
          </c:marker>
          <c:xVal>
            <c:numRef>
              <c:f>'Fractal map'!$F$8:$F$211</c:f>
              <c:numCache>
                <c:formatCode>General</c:formatCode>
                <c:ptCount val="204"/>
                <c:pt idx="0">
                  <c:v>0.19635</c:v>
                </c:pt>
                <c:pt idx="1">
                  <c:v>0.24227114541560432</c:v>
                </c:pt>
                <c:pt idx="2">
                  <c:v>0.29893204940661544</c:v>
                </c:pt>
                <c:pt idx="3">
                  <c:v>0.36884446147784439</c:v>
                </c:pt>
                <c:pt idx="4">
                  <c:v>0.45510756385250389</c:v>
                </c:pt>
                <c:pt idx="5">
                  <c:v>0.56154535666845662</c:v>
                </c:pt>
                <c:pt idx="6">
                  <c:v>0.69287617398971757</c:v>
                </c:pt>
                <c:pt idx="7">
                  <c:v>0.85492184519312719</c:v>
                </c:pt>
                <c:pt idx="8">
                  <c:v>1.0548657737497373</c:v>
                </c:pt>
                <c:pt idx="9">
                  <c:v>1.3015713739040828</c:v>
                </c:pt>
                <c:pt idx="10">
                  <c:v>1.6059749813898856</c:v>
                </c:pt>
                <c:pt idx="11">
                  <c:v>1.981570655717503</c:v>
                </c:pt>
                <c:pt idx="12">
                  <c:v>2.4450083650757808</c:v>
                </c:pt>
                <c:pt idx="13">
                  <c:v>3.0168320710855294</c:v>
                </c:pt>
                <c:pt idx="14">
                  <c:v>3.7223904323321677</c:v>
                </c:pt>
                <c:pt idx="15">
                  <c:v>4.5929604977091989</c:v>
                </c:pt>
                <c:pt idx="16">
                  <c:v>5.667134202335788</c:v>
                </c:pt>
                <c:pt idx="17">
                  <c:v>6.9925291287183038</c:v>
                </c:pt>
                <c:pt idx="18">
                  <c:v>8.6278993703415399</c:v>
                </c:pt>
                <c:pt idx="19">
                  <c:v>10.645740071215775</c:v>
                </c:pt>
                <c:pt idx="20">
                  <c:v>13.135501099313696</c:v>
                </c:pt>
                <c:pt idx="21">
                  <c:v>16.20755231443168</c:v>
                </c:pt>
                <c:pt idx="22">
                  <c:v>19.998076208814332</c:v>
                </c:pt>
                <c:pt idx="23">
                  <c:v>24.675104808851497</c:v>
                </c:pt>
                <c:pt idx="24">
                  <c:v>30.445968450677576</c:v>
                </c:pt>
                <c:pt idx="25">
                  <c:v>37.566486630165578</c:v>
                </c:pt>
                <c:pt idx="26">
                  <c:v>46.352308353095012</c:v>
                </c:pt>
                <c:pt idx="27">
                  <c:v>57.192904697538118</c:v>
                </c:pt>
                <c:pt idx="28">
                  <c:v>70.568833871749746</c:v>
                </c:pt>
                <c:pt idx="29">
                  <c:v>87.073044118932074</c:v>
                </c:pt>
                <c:pt idx="30">
                  <c:v>107.43715881597728</c:v>
                </c:pt>
                <c:pt idx="31">
                  <c:v>132.56390897145414</c:v>
                </c:pt>
                <c:pt idx="32">
                  <c:v>163.56715083923646</c:v>
                </c:pt>
                <c:pt idx="33">
                  <c:v>201.82124260854991</c:v>
                </c:pt>
                <c:pt idx="34">
                  <c:v>249.02196901438228</c:v>
                </c:pt>
                <c:pt idx="35">
                  <c:v>307.26171462573757</c:v>
                </c:pt>
                <c:pt idx="36">
                  <c:v>314.15999999999946</c:v>
                </c:pt>
                <c:pt idx="37">
                  <c:v>314.15999999999946</c:v>
                </c:pt>
                <c:pt idx="38">
                  <c:v>314.15999999999946</c:v>
                </c:pt>
                <c:pt idx="39">
                  <c:v>314.15999999999946</c:v>
                </c:pt>
                <c:pt idx="40">
                  <c:v>314.15999999999946</c:v>
                </c:pt>
                <c:pt idx="41">
                  <c:v>314.15999999999946</c:v>
                </c:pt>
                <c:pt idx="42">
                  <c:v>314.15999999999946</c:v>
                </c:pt>
                <c:pt idx="43">
                  <c:v>314.15999999999946</c:v>
                </c:pt>
                <c:pt idx="44">
                  <c:v>314.15999999999946</c:v>
                </c:pt>
                <c:pt idx="45">
                  <c:v>314.15999999999946</c:v>
                </c:pt>
                <c:pt idx="46">
                  <c:v>314.15999999999946</c:v>
                </c:pt>
                <c:pt idx="47">
                  <c:v>314.15999999999946</c:v>
                </c:pt>
                <c:pt idx="48">
                  <c:v>314.15999999999946</c:v>
                </c:pt>
                <c:pt idx="49">
                  <c:v>314.15999999999946</c:v>
                </c:pt>
                <c:pt idx="50">
                  <c:v>314.15999999999946</c:v>
                </c:pt>
                <c:pt idx="51">
                  <c:v>314.15999999999946</c:v>
                </c:pt>
                <c:pt idx="52">
                  <c:v>314.15999999999946</c:v>
                </c:pt>
                <c:pt idx="53">
                  <c:v>314.15999999999946</c:v>
                </c:pt>
                <c:pt idx="54">
                  <c:v>314.15999999999946</c:v>
                </c:pt>
                <c:pt idx="55">
                  <c:v>314.15999999999946</c:v>
                </c:pt>
                <c:pt idx="56">
                  <c:v>314.15999999999946</c:v>
                </c:pt>
                <c:pt idx="57">
                  <c:v>314.15999999999946</c:v>
                </c:pt>
                <c:pt idx="58">
                  <c:v>314.15999999999946</c:v>
                </c:pt>
                <c:pt idx="59">
                  <c:v>314.15999999999946</c:v>
                </c:pt>
                <c:pt idx="60">
                  <c:v>314.15999999999946</c:v>
                </c:pt>
                <c:pt idx="61">
                  <c:v>314.15999999999946</c:v>
                </c:pt>
                <c:pt idx="62">
                  <c:v>314.15999999999946</c:v>
                </c:pt>
                <c:pt idx="63">
                  <c:v>314.15999999999946</c:v>
                </c:pt>
                <c:pt idx="64">
                  <c:v>314.15999999999946</c:v>
                </c:pt>
                <c:pt idx="65">
                  <c:v>314.15999999999946</c:v>
                </c:pt>
                <c:pt idx="66">
                  <c:v>314.15999999999946</c:v>
                </c:pt>
                <c:pt idx="67">
                  <c:v>314.15999999999946</c:v>
                </c:pt>
                <c:pt idx="68">
                  <c:v>314.15999999999946</c:v>
                </c:pt>
                <c:pt idx="69">
                  <c:v>314.15999999999946</c:v>
                </c:pt>
                <c:pt idx="70">
                  <c:v>314.15999999999946</c:v>
                </c:pt>
                <c:pt idx="71">
                  <c:v>314.15999999999946</c:v>
                </c:pt>
                <c:pt idx="72">
                  <c:v>314.15999999999946</c:v>
                </c:pt>
                <c:pt idx="73">
                  <c:v>314.15999999999946</c:v>
                </c:pt>
                <c:pt idx="74">
                  <c:v>314.15999999999946</c:v>
                </c:pt>
                <c:pt idx="75">
                  <c:v>314.15999999999946</c:v>
                </c:pt>
                <c:pt idx="76">
                  <c:v>314.15999999999946</c:v>
                </c:pt>
                <c:pt idx="77">
                  <c:v>314.15999999999946</c:v>
                </c:pt>
                <c:pt idx="78">
                  <c:v>314.15999999999946</c:v>
                </c:pt>
                <c:pt idx="79">
                  <c:v>314.15999999999946</c:v>
                </c:pt>
                <c:pt idx="80">
                  <c:v>314.15999999999946</c:v>
                </c:pt>
                <c:pt idx="81">
                  <c:v>314.15999999999946</c:v>
                </c:pt>
                <c:pt idx="82">
                  <c:v>314.15999999999946</c:v>
                </c:pt>
                <c:pt idx="83">
                  <c:v>314.15999999999946</c:v>
                </c:pt>
                <c:pt idx="84">
                  <c:v>314.15999999999946</c:v>
                </c:pt>
                <c:pt idx="85">
                  <c:v>314.15999999999946</c:v>
                </c:pt>
                <c:pt idx="86">
                  <c:v>314.15999999999946</c:v>
                </c:pt>
                <c:pt idx="87">
                  <c:v>314.15999999999946</c:v>
                </c:pt>
                <c:pt idx="88">
                  <c:v>314.15999999999946</c:v>
                </c:pt>
                <c:pt idx="89">
                  <c:v>314.15999999999946</c:v>
                </c:pt>
                <c:pt idx="90">
                  <c:v>314.15999999999946</c:v>
                </c:pt>
                <c:pt idx="91">
                  <c:v>314.15999999999946</c:v>
                </c:pt>
                <c:pt idx="92">
                  <c:v>314.15999999999946</c:v>
                </c:pt>
                <c:pt idx="93">
                  <c:v>314.15999999999946</c:v>
                </c:pt>
                <c:pt idx="94">
                  <c:v>314.15999999999946</c:v>
                </c:pt>
                <c:pt idx="95">
                  <c:v>314.15999999999946</c:v>
                </c:pt>
                <c:pt idx="96">
                  <c:v>314.15999999999946</c:v>
                </c:pt>
                <c:pt idx="97">
                  <c:v>314.15999999999946</c:v>
                </c:pt>
                <c:pt idx="98">
                  <c:v>314.15999999999946</c:v>
                </c:pt>
                <c:pt idx="99">
                  <c:v>314.15999999999946</c:v>
                </c:pt>
                <c:pt idx="100">
                  <c:v>314.15999999999946</c:v>
                </c:pt>
                <c:pt idx="101">
                  <c:v>314.15999999999946</c:v>
                </c:pt>
                <c:pt idx="103">
                  <c:v>2.3562E-2</c:v>
                </c:pt>
                <c:pt idx="104">
                  <c:v>4.0630246366897375E-2</c:v>
                </c:pt>
                <c:pt idx="105">
                  <c:v>7.0062682278022995E-2</c:v>
                </c:pt>
                <c:pt idx="106">
                  <c:v>0.12081589177836044</c:v>
                </c:pt>
                <c:pt idx="107">
                  <c:v>0.20833458314197426</c:v>
                </c:pt>
                <c:pt idx="108">
                  <c:v>0.35925156777027739</c:v>
                </c:pt>
                <c:pt idx="109">
                  <c:v>0.61949239055260574</c:v>
                </c:pt>
                <c:pt idx="110">
                  <c:v>1.0682509316089712</c:v>
                </c:pt>
                <c:pt idx="111">
                  <c:v>1.8420888945310314</c:v>
                </c:pt>
                <c:pt idx="112">
                  <c:v>3.1764928959562626</c:v>
                </c:pt>
                <c:pt idx="113">
                  <c:v>5.4775353936593776</c:v>
                </c:pt>
                <c:pt idx="114">
                  <c:v>9.4454465889050425</c:v>
                </c:pt>
                <c:pt idx="115">
                  <c:v>16.287701466453711</c:v>
                </c:pt>
                <c:pt idx="116">
                  <c:v>28.086466485548364</c:v>
                </c:pt>
                <c:pt idx="117">
                  <c:v>48.432223617835291</c:v>
                </c:pt>
                <c:pt idx="118">
                  <c:v>83.516389851851031</c:v>
                </c:pt>
                <c:pt idx="119">
                  <c:v>144.01542718591617</c:v>
                </c:pt>
                <c:pt idx="120">
                  <c:v>248.33979658763008</c:v>
                </c:pt>
                <c:pt idx="121">
                  <c:v>314.16000000000008</c:v>
                </c:pt>
                <c:pt idx="122">
                  <c:v>314.16000000000008</c:v>
                </c:pt>
                <c:pt idx="123">
                  <c:v>314.16000000000008</c:v>
                </c:pt>
                <c:pt idx="124">
                  <c:v>314.16000000000008</c:v>
                </c:pt>
                <c:pt idx="125">
                  <c:v>314.16000000000008</c:v>
                </c:pt>
                <c:pt idx="126">
                  <c:v>314.16000000000008</c:v>
                </c:pt>
                <c:pt idx="127">
                  <c:v>314.16000000000008</c:v>
                </c:pt>
                <c:pt idx="128">
                  <c:v>314.16000000000008</c:v>
                </c:pt>
                <c:pt idx="129">
                  <c:v>314.16000000000008</c:v>
                </c:pt>
                <c:pt idx="130">
                  <c:v>314.16000000000008</c:v>
                </c:pt>
                <c:pt idx="131">
                  <c:v>314.16000000000008</c:v>
                </c:pt>
                <c:pt idx="132">
                  <c:v>314.16000000000008</c:v>
                </c:pt>
                <c:pt idx="133">
                  <c:v>314.16000000000008</c:v>
                </c:pt>
                <c:pt idx="134">
                  <c:v>314.16000000000008</c:v>
                </c:pt>
                <c:pt idx="135">
                  <c:v>314.16000000000008</c:v>
                </c:pt>
                <c:pt idx="136">
                  <c:v>314.16000000000008</c:v>
                </c:pt>
                <c:pt idx="137">
                  <c:v>314.16000000000008</c:v>
                </c:pt>
                <c:pt idx="138">
                  <c:v>314.16000000000008</c:v>
                </c:pt>
                <c:pt idx="139">
                  <c:v>314.16000000000008</c:v>
                </c:pt>
                <c:pt idx="140">
                  <c:v>314.16000000000008</c:v>
                </c:pt>
                <c:pt idx="141">
                  <c:v>314.16000000000008</c:v>
                </c:pt>
                <c:pt idx="142">
                  <c:v>314.16000000000008</c:v>
                </c:pt>
                <c:pt idx="143">
                  <c:v>314.16000000000008</c:v>
                </c:pt>
                <c:pt idx="144">
                  <c:v>314.16000000000008</c:v>
                </c:pt>
                <c:pt idx="145">
                  <c:v>314.16000000000008</c:v>
                </c:pt>
                <c:pt idx="146">
                  <c:v>314.16000000000008</c:v>
                </c:pt>
                <c:pt idx="147">
                  <c:v>314.16000000000008</c:v>
                </c:pt>
                <c:pt idx="148">
                  <c:v>314.16000000000008</c:v>
                </c:pt>
                <c:pt idx="149">
                  <c:v>314.16000000000008</c:v>
                </c:pt>
                <c:pt idx="150">
                  <c:v>314.16000000000008</c:v>
                </c:pt>
                <c:pt idx="151">
                  <c:v>314.16000000000008</c:v>
                </c:pt>
                <c:pt idx="152">
                  <c:v>314.16000000000008</c:v>
                </c:pt>
                <c:pt idx="153">
                  <c:v>314.16000000000008</c:v>
                </c:pt>
                <c:pt idx="154">
                  <c:v>314.16000000000008</c:v>
                </c:pt>
                <c:pt idx="155">
                  <c:v>314.16000000000008</c:v>
                </c:pt>
                <c:pt idx="156">
                  <c:v>314.16000000000008</c:v>
                </c:pt>
                <c:pt idx="157">
                  <c:v>314.16000000000008</c:v>
                </c:pt>
                <c:pt idx="158">
                  <c:v>314.16000000000008</c:v>
                </c:pt>
                <c:pt idx="159">
                  <c:v>314.16000000000008</c:v>
                </c:pt>
                <c:pt idx="160">
                  <c:v>314.16000000000008</c:v>
                </c:pt>
                <c:pt idx="161">
                  <c:v>314.16000000000008</c:v>
                </c:pt>
                <c:pt idx="162">
                  <c:v>314.16000000000008</c:v>
                </c:pt>
                <c:pt idx="163">
                  <c:v>314.16000000000008</c:v>
                </c:pt>
                <c:pt idx="164">
                  <c:v>314.16000000000008</c:v>
                </c:pt>
                <c:pt idx="165">
                  <c:v>314.16000000000008</c:v>
                </c:pt>
                <c:pt idx="166">
                  <c:v>314.16000000000008</c:v>
                </c:pt>
                <c:pt idx="167">
                  <c:v>314.16000000000008</c:v>
                </c:pt>
                <c:pt idx="168">
                  <c:v>314.16000000000008</c:v>
                </c:pt>
                <c:pt idx="169">
                  <c:v>314.16000000000008</c:v>
                </c:pt>
                <c:pt idx="170">
                  <c:v>314.16000000000008</c:v>
                </c:pt>
                <c:pt idx="171">
                  <c:v>314.16000000000008</c:v>
                </c:pt>
                <c:pt idx="172">
                  <c:v>314.16000000000008</c:v>
                </c:pt>
                <c:pt idx="173">
                  <c:v>314.16000000000008</c:v>
                </c:pt>
                <c:pt idx="174">
                  <c:v>314.16000000000008</c:v>
                </c:pt>
                <c:pt idx="175">
                  <c:v>314.16000000000008</c:v>
                </c:pt>
                <c:pt idx="176">
                  <c:v>314.16000000000008</c:v>
                </c:pt>
                <c:pt idx="177">
                  <c:v>314.16000000000008</c:v>
                </c:pt>
                <c:pt idx="178">
                  <c:v>314.16000000000008</c:v>
                </c:pt>
                <c:pt idx="179">
                  <c:v>314.16000000000008</c:v>
                </c:pt>
                <c:pt idx="180">
                  <c:v>314.16000000000008</c:v>
                </c:pt>
                <c:pt idx="181">
                  <c:v>314.16000000000008</c:v>
                </c:pt>
                <c:pt idx="182">
                  <c:v>314.16000000000008</c:v>
                </c:pt>
                <c:pt idx="183">
                  <c:v>314.16000000000008</c:v>
                </c:pt>
                <c:pt idx="184">
                  <c:v>314.16000000000008</c:v>
                </c:pt>
                <c:pt idx="185">
                  <c:v>314.16000000000008</c:v>
                </c:pt>
                <c:pt idx="186">
                  <c:v>314.16000000000008</c:v>
                </c:pt>
                <c:pt idx="187">
                  <c:v>314.16000000000008</c:v>
                </c:pt>
                <c:pt idx="188">
                  <c:v>314.16000000000008</c:v>
                </c:pt>
                <c:pt idx="189">
                  <c:v>314.16000000000008</c:v>
                </c:pt>
                <c:pt idx="190">
                  <c:v>314.16000000000008</c:v>
                </c:pt>
                <c:pt idx="191">
                  <c:v>314.16000000000008</c:v>
                </c:pt>
                <c:pt idx="192">
                  <c:v>314.16000000000008</c:v>
                </c:pt>
                <c:pt idx="193">
                  <c:v>314.16000000000008</c:v>
                </c:pt>
                <c:pt idx="194">
                  <c:v>314.16000000000008</c:v>
                </c:pt>
                <c:pt idx="195">
                  <c:v>314.16000000000008</c:v>
                </c:pt>
                <c:pt idx="196">
                  <c:v>314.16000000000008</c:v>
                </c:pt>
                <c:pt idx="197">
                  <c:v>314.16000000000008</c:v>
                </c:pt>
                <c:pt idx="198">
                  <c:v>314.16000000000008</c:v>
                </c:pt>
                <c:pt idx="199">
                  <c:v>314.16000000000008</c:v>
                </c:pt>
                <c:pt idx="200">
                  <c:v>314.16000000000008</c:v>
                </c:pt>
                <c:pt idx="201">
                  <c:v>314.16000000000008</c:v>
                </c:pt>
                <c:pt idx="202">
                  <c:v>314.16000000000008</c:v>
                </c:pt>
                <c:pt idx="203">
                  <c:v>314.16000000000008</c:v>
                </c:pt>
              </c:numCache>
            </c:numRef>
          </c:xVal>
          <c:yVal>
            <c:numRef>
              <c:f>'Fractal map'!$A$8:$A$211</c:f>
              <c:numCache>
                <c:formatCode>General</c:formatCode>
                <c:ptCount val="204"/>
                <c:pt idx="0">
                  <c:v>7</c:v>
                </c:pt>
                <c:pt idx="1">
                  <c:v>6.95</c:v>
                </c:pt>
                <c:pt idx="2">
                  <c:v>6.8996138613861389</c:v>
                </c:pt>
                <c:pt idx="3">
                  <c:v>6.848841584158416</c:v>
                </c:pt>
                <c:pt idx="4">
                  <c:v>6.7976831683168317</c:v>
                </c:pt>
                <c:pt idx="5">
                  <c:v>6.7461386138613859</c:v>
                </c:pt>
                <c:pt idx="6">
                  <c:v>6.6942079207920795</c:v>
                </c:pt>
                <c:pt idx="7">
                  <c:v>6.6418910891089107</c:v>
                </c:pt>
                <c:pt idx="8">
                  <c:v>6.5891881188118813</c:v>
                </c:pt>
                <c:pt idx="9">
                  <c:v>6.5360990099009904</c:v>
                </c:pt>
                <c:pt idx="10">
                  <c:v>6.4826237623762379</c:v>
                </c:pt>
                <c:pt idx="11">
                  <c:v>6.428762376237624</c:v>
                </c:pt>
                <c:pt idx="12">
                  <c:v>6.3745148514851486</c:v>
                </c:pt>
                <c:pt idx="13">
                  <c:v>6.3198811881188117</c:v>
                </c:pt>
                <c:pt idx="14">
                  <c:v>6.2648613861386142</c:v>
                </c:pt>
                <c:pt idx="15">
                  <c:v>6.2094554455445543</c:v>
                </c:pt>
                <c:pt idx="16">
                  <c:v>6.1536633663366338</c:v>
                </c:pt>
                <c:pt idx="17">
                  <c:v>6.0974851485148518</c:v>
                </c:pt>
                <c:pt idx="18">
                  <c:v>6.0409207920792083</c:v>
                </c:pt>
                <c:pt idx="19">
                  <c:v>5.9839702970297033</c:v>
                </c:pt>
                <c:pt idx="20">
                  <c:v>5.9266336633663368</c:v>
                </c:pt>
                <c:pt idx="21">
                  <c:v>5.8689108910891088</c:v>
                </c:pt>
                <c:pt idx="22">
                  <c:v>5.8108019801980202</c:v>
                </c:pt>
                <c:pt idx="23">
                  <c:v>5.7523069306930692</c:v>
                </c:pt>
                <c:pt idx="24">
                  <c:v>5.6934257425742576</c:v>
                </c:pt>
                <c:pt idx="25">
                  <c:v>5.6341584158415845</c:v>
                </c:pt>
                <c:pt idx="26">
                  <c:v>5.574504950495049</c:v>
                </c:pt>
                <c:pt idx="27">
                  <c:v>5.5144653465346529</c:v>
                </c:pt>
                <c:pt idx="28">
                  <c:v>5.4540396039603962</c:v>
                </c:pt>
                <c:pt idx="29">
                  <c:v>5.3932277227722771</c:v>
                </c:pt>
                <c:pt idx="30">
                  <c:v>5.3320297029702974</c:v>
                </c:pt>
                <c:pt idx="31">
                  <c:v>5.2704455445544554</c:v>
                </c:pt>
                <c:pt idx="32">
                  <c:v>5.2084752475247527</c:v>
                </c:pt>
                <c:pt idx="33">
                  <c:v>5.1461188118811876</c:v>
                </c:pt>
                <c:pt idx="34">
                  <c:v>5.0833762376237619</c:v>
                </c:pt>
                <c:pt idx="35">
                  <c:v>5.0202475247524756</c:v>
                </c:pt>
                <c:pt idx="36">
                  <c:v>4.9567326732673269</c:v>
                </c:pt>
                <c:pt idx="37">
                  <c:v>4.8928316831683167</c:v>
                </c:pt>
                <c:pt idx="38">
                  <c:v>4.8285445544554459</c:v>
                </c:pt>
                <c:pt idx="39">
                  <c:v>4.7638712871287128</c:v>
                </c:pt>
                <c:pt idx="40">
                  <c:v>4.698811881188119</c:v>
                </c:pt>
                <c:pt idx="41">
                  <c:v>4.6333663366336637</c:v>
                </c:pt>
                <c:pt idx="42">
                  <c:v>4.5675346534653469</c:v>
                </c:pt>
                <c:pt idx="43">
                  <c:v>4.5013168316831687</c:v>
                </c:pt>
                <c:pt idx="44">
                  <c:v>4.4347128712871289</c:v>
                </c:pt>
                <c:pt idx="45">
                  <c:v>4.3677227722772276</c:v>
                </c:pt>
                <c:pt idx="46">
                  <c:v>4.3003465346534657</c:v>
                </c:pt>
                <c:pt idx="47">
                  <c:v>4.2325841584158415</c:v>
                </c:pt>
                <c:pt idx="48">
                  <c:v>4.1644356435643566</c:v>
                </c:pt>
                <c:pt idx="49">
                  <c:v>4.0959009900990102</c:v>
                </c:pt>
                <c:pt idx="50">
                  <c:v>4.0269801980198023</c:v>
                </c:pt>
                <c:pt idx="51">
                  <c:v>3.957673267326733</c:v>
                </c:pt>
                <c:pt idx="52">
                  <c:v>3.8879801980198021</c:v>
                </c:pt>
                <c:pt idx="53">
                  <c:v>3.8179009900990102</c:v>
                </c:pt>
                <c:pt idx="54">
                  <c:v>3.7474356435643568</c:v>
                </c:pt>
                <c:pt idx="55">
                  <c:v>3.6765841584158419</c:v>
                </c:pt>
                <c:pt idx="56">
                  <c:v>3.6053465346534654</c:v>
                </c:pt>
                <c:pt idx="57">
                  <c:v>3.533722772277228</c:v>
                </c:pt>
                <c:pt idx="58">
                  <c:v>3.461712871287129</c:v>
                </c:pt>
                <c:pt idx="59">
                  <c:v>3.3893168316831686</c:v>
                </c:pt>
                <c:pt idx="60">
                  <c:v>3.3165346534653466</c:v>
                </c:pt>
                <c:pt idx="61">
                  <c:v>3.2433663366336636</c:v>
                </c:pt>
                <c:pt idx="62">
                  <c:v>3.1698118811881191</c:v>
                </c:pt>
                <c:pt idx="63">
                  <c:v>3.0958712871287131</c:v>
                </c:pt>
                <c:pt idx="64">
                  <c:v>3.0215445544554456</c:v>
                </c:pt>
                <c:pt idx="65">
                  <c:v>2.946831683168317</c:v>
                </c:pt>
                <c:pt idx="66">
                  <c:v>2.871732673267327</c:v>
                </c:pt>
                <c:pt idx="67">
                  <c:v>2.7962475247524754</c:v>
                </c:pt>
                <c:pt idx="68">
                  <c:v>2.7203762376237623</c:v>
                </c:pt>
                <c:pt idx="69">
                  <c:v>2.6441188118811878</c:v>
                </c:pt>
                <c:pt idx="70">
                  <c:v>2.5674752475247526</c:v>
                </c:pt>
                <c:pt idx="71">
                  <c:v>2.4904455445544551</c:v>
                </c:pt>
                <c:pt idx="72">
                  <c:v>2.413029702970297</c:v>
                </c:pt>
                <c:pt idx="73">
                  <c:v>2.3352277227722773</c:v>
                </c:pt>
                <c:pt idx="74">
                  <c:v>2.2570396039603962</c:v>
                </c:pt>
                <c:pt idx="75">
                  <c:v>2.1784653465346535</c:v>
                </c:pt>
                <c:pt idx="76">
                  <c:v>2.0995049504950494</c:v>
                </c:pt>
                <c:pt idx="77">
                  <c:v>2.0201584158415837</c:v>
                </c:pt>
                <c:pt idx="78">
                  <c:v>1.9404257425742575</c:v>
                </c:pt>
                <c:pt idx="79">
                  <c:v>1.8603069306930688</c:v>
                </c:pt>
                <c:pt idx="80">
                  <c:v>1.7798019801980196</c:v>
                </c:pt>
                <c:pt idx="81">
                  <c:v>1.6989108910891089</c:v>
                </c:pt>
                <c:pt idx="82">
                  <c:v>1.6176336633663366</c:v>
                </c:pt>
                <c:pt idx="83">
                  <c:v>1.5359702970297029</c:v>
                </c:pt>
                <c:pt idx="84">
                  <c:v>1.4539207920792077</c:v>
                </c:pt>
                <c:pt idx="85">
                  <c:v>1.3714851485148509</c:v>
                </c:pt>
                <c:pt idx="86">
                  <c:v>1.2886633663366336</c:v>
                </c:pt>
                <c:pt idx="87">
                  <c:v>1.2054554455445539</c:v>
                </c:pt>
                <c:pt idx="88">
                  <c:v>1.1218613861386135</c:v>
                </c:pt>
                <c:pt idx="89">
                  <c:v>1.0378811881188117</c:v>
                </c:pt>
                <c:pt idx="90">
                  <c:v>0.95351485148514836</c:v>
                </c:pt>
                <c:pt idx="91">
                  <c:v>0.86876237623762353</c:v>
                </c:pt>
                <c:pt idx="92">
                  <c:v>0.78362376237623721</c:v>
                </c:pt>
                <c:pt idx="93">
                  <c:v>0.69809900990098939</c:v>
                </c:pt>
                <c:pt idx="94">
                  <c:v>0.61218811881188184</c:v>
                </c:pt>
                <c:pt idx="95">
                  <c:v>0.52589108910891191</c:v>
                </c:pt>
                <c:pt idx="96">
                  <c:v>0.43920792079208049</c:v>
                </c:pt>
                <c:pt idx="97">
                  <c:v>0.35213861386138667</c:v>
                </c:pt>
                <c:pt idx="98">
                  <c:v>0.26468316831683225</c:v>
                </c:pt>
                <c:pt idx="99">
                  <c:v>0.17684158415841633</c:v>
                </c:pt>
                <c:pt idx="100">
                  <c:v>8.8613861386139803E-2</c:v>
                </c:pt>
                <c:pt idx="101">
                  <c:v>0</c:v>
                </c:pt>
                <c:pt idx="103">
                  <c:v>-2.7500000000000004</c:v>
                </c:pt>
                <c:pt idx="104">
                  <c:v>-2.7004455445544555</c:v>
                </c:pt>
                <c:pt idx="105">
                  <c:v>-2.6513366336633668</c:v>
                </c:pt>
                <c:pt idx="106">
                  <c:v>-2.602673267326733</c:v>
                </c:pt>
                <c:pt idx="107">
                  <c:v>-2.5544554455445549</c:v>
                </c:pt>
                <c:pt idx="108">
                  <c:v>-2.5066831683168318</c:v>
                </c:pt>
                <c:pt idx="109">
                  <c:v>-2.4593564356435644</c:v>
                </c:pt>
                <c:pt idx="110">
                  <c:v>-2.4124752475247528</c:v>
                </c:pt>
                <c:pt idx="111">
                  <c:v>-2.3660396039603961</c:v>
                </c:pt>
                <c:pt idx="112">
                  <c:v>-2.3200495049504952</c:v>
                </c:pt>
                <c:pt idx="113">
                  <c:v>-2.2745049504950496</c:v>
                </c:pt>
                <c:pt idx="114">
                  <c:v>-2.2294059405940594</c:v>
                </c:pt>
                <c:pt idx="115">
                  <c:v>-2.1847524752475249</c:v>
                </c:pt>
                <c:pt idx="116">
                  <c:v>-2.1405445544554458</c:v>
                </c:pt>
                <c:pt idx="117">
                  <c:v>-2.096782178217822</c:v>
                </c:pt>
                <c:pt idx="118">
                  <c:v>-2.0534653465346535</c:v>
                </c:pt>
                <c:pt idx="119">
                  <c:v>-2.0105940594059408</c:v>
                </c:pt>
                <c:pt idx="120">
                  <c:v>-1.9681683168316835</c:v>
                </c:pt>
                <c:pt idx="121">
                  <c:v>-1.9261881188118815</c:v>
                </c:pt>
                <c:pt idx="122">
                  <c:v>-1.884653465346535</c:v>
                </c:pt>
                <c:pt idx="123">
                  <c:v>-1.8435643564356439</c:v>
                </c:pt>
                <c:pt idx="124">
                  <c:v>-1.8029207920792083</c:v>
                </c:pt>
                <c:pt idx="125">
                  <c:v>-1.7627227722772281</c:v>
                </c:pt>
                <c:pt idx="126">
                  <c:v>-1.7229702970297032</c:v>
                </c:pt>
                <c:pt idx="127">
                  <c:v>-1.683663366336634</c:v>
                </c:pt>
                <c:pt idx="128">
                  <c:v>-1.64480198019802</c:v>
                </c:pt>
                <c:pt idx="129">
                  <c:v>-1.6063861386138616</c:v>
                </c:pt>
                <c:pt idx="130">
                  <c:v>-1.5684158415841585</c:v>
                </c:pt>
                <c:pt idx="131">
                  <c:v>-1.5308910891089111</c:v>
                </c:pt>
                <c:pt idx="132">
                  <c:v>-1.4938118811881189</c:v>
                </c:pt>
                <c:pt idx="133">
                  <c:v>-1.4571782178217823</c:v>
                </c:pt>
                <c:pt idx="134">
                  <c:v>-1.4209900990099011</c:v>
                </c:pt>
                <c:pt idx="135">
                  <c:v>-1.3852475247524754</c:v>
                </c:pt>
                <c:pt idx="136">
                  <c:v>-1.3499504950495052</c:v>
                </c:pt>
                <c:pt idx="137">
                  <c:v>-1.3150990099009903</c:v>
                </c:pt>
                <c:pt idx="138">
                  <c:v>-1.2806930693069309</c:v>
                </c:pt>
                <c:pt idx="139">
                  <c:v>-1.246732673267327</c:v>
                </c:pt>
                <c:pt idx="140">
                  <c:v>-1.2132178217821783</c:v>
                </c:pt>
                <c:pt idx="141">
                  <c:v>-1.1801485148514854</c:v>
                </c:pt>
                <c:pt idx="142">
                  <c:v>-1.1475247524752477</c:v>
                </c:pt>
                <c:pt idx="143">
                  <c:v>-1.1153465346534654</c:v>
                </c:pt>
                <c:pt idx="144">
                  <c:v>-1.0836138613861388</c:v>
                </c:pt>
                <c:pt idx="145">
                  <c:v>-1.0523267326732675</c:v>
                </c:pt>
                <c:pt idx="146">
                  <c:v>-1.0214851485148517</c:v>
                </c:pt>
                <c:pt idx="147">
                  <c:v>-0.9910891089108913</c:v>
                </c:pt>
                <c:pt idx="148">
                  <c:v>-0.96113861386138644</c:v>
                </c:pt>
                <c:pt idx="149">
                  <c:v>-0.93163366336633691</c:v>
                </c:pt>
                <c:pt idx="150">
                  <c:v>-0.90257425742574293</c:v>
                </c:pt>
                <c:pt idx="151">
                  <c:v>-0.87396039603960429</c:v>
                </c:pt>
                <c:pt idx="152">
                  <c:v>-0.84579207920792099</c:v>
                </c:pt>
                <c:pt idx="153">
                  <c:v>-0.81806930693069324</c:v>
                </c:pt>
                <c:pt idx="154">
                  <c:v>-0.79079207920792127</c:v>
                </c:pt>
                <c:pt idx="155">
                  <c:v>-0.76396039603960419</c:v>
                </c:pt>
                <c:pt idx="156">
                  <c:v>-0.7375742574257429</c:v>
                </c:pt>
                <c:pt idx="157">
                  <c:v>-0.71163366336633693</c:v>
                </c:pt>
                <c:pt idx="158">
                  <c:v>-0.6861386138613863</c:v>
                </c:pt>
                <c:pt idx="159">
                  <c:v>-0.66108910891089145</c:v>
                </c:pt>
                <c:pt idx="160">
                  <c:v>-0.63648514851485194</c:v>
                </c:pt>
                <c:pt idx="161">
                  <c:v>-0.61232673267326776</c:v>
                </c:pt>
                <c:pt idx="162">
                  <c:v>-0.58861386138613847</c:v>
                </c:pt>
                <c:pt idx="163">
                  <c:v>-0.5653465346534654</c:v>
                </c:pt>
                <c:pt idx="164">
                  <c:v>-0.54252475247524767</c:v>
                </c:pt>
                <c:pt idx="165">
                  <c:v>-0.52014851485148528</c:v>
                </c:pt>
                <c:pt idx="166">
                  <c:v>-0.49821782178217822</c:v>
                </c:pt>
                <c:pt idx="167">
                  <c:v>-0.47673267326732693</c:v>
                </c:pt>
                <c:pt idx="168">
                  <c:v>-0.45569306930693054</c:v>
                </c:pt>
                <c:pt idx="169">
                  <c:v>-0.43509900990098993</c:v>
                </c:pt>
                <c:pt idx="170">
                  <c:v>-0.4149504950495051</c:v>
                </c:pt>
                <c:pt idx="171">
                  <c:v>-0.39524752475247515</c:v>
                </c:pt>
                <c:pt idx="172">
                  <c:v>-0.37599009900990099</c:v>
                </c:pt>
                <c:pt idx="173">
                  <c:v>-0.35717821782178216</c:v>
                </c:pt>
                <c:pt idx="174">
                  <c:v>-0.33881188118811911</c:v>
                </c:pt>
                <c:pt idx="175">
                  <c:v>-0.32089108910891095</c:v>
                </c:pt>
                <c:pt idx="176">
                  <c:v>-0.30341584158415857</c:v>
                </c:pt>
                <c:pt idx="177">
                  <c:v>-0.28638613861386153</c:v>
                </c:pt>
                <c:pt idx="178">
                  <c:v>-0.26980198019801982</c:v>
                </c:pt>
                <c:pt idx="179">
                  <c:v>-0.25366336633663389</c:v>
                </c:pt>
                <c:pt idx="180">
                  <c:v>-0.23797029702970329</c:v>
                </c:pt>
                <c:pt idx="181">
                  <c:v>-0.22272277227722803</c:v>
                </c:pt>
                <c:pt idx="182">
                  <c:v>-0.20792079207920811</c:v>
                </c:pt>
                <c:pt idx="183">
                  <c:v>-0.19356435643564396</c:v>
                </c:pt>
                <c:pt idx="184">
                  <c:v>-0.1796534653465347</c:v>
                </c:pt>
                <c:pt idx="185">
                  <c:v>-0.16618811881188122</c:v>
                </c:pt>
                <c:pt idx="186">
                  <c:v>-0.15316831683168353</c:v>
                </c:pt>
                <c:pt idx="187">
                  <c:v>-0.14059405940594072</c:v>
                </c:pt>
                <c:pt idx="188">
                  <c:v>-0.12846534653465369</c:v>
                </c:pt>
                <c:pt idx="189">
                  <c:v>-0.116782178217822</c:v>
                </c:pt>
                <c:pt idx="190">
                  <c:v>-0.10554455445544564</c:v>
                </c:pt>
                <c:pt idx="191">
                  <c:v>-9.4752475247525059E-2</c:v>
                </c:pt>
                <c:pt idx="192">
                  <c:v>-8.4405940594059814E-2</c:v>
                </c:pt>
                <c:pt idx="193">
                  <c:v>-7.4504950495049904E-2</c:v>
                </c:pt>
                <c:pt idx="194">
                  <c:v>-6.5049504950495329E-2</c:v>
                </c:pt>
                <c:pt idx="195">
                  <c:v>-5.6039603960396533E-2</c:v>
                </c:pt>
                <c:pt idx="196">
                  <c:v>-4.7475247524753073E-2</c:v>
                </c:pt>
                <c:pt idx="197">
                  <c:v>-3.9356435643564947E-2</c:v>
                </c:pt>
                <c:pt idx="198">
                  <c:v>-3.1683168316832155E-2</c:v>
                </c:pt>
                <c:pt idx="199">
                  <c:v>-2.4455445544555143E-2</c:v>
                </c:pt>
                <c:pt idx="200">
                  <c:v>-1.7673267326733022E-2</c:v>
                </c:pt>
                <c:pt idx="201">
                  <c:v>-1.133663366336668E-2</c:v>
                </c:pt>
                <c:pt idx="202">
                  <c:v>-5.4455445544556724E-3</c:v>
                </c:pt>
                <c:pt idx="2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82-9B49-92B5-A3488BE5EE73}"/>
            </c:ext>
          </c:extLst>
        </c:ser>
        <c:ser>
          <c:idx val="1"/>
          <c:order val="3"/>
          <c:tx>
            <c:strRef>
              <c:f>'Fractal map'!$G$2</c:f>
              <c:strCache>
                <c:ptCount val="1"/>
                <c:pt idx="0">
                  <c:v>Cumul cross-section, cm2</c:v>
                </c:pt>
              </c:strCache>
            </c:strRef>
          </c:tx>
          <c:marker>
            <c:symbol val="none"/>
          </c:marker>
          <c:xVal>
            <c:numRef>
              <c:f>'Fractal map'!$G$8:$G$263</c:f>
              <c:numCache>
                <c:formatCode>General</c:formatCode>
                <c:ptCount val="256"/>
                <c:pt idx="0">
                  <c:v>176.715</c:v>
                </c:pt>
                <c:pt idx="1">
                  <c:v>179.63513567841534</c:v>
                </c:pt>
                <c:pt idx="2">
                  <c:v>182.60352528196654</c:v>
                </c:pt>
                <c:pt idx="3">
                  <c:v>185.62096618500414</c:v>
                </c:pt>
                <c:pt idx="4">
                  <c:v>188.68826893813076</c:v>
                </c:pt>
                <c:pt idx="5">
                  <c:v>191.80625748593195</c:v>
                </c:pt>
                <c:pt idx="6">
                  <c:v>194.97576938830579</c:v>
                </c:pt>
                <c:pt idx="7">
                  <c:v>198.19765604545034</c:v>
                </c:pt>
                <c:pt idx="8">
                  <c:v>201.47278292656748</c:v>
                </c:pt>
                <c:pt idx="9">
                  <c:v>204.80202980234776</c:v>
                </c:pt>
                <c:pt idx="10">
                  <c:v>208.18629098129537</c:v>
                </c:pt>
                <c:pt idx="11">
                  <c:v>211.62647554995942</c:v>
                </c:pt>
                <c:pt idx="12">
                  <c:v>215.12350761713384</c:v>
                </c:pt>
                <c:pt idx="13">
                  <c:v>218.67832656209416</c:v>
                </c:pt>
                <c:pt idx="14">
                  <c:v>222.29188728693435</c:v>
                </c:pt>
                <c:pt idx="15">
                  <c:v>225.96516047307517</c:v>
                </c:pt>
                <c:pt idx="16">
                  <c:v>229.69913284200982</c:v>
                </c:pt>
                <c:pt idx="17">
                  <c:v>233.49480742035934</c:v>
                </c:pt>
                <c:pt idx="18">
                  <c:v>237.35320380930719</c:v>
                </c:pt>
                <c:pt idx="19">
                  <c:v>241.27535845848678</c:v>
                </c:pt>
                <c:pt idx="20">
                  <c:v>245.26232494439407</c:v>
                </c:pt>
                <c:pt idx="21">
                  <c:v>249.31517425340147</c:v>
                </c:pt>
                <c:pt idx="22">
                  <c:v>253.43499506944832</c:v>
                </c:pt>
                <c:pt idx="23">
                  <c:v>257.62289406648466</c:v>
                </c:pt>
                <c:pt idx="24">
                  <c:v>261.87999620574948</c:v>
                </c:pt>
                <c:pt idx="25">
                  <c:v>266.20744503795788</c:v>
                </c:pt>
                <c:pt idx="26">
                  <c:v>270.60640301048517</c:v>
                </c:pt>
                <c:pt idx="27">
                  <c:v>275.07805177962501</c:v>
                </c:pt>
                <c:pt idx="28">
                  <c:v>279.62359252800906</c:v>
                </c:pt>
                <c:pt idx="29">
                  <c:v>284.24424628726962</c:v>
                </c:pt>
                <c:pt idx="30">
                  <c:v>288.94125426603642</c:v>
                </c:pt>
                <c:pt idx="31">
                  <c:v>293.71587818335166</c:v>
                </c:pt>
                <c:pt idx="32">
                  <c:v>298.56940060759558</c:v>
                </c:pt>
                <c:pt idx="33">
                  <c:v>303.50312530101365</c:v>
                </c:pt>
                <c:pt idx="34">
                  <c:v>308.51837756993285</c:v>
                </c:pt>
                <c:pt idx="35">
                  <c:v>313.61650462077074</c:v>
                </c:pt>
                <c:pt idx="36">
                  <c:v>314.15999999999946</c:v>
                </c:pt>
                <c:pt idx="37">
                  <c:v>314.15999999999946</c:v>
                </c:pt>
                <c:pt idx="38">
                  <c:v>314.15999999999946</c:v>
                </c:pt>
                <c:pt idx="39">
                  <c:v>314.15999999999946</c:v>
                </c:pt>
                <c:pt idx="40">
                  <c:v>314.15999999999946</c:v>
                </c:pt>
                <c:pt idx="41">
                  <c:v>314.15999999999946</c:v>
                </c:pt>
                <c:pt idx="42">
                  <c:v>314.15999999999946</c:v>
                </c:pt>
                <c:pt idx="43">
                  <c:v>314.15999999999946</c:v>
                </c:pt>
                <c:pt idx="44">
                  <c:v>314.15999999999946</c:v>
                </c:pt>
                <c:pt idx="45">
                  <c:v>314.15999999999946</c:v>
                </c:pt>
                <c:pt idx="46">
                  <c:v>314.15999999999946</c:v>
                </c:pt>
                <c:pt idx="47">
                  <c:v>314.15999999999946</c:v>
                </c:pt>
                <c:pt idx="48">
                  <c:v>314.15999999999946</c:v>
                </c:pt>
                <c:pt idx="49">
                  <c:v>314.15999999999946</c:v>
                </c:pt>
                <c:pt idx="50">
                  <c:v>314.15999999999946</c:v>
                </c:pt>
                <c:pt idx="51">
                  <c:v>314.15999999999946</c:v>
                </c:pt>
                <c:pt idx="52">
                  <c:v>314.15999999999946</c:v>
                </c:pt>
                <c:pt idx="53">
                  <c:v>314.15999999999946</c:v>
                </c:pt>
                <c:pt idx="54">
                  <c:v>314.15999999999946</c:v>
                </c:pt>
                <c:pt idx="55">
                  <c:v>314.15999999999946</c:v>
                </c:pt>
                <c:pt idx="56">
                  <c:v>314.15999999999946</c:v>
                </c:pt>
                <c:pt idx="57">
                  <c:v>314.15999999999946</c:v>
                </c:pt>
                <c:pt idx="58">
                  <c:v>314.15999999999946</c:v>
                </c:pt>
                <c:pt idx="59">
                  <c:v>314.15999999999946</c:v>
                </c:pt>
                <c:pt idx="60">
                  <c:v>314.15999999999946</c:v>
                </c:pt>
                <c:pt idx="61">
                  <c:v>314.15999999999946</c:v>
                </c:pt>
                <c:pt idx="62">
                  <c:v>314.15999999999946</c:v>
                </c:pt>
                <c:pt idx="63">
                  <c:v>314.15999999999946</c:v>
                </c:pt>
                <c:pt idx="64">
                  <c:v>314.15999999999946</c:v>
                </c:pt>
                <c:pt idx="65">
                  <c:v>314.15999999999946</c:v>
                </c:pt>
                <c:pt idx="66">
                  <c:v>314.15999999999946</c:v>
                </c:pt>
                <c:pt idx="67">
                  <c:v>314.15999999999946</c:v>
                </c:pt>
                <c:pt idx="68">
                  <c:v>314.15999999999946</c:v>
                </c:pt>
                <c:pt idx="69">
                  <c:v>314.15999999999946</c:v>
                </c:pt>
                <c:pt idx="70">
                  <c:v>314.15999999999946</c:v>
                </c:pt>
                <c:pt idx="71">
                  <c:v>314.15999999999946</c:v>
                </c:pt>
                <c:pt idx="72">
                  <c:v>314.15999999999946</c:v>
                </c:pt>
                <c:pt idx="73">
                  <c:v>314.15999999999946</c:v>
                </c:pt>
                <c:pt idx="74">
                  <c:v>314.15999999999946</c:v>
                </c:pt>
                <c:pt idx="75">
                  <c:v>314.15999999999946</c:v>
                </c:pt>
                <c:pt idx="76">
                  <c:v>314.15999999999946</c:v>
                </c:pt>
                <c:pt idx="77">
                  <c:v>314.15999999999946</c:v>
                </c:pt>
                <c:pt idx="78">
                  <c:v>314.15999999999946</c:v>
                </c:pt>
                <c:pt idx="79">
                  <c:v>314.15999999999946</c:v>
                </c:pt>
                <c:pt idx="80">
                  <c:v>314.15999999999946</c:v>
                </c:pt>
                <c:pt idx="81">
                  <c:v>314.15999999999946</c:v>
                </c:pt>
                <c:pt idx="82">
                  <c:v>314.15999999999946</c:v>
                </c:pt>
                <c:pt idx="83">
                  <c:v>314.15999999999946</c:v>
                </c:pt>
                <c:pt idx="84">
                  <c:v>314.15999999999946</c:v>
                </c:pt>
                <c:pt idx="85">
                  <c:v>314.15999999999946</c:v>
                </c:pt>
                <c:pt idx="86">
                  <c:v>314.15999999999946</c:v>
                </c:pt>
                <c:pt idx="87">
                  <c:v>314.15999999999946</c:v>
                </c:pt>
                <c:pt idx="88">
                  <c:v>314.15999999999946</c:v>
                </c:pt>
                <c:pt idx="89">
                  <c:v>314.15999999999946</c:v>
                </c:pt>
                <c:pt idx="90">
                  <c:v>314.15999999999946</c:v>
                </c:pt>
                <c:pt idx="91">
                  <c:v>314.15999999999946</c:v>
                </c:pt>
                <c:pt idx="92">
                  <c:v>314.15999999999946</c:v>
                </c:pt>
                <c:pt idx="93">
                  <c:v>314.15999999999946</c:v>
                </c:pt>
                <c:pt idx="94">
                  <c:v>314.15999999999946</c:v>
                </c:pt>
                <c:pt idx="95">
                  <c:v>314.15999999999946</c:v>
                </c:pt>
                <c:pt idx="96">
                  <c:v>314.15999999999946</c:v>
                </c:pt>
                <c:pt idx="97">
                  <c:v>314.15999999999946</c:v>
                </c:pt>
                <c:pt idx="98">
                  <c:v>314.15999999999946</c:v>
                </c:pt>
                <c:pt idx="99">
                  <c:v>314.15999999999946</c:v>
                </c:pt>
                <c:pt idx="100">
                  <c:v>314.15999999999946</c:v>
                </c:pt>
                <c:pt idx="101">
                  <c:v>314.15999999999946</c:v>
                </c:pt>
                <c:pt idx="103">
                  <c:v>900</c:v>
                </c:pt>
                <c:pt idx="104">
                  <c:v>847.26705371148944</c:v>
                </c:pt>
                <c:pt idx="105">
                  <c:v>797.62384478327556</c:v>
                </c:pt>
                <c:pt idx="106">
                  <c:v>750.8893388217291</c:v>
                </c:pt>
                <c:pt idx="107">
                  <c:v>706.89310862983871</c:v>
                </c:pt>
                <c:pt idx="108">
                  <c:v>665.47471270862115</c:v>
                </c:pt>
                <c:pt idx="109">
                  <c:v>626.48311017348135</c:v>
                </c:pt>
                <c:pt idx="110">
                  <c:v>589.77610995188445</c:v>
                </c:pt>
                <c:pt idx="111">
                  <c:v>555.21985225372975</c:v>
                </c:pt>
                <c:pt idx="112">
                  <c:v>522.68832042349572</c:v>
                </c:pt>
                <c:pt idx="113">
                  <c:v>492.06288139402454</c:v>
                </c:pt>
                <c:pt idx="114">
                  <c:v>463.23185306611225</c:v>
                </c:pt>
                <c:pt idx="115">
                  <c:v>436.09009703626504</c:v>
                </c:pt>
                <c:pt idx="116">
                  <c:v>410.53863518741565</c:v>
                </c:pt>
                <c:pt idx="117">
                  <c:v>386.48428874441919</c:v>
                </c:pt>
                <c:pt idx="118">
                  <c:v>363.8393384780718</c:v>
                </c:pt>
                <c:pt idx="119">
                  <c:v>342.52120481850375</c:v>
                </c:pt>
                <c:pt idx="120">
                  <c:v>322.4521467114256</c:v>
                </c:pt>
                <c:pt idx="121">
                  <c:v>314.16000000000008</c:v>
                </c:pt>
                <c:pt idx="122">
                  <c:v>314.16000000000008</c:v>
                </c:pt>
                <c:pt idx="123">
                  <c:v>314.16000000000008</c:v>
                </c:pt>
                <c:pt idx="124">
                  <c:v>314.16000000000008</c:v>
                </c:pt>
                <c:pt idx="125">
                  <c:v>314.16000000000008</c:v>
                </c:pt>
                <c:pt idx="126">
                  <c:v>314.16000000000008</c:v>
                </c:pt>
                <c:pt idx="127">
                  <c:v>314.16000000000008</c:v>
                </c:pt>
                <c:pt idx="128">
                  <c:v>314.16000000000008</c:v>
                </c:pt>
                <c:pt idx="129">
                  <c:v>314.16000000000008</c:v>
                </c:pt>
                <c:pt idx="130">
                  <c:v>314.16000000000008</c:v>
                </c:pt>
                <c:pt idx="131">
                  <c:v>314.16000000000008</c:v>
                </c:pt>
                <c:pt idx="132">
                  <c:v>314.16000000000008</c:v>
                </c:pt>
                <c:pt idx="133">
                  <c:v>314.16000000000008</c:v>
                </c:pt>
                <c:pt idx="134">
                  <c:v>314.16000000000008</c:v>
                </c:pt>
                <c:pt idx="135">
                  <c:v>314.16000000000008</c:v>
                </c:pt>
                <c:pt idx="136">
                  <c:v>314.16000000000008</c:v>
                </c:pt>
                <c:pt idx="137">
                  <c:v>314.16000000000008</c:v>
                </c:pt>
                <c:pt idx="138">
                  <c:v>314.16000000000008</c:v>
                </c:pt>
                <c:pt idx="139">
                  <c:v>314.16000000000008</c:v>
                </c:pt>
                <c:pt idx="140">
                  <c:v>314.16000000000008</c:v>
                </c:pt>
                <c:pt idx="141">
                  <c:v>314.16000000000008</c:v>
                </c:pt>
                <c:pt idx="142">
                  <c:v>314.16000000000008</c:v>
                </c:pt>
                <c:pt idx="143">
                  <c:v>314.16000000000008</c:v>
                </c:pt>
                <c:pt idx="144">
                  <c:v>314.16000000000008</c:v>
                </c:pt>
                <c:pt idx="145">
                  <c:v>314.16000000000008</c:v>
                </c:pt>
                <c:pt idx="146">
                  <c:v>314.16000000000008</c:v>
                </c:pt>
                <c:pt idx="147">
                  <c:v>314.16000000000008</c:v>
                </c:pt>
                <c:pt idx="148">
                  <c:v>314.16000000000008</c:v>
                </c:pt>
                <c:pt idx="149">
                  <c:v>314.16000000000008</c:v>
                </c:pt>
                <c:pt idx="150">
                  <c:v>314.16000000000008</c:v>
                </c:pt>
                <c:pt idx="151">
                  <c:v>314.16000000000008</c:v>
                </c:pt>
                <c:pt idx="152">
                  <c:v>314.16000000000008</c:v>
                </c:pt>
                <c:pt idx="153">
                  <c:v>314.16000000000008</c:v>
                </c:pt>
                <c:pt idx="154">
                  <c:v>314.16000000000008</c:v>
                </c:pt>
                <c:pt idx="155">
                  <c:v>314.16000000000008</c:v>
                </c:pt>
                <c:pt idx="156">
                  <c:v>314.16000000000008</c:v>
                </c:pt>
                <c:pt idx="157">
                  <c:v>314.16000000000008</c:v>
                </c:pt>
                <c:pt idx="158">
                  <c:v>314.16000000000008</c:v>
                </c:pt>
                <c:pt idx="159">
                  <c:v>314.16000000000008</c:v>
                </c:pt>
                <c:pt idx="160">
                  <c:v>314.16000000000008</c:v>
                </c:pt>
                <c:pt idx="161">
                  <c:v>314.16000000000008</c:v>
                </c:pt>
                <c:pt idx="162">
                  <c:v>314.16000000000008</c:v>
                </c:pt>
                <c:pt idx="163">
                  <c:v>314.16000000000008</c:v>
                </c:pt>
                <c:pt idx="164">
                  <c:v>314.16000000000008</c:v>
                </c:pt>
                <c:pt idx="165">
                  <c:v>314.16000000000008</c:v>
                </c:pt>
                <c:pt idx="166">
                  <c:v>314.16000000000008</c:v>
                </c:pt>
                <c:pt idx="167">
                  <c:v>314.16000000000008</c:v>
                </c:pt>
                <c:pt idx="168">
                  <c:v>314.16000000000008</c:v>
                </c:pt>
                <c:pt idx="169">
                  <c:v>314.16000000000008</c:v>
                </c:pt>
                <c:pt idx="170">
                  <c:v>314.16000000000008</c:v>
                </c:pt>
                <c:pt idx="171">
                  <c:v>314.16000000000008</c:v>
                </c:pt>
                <c:pt idx="172">
                  <c:v>314.16000000000008</c:v>
                </c:pt>
                <c:pt idx="173">
                  <c:v>314.16000000000008</c:v>
                </c:pt>
                <c:pt idx="174">
                  <c:v>314.16000000000008</c:v>
                </c:pt>
                <c:pt idx="175">
                  <c:v>314.16000000000008</c:v>
                </c:pt>
                <c:pt idx="176">
                  <c:v>314.16000000000008</c:v>
                </c:pt>
                <c:pt idx="177">
                  <c:v>314.16000000000008</c:v>
                </c:pt>
                <c:pt idx="178">
                  <c:v>314.16000000000008</c:v>
                </c:pt>
                <c:pt idx="179">
                  <c:v>314.16000000000008</c:v>
                </c:pt>
                <c:pt idx="180">
                  <c:v>314.16000000000008</c:v>
                </c:pt>
                <c:pt idx="181">
                  <c:v>314.16000000000008</c:v>
                </c:pt>
                <c:pt idx="182">
                  <c:v>314.16000000000008</c:v>
                </c:pt>
                <c:pt idx="183">
                  <c:v>314.16000000000008</c:v>
                </c:pt>
                <c:pt idx="184">
                  <c:v>314.16000000000008</c:v>
                </c:pt>
                <c:pt idx="185">
                  <c:v>314.16000000000008</c:v>
                </c:pt>
                <c:pt idx="186">
                  <c:v>314.16000000000008</c:v>
                </c:pt>
                <c:pt idx="187">
                  <c:v>314.16000000000008</c:v>
                </c:pt>
                <c:pt idx="188">
                  <c:v>314.16000000000008</c:v>
                </c:pt>
                <c:pt idx="189">
                  <c:v>314.16000000000008</c:v>
                </c:pt>
                <c:pt idx="190">
                  <c:v>314.16000000000008</c:v>
                </c:pt>
                <c:pt idx="191">
                  <c:v>314.16000000000008</c:v>
                </c:pt>
                <c:pt idx="192">
                  <c:v>314.16000000000008</c:v>
                </c:pt>
                <c:pt idx="193">
                  <c:v>314.16000000000008</c:v>
                </c:pt>
                <c:pt idx="194">
                  <c:v>314.16000000000008</c:v>
                </c:pt>
                <c:pt idx="195">
                  <c:v>314.16000000000008</c:v>
                </c:pt>
                <c:pt idx="196">
                  <c:v>314.16000000000008</c:v>
                </c:pt>
                <c:pt idx="197">
                  <c:v>314.16000000000008</c:v>
                </c:pt>
                <c:pt idx="198">
                  <c:v>314.16000000000008</c:v>
                </c:pt>
                <c:pt idx="199">
                  <c:v>314.16000000000008</c:v>
                </c:pt>
                <c:pt idx="200">
                  <c:v>314.16000000000008</c:v>
                </c:pt>
                <c:pt idx="201">
                  <c:v>314.16000000000008</c:v>
                </c:pt>
                <c:pt idx="202">
                  <c:v>314.16000000000008</c:v>
                </c:pt>
                <c:pt idx="203">
                  <c:v>314.16000000000008</c:v>
                </c:pt>
              </c:numCache>
            </c:numRef>
          </c:xVal>
          <c:yVal>
            <c:numRef>
              <c:f>'Fractal map'!$A$8:$A$263</c:f>
              <c:numCache>
                <c:formatCode>General</c:formatCode>
                <c:ptCount val="256"/>
                <c:pt idx="0">
                  <c:v>7</c:v>
                </c:pt>
                <c:pt idx="1">
                  <c:v>6.95</c:v>
                </c:pt>
                <c:pt idx="2">
                  <c:v>6.8996138613861389</c:v>
                </c:pt>
                <c:pt idx="3">
                  <c:v>6.848841584158416</c:v>
                </c:pt>
                <c:pt idx="4">
                  <c:v>6.7976831683168317</c:v>
                </c:pt>
                <c:pt idx="5">
                  <c:v>6.7461386138613859</c:v>
                </c:pt>
                <c:pt idx="6">
                  <c:v>6.6942079207920795</c:v>
                </c:pt>
                <c:pt idx="7">
                  <c:v>6.6418910891089107</c:v>
                </c:pt>
                <c:pt idx="8">
                  <c:v>6.5891881188118813</c:v>
                </c:pt>
                <c:pt idx="9">
                  <c:v>6.5360990099009904</c:v>
                </c:pt>
                <c:pt idx="10">
                  <c:v>6.4826237623762379</c:v>
                </c:pt>
                <c:pt idx="11">
                  <c:v>6.428762376237624</c:v>
                </c:pt>
                <c:pt idx="12">
                  <c:v>6.3745148514851486</c:v>
                </c:pt>
                <c:pt idx="13">
                  <c:v>6.3198811881188117</c:v>
                </c:pt>
                <c:pt idx="14">
                  <c:v>6.2648613861386142</c:v>
                </c:pt>
                <c:pt idx="15">
                  <c:v>6.2094554455445543</c:v>
                </c:pt>
                <c:pt idx="16">
                  <c:v>6.1536633663366338</c:v>
                </c:pt>
                <c:pt idx="17">
                  <c:v>6.0974851485148518</c:v>
                </c:pt>
                <c:pt idx="18">
                  <c:v>6.0409207920792083</c:v>
                </c:pt>
                <c:pt idx="19">
                  <c:v>5.9839702970297033</c:v>
                </c:pt>
                <c:pt idx="20">
                  <c:v>5.9266336633663368</c:v>
                </c:pt>
                <c:pt idx="21">
                  <c:v>5.8689108910891088</c:v>
                </c:pt>
                <c:pt idx="22">
                  <c:v>5.8108019801980202</c:v>
                </c:pt>
                <c:pt idx="23">
                  <c:v>5.7523069306930692</c:v>
                </c:pt>
                <c:pt idx="24">
                  <c:v>5.6934257425742576</c:v>
                </c:pt>
                <c:pt idx="25">
                  <c:v>5.6341584158415845</c:v>
                </c:pt>
                <c:pt idx="26">
                  <c:v>5.574504950495049</c:v>
                </c:pt>
                <c:pt idx="27">
                  <c:v>5.5144653465346529</c:v>
                </c:pt>
                <c:pt idx="28">
                  <c:v>5.4540396039603962</c:v>
                </c:pt>
                <c:pt idx="29">
                  <c:v>5.3932277227722771</c:v>
                </c:pt>
                <c:pt idx="30">
                  <c:v>5.3320297029702974</c:v>
                </c:pt>
                <c:pt idx="31">
                  <c:v>5.2704455445544554</c:v>
                </c:pt>
                <c:pt idx="32">
                  <c:v>5.2084752475247527</c:v>
                </c:pt>
                <c:pt idx="33">
                  <c:v>5.1461188118811876</c:v>
                </c:pt>
                <c:pt idx="34">
                  <c:v>5.0833762376237619</c:v>
                </c:pt>
                <c:pt idx="35">
                  <c:v>5.0202475247524756</c:v>
                </c:pt>
                <c:pt idx="36">
                  <c:v>4.9567326732673269</c:v>
                </c:pt>
                <c:pt idx="37">
                  <c:v>4.8928316831683167</c:v>
                </c:pt>
                <c:pt idx="38">
                  <c:v>4.8285445544554459</c:v>
                </c:pt>
                <c:pt idx="39">
                  <c:v>4.7638712871287128</c:v>
                </c:pt>
                <c:pt idx="40">
                  <c:v>4.698811881188119</c:v>
                </c:pt>
                <c:pt idx="41">
                  <c:v>4.6333663366336637</c:v>
                </c:pt>
                <c:pt idx="42">
                  <c:v>4.5675346534653469</c:v>
                </c:pt>
                <c:pt idx="43">
                  <c:v>4.5013168316831687</c:v>
                </c:pt>
                <c:pt idx="44">
                  <c:v>4.4347128712871289</c:v>
                </c:pt>
                <c:pt idx="45">
                  <c:v>4.3677227722772276</c:v>
                </c:pt>
                <c:pt idx="46">
                  <c:v>4.3003465346534657</c:v>
                </c:pt>
                <c:pt idx="47">
                  <c:v>4.2325841584158415</c:v>
                </c:pt>
                <c:pt idx="48">
                  <c:v>4.1644356435643566</c:v>
                </c:pt>
                <c:pt idx="49">
                  <c:v>4.0959009900990102</c:v>
                </c:pt>
                <c:pt idx="50">
                  <c:v>4.0269801980198023</c:v>
                </c:pt>
                <c:pt idx="51">
                  <c:v>3.957673267326733</c:v>
                </c:pt>
                <c:pt idx="52">
                  <c:v>3.8879801980198021</c:v>
                </c:pt>
                <c:pt idx="53">
                  <c:v>3.8179009900990102</c:v>
                </c:pt>
                <c:pt idx="54">
                  <c:v>3.7474356435643568</c:v>
                </c:pt>
                <c:pt idx="55">
                  <c:v>3.6765841584158419</c:v>
                </c:pt>
                <c:pt idx="56">
                  <c:v>3.6053465346534654</c:v>
                </c:pt>
                <c:pt idx="57">
                  <c:v>3.533722772277228</c:v>
                </c:pt>
                <c:pt idx="58">
                  <c:v>3.461712871287129</c:v>
                </c:pt>
                <c:pt idx="59">
                  <c:v>3.3893168316831686</c:v>
                </c:pt>
                <c:pt idx="60">
                  <c:v>3.3165346534653466</c:v>
                </c:pt>
                <c:pt idx="61">
                  <c:v>3.2433663366336636</c:v>
                </c:pt>
                <c:pt idx="62">
                  <c:v>3.1698118811881191</c:v>
                </c:pt>
                <c:pt idx="63">
                  <c:v>3.0958712871287131</c:v>
                </c:pt>
                <c:pt idx="64">
                  <c:v>3.0215445544554456</c:v>
                </c:pt>
                <c:pt idx="65">
                  <c:v>2.946831683168317</c:v>
                </c:pt>
                <c:pt idx="66">
                  <c:v>2.871732673267327</c:v>
                </c:pt>
                <c:pt idx="67">
                  <c:v>2.7962475247524754</c:v>
                </c:pt>
                <c:pt idx="68">
                  <c:v>2.7203762376237623</c:v>
                </c:pt>
                <c:pt idx="69">
                  <c:v>2.6441188118811878</c:v>
                </c:pt>
                <c:pt idx="70">
                  <c:v>2.5674752475247526</c:v>
                </c:pt>
                <c:pt idx="71">
                  <c:v>2.4904455445544551</c:v>
                </c:pt>
                <c:pt idx="72">
                  <c:v>2.413029702970297</c:v>
                </c:pt>
                <c:pt idx="73">
                  <c:v>2.3352277227722773</c:v>
                </c:pt>
                <c:pt idx="74">
                  <c:v>2.2570396039603962</c:v>
                </c:pt>
                <c:pt idx="75">
                  <c:v>2.1784653465346535</c:v>
                </c:pt>
                <c:pt idx="76">
                  <c:v>2.0995049504950494</c:v>
                </c:pt>
                <c:pt idx="77">
                  <c:v>2.0201584158415837</c:v>
                </c:pt>
                <c:pt idx="78">
                  <c:v>1.9404257425742575</c:v>
                </c:pt>
                <c:pt idx="79">
                  <c:v>1.8603069306930688</c:v>
                </c:pt>
                <c:pt idx="80">
                  <c:v>1.7798019801980196</c:v>
                </c:pt>
                <c:pt idx="81">
                  <c:v>1.6989108910891089</c:v>
                </c:pt>
                <c:pt idx="82">
                  <c:v>1.6176336633663366</c:v>
                </c:pt>
                <c:pt idx="83">
                  <c:v>1.5359702970297029</c:v>
                </c:pt>
                <c:pt idx="84">
                  <c:v>1.4539207920792077</c:v>
                </c:pt>
                <c:pt idx="85">
                  <c:v>1.3714851485148509</c:v>
                </c:pt>
                <c:pt idx="86">
                  <c:v>1.2886633663366336</c:v>
                </c:pt>
                <c:pt idx="87">
                  <c:v>1.2054554455445539</c:v>
                </c:pt>
                <c:pt idx="88">
                  <c:v>1.1218613861386135</c:v>
                </c:pt>
                <c:pt idx="89">
                  <c:v>1.0378811881188117</c:v>
                </c:pt>
                <c:pt idx="90">
                  <c:v>0.95351485148514836</c:v>
                </c:pt>
                <c:pt idx="91">
                  <c:v>0.86876237623762353</c:v>
                </c:pt>
                <c:pt idx="92">
                  <c:v>0.78362376237623721</c:v>
                </c:pt>
                <c:pt idx="93">
                  <c:v>0.69809900990098939</c:v>
                </c:pt>
                <c:pt idx="94">
                  <c:v>0.61218811881188184</c:v>
                </c:pt>
                <c:pt idx="95">
                  <c:v>0.52589108910891191</c:v>
                </c:pt>
                <c:pt idx="96">
                  <c:v>0.43920792079208049</c:v>
                </c:pt>
                <c:pt idx="97">
                  <c:v>0.35213861386138667</c:v>
                </c:pt>
                <c:pt idx="98">
                  <c:v>0.26468316831683225</c:v>
                </c:pt>
                <c:pt idx="99">
                  <c:v>0.17684158415841633</c:v>
                </c:pt>
                <c:pt idx="100">
                  <c:v>8.8613861386139803E-2</c:v>
                </c:pt>
                <c:pt idx="101">
                  <c:v>0</c:v>
                </c:pt>
                <c:pt idx="103">
                  <c:v>-2.7500000000000004</c:v>
                </c:pt>
                <c:pt idx="104">
                  <c:v>-2.7004455445544555</c:v>
                </c:pt>
                <c:pt idx="105">
                  <c:v>-2.6513366336633668</c:v>
                </c:pt>
                <c:pt idx="106">
                  <c:v>-2.602673267326733</c:v>
                </c:pt>
                <c:pt idx="107">
                  <c:v>-2.5544554455445549</c:v>
                </c:pt>
                <c:pt idx="108">
                  <c:v>-2.5066831683168318</c:v>
                </c:pt>
                <c:pt idx="109">
                  <c:v>-2.4593564356435644</c:v>
                </c:pt>
                <c:pt idx="110">
                  <c:v>-2.4124752475247528</c:v>
                </c:pt>
                <c:pt idx="111">
                  <c:v>-2.3660396039603961</c:v>
                </c:pt>
                <c:pt idx="112">
                  <c:v>-2.3200495049504952</c:v>
                </c:pt>
                <c:pt idx="113">
                  <c:v>-2.2745049504950496</c:v>
                </c:pt>
                <c:pt idx="114">
                  <c:v>-2.2294059405940594</c:v>
                </c:pt>
                <c:pt idx="115">
                  <c:v>-2.1847524752475249</c:v>
                </c:pt>
                <c:pt idx="116">
                  <c:v>-2.1405445544554458</c:v>
                </c:pt>
                <c:pt idx="117">
                  <c:v>-2.096782178217822</c:v>
                </c:pt>
                <c:pt idx="118">
                  <c:v>-2.0534653465346535</c:v>
                </c:pt>
                <c:pt idx="119">
                  <c:v>-2.0105940594059408</c:v>
                </c:pt>
                <c:pt idx="120">
                  <c:v>-1.9681683168316835</c:v>
                </c:pt>
                <c:pt idx="121">
                  <c:v>-1.9261881188118815</c:v>
                </c:pt>
                <c:pt idx="122">
                  <c:v>-1.884653465346535</c:v>
                </c:pt>
                <c:pt idx="123">
                  <c:v>-1.8435643564356439</c:v>
                </c:pt>
                <c:pt idx="124">
                  <c:v>-1.8029207920792083</c:v>
                </c:pt>
                <c:pt idx="125">
                  <c:v>-1.7627227722772281</c:v>
                </c:pt>
                <c:pt idx="126">
                  <c:v>-1.7229702970297032</c:v>
                </c:pt>
                <c:pt idx="127">
                  <c:v>-1.683663366336634</c:v>
                </c:pt>
                <c:pt idx="128">
                  <c:v>-1.64480198019802</c:v>
                </c:pt>
                <c:pt idx="129">
                  <c:v>-1.6063861386138616</c:v>
                </c:pt>
                <c:pt idx="130">
                  <c:v>-1.5684158415841585</c:v>
                </c:pt>
                <c:pt idx="131">
                  <c:v>-1.5308910891089111</c:v>
                </c:pt>
                <c:pt idx="132">
                  <c:v>-1.4938118811881189</c:v>
                </c:pt>
                <c:pt idx="133">
                  <c:v>-1.4571782178217823</c:v>
                </c:pt>
                <c:pt idx="134">
                  <c:v>-1.4209900990099011</c:v>
                </c:pt>
                <c:pt idx="135">
                  <c:v>-1.3852475247524754</c:v>
                </c:pt>
                <c:pt idx="136">
                  <c:v>-1.3499504950495052</c:v>
                </c:pt>
                <c:pt idx="137">
                  <c:v>-1.3150990099009903</c:v>
                </c:pt>
                <c:pt idx="138">
                  <c:v>-1.2806930693069309</c:v>
                </c:pt>
                <c:pt idx="139">
                  <c:v>-1.246732673267327</c:v>
                </c:pt>
                <c:pt idx="140">
                  <c:v>-1.2132178217821783</c:v>
                </c:pt>
                <c:pt idx="141">
                  <c:v>-1.1801485148514854</c:v>
                </c:pt>
                <c:pt idx="142">
                  <c:v>-1.1475247524752477</c:v>
                </c:pt>
                <c:pt idx="143">
                  <c:v>-1.1153465346534654</c:v>
                </c:pt>
                <c:pt idx="144">
                  <c:v>-1.0836138613861388</c:v>
                </c:pt>
                <c:pt idx="145">
                  <c:v>-1.0523267326732675</c:v>
                </c:pt>
                <c:pt idx="146">
                  <c:v>-1.0214851485148517</c:v>
                </c:pt>
                <c:pt idx="147">
                  <c:v>-0.9910891089108913</c:v>
                </c:pt>
                <c:pt idx="148">
                  <c:v>-0.96113861386138644</c:v>
                </c:pt>
                <c:pt idx="149">
                  <c:v>-0.93163366336633691</c:v>
                </c:pt>
                <c:pt idx="150">
                  <c:v>-0.90257425742574293</c:v>
                </c:pt>
                <c:pt idx="151">
                  <c:v>-0.87396039603960429</c:v>
                </c:pt>
                <c:pt idx="152">
                  <c:v>-0.84579207920792099</c:v>
                </c:pt>
                <c:pt idx="153">
                  <c:v>-0.81806930693069324</c:v>
                </c:pt>
                <c:pt idx="154">
                  <c:v>-0.79079207920792127</c:v>
                </c:pt>
                <c:pt idx="155">
                  <c:v>-0.76396039603960419</c:v>
                </c:pt>
                <c:pt idx="156">
                  <c:v>-0.7375742574257429</c:v>
                </c:pt>
                <c:pt idx="157">
                  <c:v>-0.71163366336633693</c:v>
                </c:pt>
                <c:pt idx="158">
                  <c:v>-0.6861386138613863</c:v>
                </c:pt>
                <c:pt idx="159">
                  <c:v>-0.66108910891089145</c:v>
                </c:pt>
                <c:pt idx="160">
                  <c:v>-0.63648514851485194</c:v>
                </c:pt>
                <c:pt idx="161">
                  <c:v>-0.61232673267326776</c:v>
                </c:pt>
                <c:pt idx="162">
                  <c:v>-0.58861386138613847</c:v>
                </c:pt>
                <c:pt idx="163">
                  <c:v>-0.5653465346534654</c:v>
                </c:pt>
                <c:pt idx="164">
                  <c:v>-0.54252475247524767</c:v>
                </c:pt>
                <c:pt idx="165">
                  <c:v>-0.52014851485148528</c:v>
                </c:pt>
                <c:pt idx="166">
                  <c:v>-0.49821782178217822</c:v>
                </c:pt>
                <c:pt idx="167">
                  <c:v>-0.47673267326732693</c:v>
                </c:pt>
                <c:pt idx="168">
                  <c:v>-0.45569306930693054</c:v>
                </c:pt>
                <c:pt idx="169">
                  <c:v>-0.43509900990098993</c:v>
                </c:pt>
                <c:pt idx="170">
                  <c:v>-0.4149504950495051</c:v>
                </c:pt>
                <c:pt idx="171">
                  <c:v>-0.39524752475247515</c:v>
                </c:pt>
                <c:pt idx="172">
                  <c:v>-0.37599009900990099</c:v>
                </c:pt>
                <c:pt idx="173">
                  <c:v>-0.35717821782178216</c:v>
                </c:pt>
                <c:pt idx="174">
                  <c:v>-0.33881188118811911</c:v>
                </c:pt>
                <c:pt idx="175">
                  <c:v>-0.32089108910891095</c:v>
                </c:pt>
                <c:pt idx="176">
                  <c:v>-0.30341584158415857</c:v>
                </c:pt>
                <c:pt idx="177">
                  <c:v>-0.28638613861386153</c:v>
                </c:pt>
                <c:pt idx="178">
                  <c:v>-0.26980198019801982</c:v>
                </c:pt>
                <c:pt idx="179">
                  <c:v>-0.25366336633663389</c:v>
                </c:pt>
                <c:pt idx="180">
                  <c:v>-0.23797029702970329</c:v>
                </c:pt>
                <c:pt idx="181">
                  <c:v>-0.22272277227722803</c:v>
                </c:pt>
                <c:pt idx="182">
                  <c:v>-0.20792079207920811</c:v>
                </c:pt>
                <c:pt idx="183">
                  <c:v>-0.19356435643564396</c:v>
                </c:pt>
                <c:pt idx="184">
                  <c:v>-0.1796534653465347</c:v>
                </c:pt>
                <c:pt idx="185">
                  <c:v>-0.16618811881188122</c:v>
                </c:pt>
                <c:pt idx="186">
                  <c:v>-0.15316831683168353</c:v>
                </c:pt>
                <c:pt idx="187">
                  <c:v>-0.14059405940594072</c:v>
                </c:pt>
                <c:pt idx="188">
                  <c:v>-0.12846534653465369</c:v>
                </c:pt>
                <c:pt idx="189">
                  <c:v>-0.116782178217822</c:v>
                </c:pt>
                <c:pt idx="190">
                  <c:v>-0.10554455445544564</c:v>
                </c:pt>
                <c:pt idx="191">
                  <c:v>-9.4752475247525059E-2</c:v>
                </c:pt>
                <c:pt idx="192">
                  <c:v>-8.4405940594059814E-2</c:v>
                </c:pt>
                <c:pt idx="193">
                  <c:v>-7.4504950495049904E-2</c:v>
                </c:pt>
                <c:pt idx="194">
                  <c:v>-6.5049504950495329E-2</c:v>
                </c:pt>
                <c:pt idx="195">
                  <c:v>-5.6039603960396533E-2</c:v>
                </c:pt>
                <c:pt idx="196">
                  <c:v>-4.7475247524753073E-2</c:v>
                </c:pt>
                <c:pt idx="197">
                  <c:v>-3.9356435643564947E-2</c:v>
                </c:pt>
                <c:pt idx="198">
                  <c:v>-3.1683168316832155E-2</c:v>
                </c:pt>
                <c:pt idx="199">
                  <c:v>-2.4455445544555143E-2</c:v>
                </c:pt>
                <c:pt idx="200">
                  <c:v>-1.7673267326733022E-2</c:v>
                </c:pt>
                <c:pt idx="201">
                  <c:v>-1.133663366336668E-2</c:v>
                </c:pt>
                <c:pt idx="202">
                  <c:v>-5.4455445544556724E-3</c:v>
                </c:pt>
                <c:pt idx="2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E3-9746-A47B-9EA913EAEE6B}"/>
            </c:ext>
          </c:extLst>
        </c:ser>
        <c:ser>
          <c:idx val="0"/>
          <c:order val="4"/>
          <c:tx>
            <c:strRef>
              <c:f>'Fractal map'!$B$2</c:f>
              <c:strCache>
                <c:ptCount val="1"/>
                <c:pt idx="0">
                  <c:v>Surface, m2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'Fractal map'!$B$8:$B$211</c:f>
              <c:numCache>
                <c:formatCode>General</c:formatCode>
                <c:ptCount val="204"/>
                <c:pt idx="0">
                  <c:v>0.70685999999999993</c:v>
                </c:pt>
                <c:pt idx="1">
                  <c:v>0.65186393947950816</c:v>
                </c:pt>
                <c:pt idx="2">
                  <c:v>0.60111144980198783</c:v>
                </c:pt>
                <c:pt idx="3">
                  <c:v>0.55427835986899066</c:v>
                </c:pt>
                <c:pt idx="4">
                  <c:v>0.51106495724842271</c:v>
                </c:pt>
                <c:pt idx="5">
                  <c:v>0.47119417154205379</c:v>
                </c:pt>
                <c:pt idx="6">
                  <c:v>0.43440988993414026</c:v>
                </c:pt>
                <c:pt idx="7">
                  <c:v>0.40047539556982253</c:v>
                </c:pt>
                <c:pt idx="8">
                  <c:v>0.36917192004715937</c:v>
                </c:pt>
                <c:pt idx="9">
                  <c:v>0.34029730190140678</c:v>
                </c:pt>
                <c:pt idx="10">
                  <c:v>0.31366474351671852</c:v>
                </c:pt>
                <c:pt idx="11">
                  <c:v>0.28910165942104604</c:v>
                </c:pt>
                <c:pt idx="12">
                  <c:v>0.26644860940673237</c:v>
                </c:pt>
                <c:pt idx="13">
                  <c:v>0.24555831037414183</c:v>
                </c:pt>
                <c:pt idx="14">
                  <c:v>0.22629472122053479</c:v>
                </c:pt>
                <c:pt idx="15">
                  <c:v>0.20853219549311153</c:v>
                </c:pt>
                <c:pt idx="16">
                  <c:v>0.19215469689541748</c:v>
                </c:pt>
                <c:pt idx="17">
                  <c:v>0.17705507308176177</c:v>
                </c:pt>
                <c:pt idx="18">
                  <c:v>0.16313438349649445</c:v>
                </c:pt>
                <c:pt idx="19">
                  <c:v>0.1503012773153781</c:v>
                </c:pt>
                <c:pt idx="20">
                  <c:v>0.13847141782624939</c:v>
                </c:pt>
                <c:pt idx="21">
                  <c:v>0.12756694984701211</c:v>
                </c:pt>
                <c:pt idx="22">
                  <c:v>0.11751600702195039</c:v>
                </c:pt>
                <c:pt idx="23">
                  <c:v>0.1082522560635668</c:v>
                </c:pt>
                <c:pt idx="24">
                  <c:v>9.9714475217722864E-2</c:v>
                </c:pt>
                <c:pt idx="25">
                  <c:v>9.1846164425811783E-2</c:v>
                </c:pt>
                <c:pt idx="26">
                  <c:v>8.4595184839995813E-2</c:v>
                </c:pt>
                <c:pt idx="27">
                  <c:v>7.7913425517093376E-2</c:v>
                </c:pt>
                <c:pt idx="28">
                  <c:v>7.1756495274358081E-2</c:v>
                </c:pt>
                <c:pt idx="29">
                  <c:v>6.6083437836950323E-2</c:v>
                </c:pt>
                <c:pt idx="30">
                  <c:v>6.085646854311115E-2</c:v>
                </c:pt>
                <c:pt idx="31">
                  <c:v>5.6040730999606075E-2</c:v>
                </c:pt>
                <c:pt idx="32">
                  <c:v>5.160407219757409E-2</c:v>
                </c:pt>
                <c:pt idx="33">
                  <c:v>4.7516834708106422E-2</c:v>
                </c:pt>
                <c:pt idx="34">
                  <c:v>4.3751664678265752E-2</c:v>
                </c:pt>
                <c:pt idx="35">
                  <c:v>4.0283334442380199E-2</c:v>
                </c:pt>
                <c:pt idx="36">
                  <c:v>4.0150270099009865E-2</c:v>
                </c:pt>
                <c:pt idx="37">
                  <c:v>4.039288871287125E-2</c:v>
                </c:pt>
                <c:pt idx="38">
                  <c:v>4.0635507326732635E-2</c:v>
                </c:pt>
                <c:pt idx="39">
                  <c:v>4.0878125940594028E-2</c:v>
                </c:pt>
                <c:pt idx="40">
                  <c:v>4.1120744554455406E-2</c:v>
                </c:pt>
                <c:pt idx="41">
                  <c:v>4.1363363168316791E-2</c:v>
                </c:pt>
                <c:pt idx="42">
                  <c:v>4.1605981782178184E-2</c:v>
                </c:pt>
                <c:pt idx="43">
                  <c:v>4.1848600396039569E-2</c:v>
                </c:pt>
                <c:pt idx="44">
                  <c:v>4.2091219009900954E-2</c:v>
                </c:pt>
                <c:pt idx="45">
                  <c:v>4.233383762376234E-2</c:v>
                </c:pt>
                <c:pt idx="46">
                  <c:v>4.2576456237623725E-2</c:v>
                </c:pt>
                <c:pt idx="47">
                  <c:v>4.281907485148511E-2</c:v>
                </c:pt>
                <c:pt idx="48">
                  <c:v>4.3061693465346489E-2</c:v>
                </c:pt>
                <c:pt idx="49">
                  <c:v>4.3304312079207874E-2</c:v>
                </c:pt>
                <c:pt idx="50">
                  <c:v>4.3546930693069266E-2</c:v>
                </c:pt>
                <c:pt idx="51">
                  <c:v>4.3789549306930652E-2</c:v>
                </c:pt>
                <c:pt idx="52">
                  <c:v>4.4032167920792037E-2</c:v>
                </c:pt>
                <c:pt idx="53">
                  <c:v>4.4274786534653422E-2</c:v>
                </c:pt>
                <c:pt idx="54">
                  <c:v>4.4517405148514808E-2</c:v>
                </c:pt>
                <c:pt idx="55">
                  <c:v>4.4760023762376193E-2</c:v>
                </c:pt>
                <c:pt idx="56">
                  <c:v>4.5002642376237578E-2</c:v>
                </c:pt>
                <c:pt idx="57">
                  <c:v>4.5245260990098971E-2</c:v>
                </c:pt>
                <c:pt idx="58">
                  <c:v>4.5487879603960349E-2</c:v>
                </c:pt>
                <c:pt idx="59">
                  <c:v>4.5730498217821741E-2</c:v>
                </c:pt>
                <c:pt idx="60">
                  <c:v>4.5973116831683127E-2</c:v>
                </c:pt>
                <c:pt idx="61">
                  <c:v>4.6215735445544512E-2</c:v>
                </c:pt>
                <c:pt idx="62">
                  <c:v>4.6458354059405897E-2</c:v>
                </c:pt>
                <c:pt idx="63">
                  <c:v>4.6700972673267283E-2</c:v>
                </c:pt>
                <c:pt idx="64">
                  <c:v>4.6943591287128668E-2</c:v>
                </c:pt>
                <c:pt idx="65">
                  <c:v>4.7186209900990053E-2</c:v>
                </c:pt>
                <c:pt idx="66">
                  <c:v>4.7428828514851445E-2</c:v>
                </c:pt>
                <c:pt idx="67">
                  <c:v>4.7671447128712831E-2</c:v>
                </c:pt>
                <c:pt idx="68">
                  <c:v>4.7914065742574202E-2</c:v>
                </c:pt>
                <c:pt idx="69">
                  <c:v>4.8156684356435588E-2</c:v>
                </c:pt>
                <c:pt idx="70">
                  <c:v>4.8399302970296973E-2</c:v>
                </c:pt>
                <c:pt idx="71">
                  <c:v>4.8641921584158358E-2</c:v>
                </c:pt>
                <c:pt idx="72">
                  <c:v>4.8884540198019744E-2</c:v>
                </c:pt>
                <c:pt idx="73">
                  <c:v>4.9127158811881129E-2</c:v>
                </c:pt>
                <c:pt idx="74">
                  <c:v>4.9369777425742528E-2</c:v>
                </c:pt>
                <c:pt idx="75">
                  <c:v>4.9612396039603907E-2</c:v>
                </c:pt>
                <c:pt idx="76">
                  <c:v>4.9855014653465292E-2</c:v>
                </c:pt>
                <c:pt idx="77">
                  <c:v>5.0097633267326677E-2</c:v>
                </c:pt>
                <c:pt idx="78">
                  <c:v>5.0340251881188063E-2</c:v>
                </c:pt>
                <c:pt idx="79">
                  <c:v>5.0582870495049448E-2</c:v>
                </c:pt>
                <c:pt idx="80">
                  <c:v>5.0825489108910833E-2</c:v>
                </c:pt>
                <c:pt idx="81">
                  <c:v>5.1068107722772232E-2</c:v>
                </c:pt>
                <c:pt idx="82">
                  <c:v>5.1310726336633611E-2</c:v>
                </c:pt>
                <c:pt idx="83">
                  <c:v>5.1553344950494989E-2</c:v>
                </c:pt>
                <c:pt idx="84">
                  <c:v>5.1795963564356381E-2</c:v>
                </c:pt>
                <c:pt idx="85">
                  <c:v>5.2038582178217767E-2</c:v>
                </c:pt>
                <c:pt idx="86">
                  <c:v>5.2281200792079152E-2</c:v>
                </c:pt>
                <c:pt idx="87">
                  <c:v>5.2523819405940537E-2</c:v>
                </c:pt>
                <c:pt idx="88">
                  <c:v>5.2766438019801923E-2</c:v>
                </c:pt>
                <c:pt idx="89">
                  <c:v>5.3009056633663315E-2</c:v>
                </c:pt>
                <c:pt idx="90">
                  <c:v>5.3251675247524694E-2</c:v>
                </c:pt>
                <c:pt idx="91">
                  <c:v>5.3494293861386086E-2</c:v>
                </c:pt>
                <c:pt idx="92">
                  <c:v>5.3736912475247471E-2</c:v>
                </c:pt>
                <c:pt idx="93">
                  <c:v>5.397953108910885E-2</c:v>
                </c:pt>
                <c:pt idx="94">
                  <c:v>5.4222149702970242E-2</c:v>
                </c:pt>
                <c:pt idx="95">
                  <c:v>5.4464768316831627E-2</c:v>
                </c:pt>
                <c:pt idx="96">
                  <c:v>5.4707386930693019E-2</c:v>
                </c:pt>
                <c:pt idx="97">
                  <c:v>5.4950005544554398E-2</c:v>
                </c:pt>
                <c:pt idx="98">
                  <c:v>5.5192624158415783E-2</c:v>
                </c:pt>
                <c:pt idx="99">
                  <c:v>5.5435242772277175E-2</c:v>
                </c:pt>
                <c:pt idx="100">
                  <c:v>5.5677861386138554E-2</c:v>
                </c:pt>
                <c:pt idx="101">
                  <c:v>5.5677861386138554E-2</c:v>
                </c:pt>
                <c:pt idx="103">
                  <c:v>18</c:v>
                </c:pt>
                <c:pt idx="104">
                  <c:v>12.789229075840376</c:v>
                </c:pt>
                <c:pt idx="105">
                  <c:v>9.0861754498471416</c:v>
                </c:pt>
                <c:pt idx="106">
                  <c:v>6.4547900641103801</c:v>
                </c:pt>
                <c:pt idx="107">
                  <c:v>4.5850778971805237</c:v>
                </c:pt>
                <c:pt idx="108">
                  <c:v>3.2566735913315901</c:v>
                </c:pt>
                <c:pt idx="109">
                  <c:v>2.3129378806156229</c:v>
                </c:pt>
                <c:pt idx="110">
                  <c:v>1.6425371962706068</c:v>
                </c:pt>
                <c:pt idx="111">
                  <c:v>1.1663455323246932</c:v>
                </c:pt>
                <c:pt idx="112">
                  <c:v>0.82813142163935982</c:v>
                </c:pt>
                <c:pt idx="113">
                  <c:v>0.58793665097878001</c:v>
                </c:pt>
                <c:pt idx="114">
                  <c:v>0.41736905055996443</c:v>
                </c:pt>
                <c:pt idx="115">
                  <c:v>0.29625627610784971</c:v>
                </c:pt>
                <c:pt idx="116">
                  <c:v>0.2102672517660224</c:v>
                </c:pt>
                <c:pt idx="117">
                  <c:v>0.14922156900377684</c:v>
                </c:pt>
                <c:pt idx="118">
                  <c:v>0.1058879517710212</c:v>
                </c:pt>
                <c:pt idx="119">
                  <c:v>7.5130372867285258E-2</c:v>
                </c:pt>
                <c:pt idx="120">
                  <c:v>5.3301279164790397E-2</c:v>
                </c:pt>
                <c:pt idx="121">
                  <c:v>4.5686300721440705E-2</c:v>
                </c:pt>
                <c:pt idx="122">
                  <c:v>4.5201422529821643E-2</c:v>
                </c:pt>
                <c:pt idx="123">
                  <c:v>4.4716544338202581E-2</c:v>
                </c:pt>
                <c:pt idx="124">
                  <c:v>4.4231666146583505E-2</c:v>
                </c:pt>
                <c:pt idx="125">
                  <c:v>4.3746787954964443E-2</c:v>
                </c:pt>
                <c:pt idx="126">
                  <c:v>4.3261909763345381E-2</c:v>
                </c:pt>
                <c:pt idx="127">
                  <c:v>4.2777031571726312E-2</c:v>
                </c:pt>
                <c:pt idx="128">
                  <c:v>4.2292153380107257E-2</c:v>
                </c:pt>
                <c:pt idx="129">
                  <c:v>4.1807275188488188E-2</c:v>
                </c:pt>
                <c:pt idx="130">
                  <c:v>4.1322396996869126E-2</c:v>
                </c:pt>
                <c:pt idx="131">
                  <c:v>4.0837518805250057E-2</c:v>
                </c:pt>
                <c:pt idx="132">
                  <c:v>4.0352640613630995E-2</c:v>
                </c:pt>
                <c:pt idx="133">
                  <c:v>3.986776242201194E-2</c:v>
                </c:pt>
                <c:pt idx="134">
                  <c:v>3.9382884230392871E-2</c:v>
                </c:pt>
                <c:pt idx="135">
                  <c:v>3.8898006038773809E-2</c:v>
                </c:pt>
                <c:pt idx="136">
                  <c:v>3.841312784715474E-2</c:v>
                </c:pt>
                <c:pt idx="137">
                  <c:v>3.7928249655535679E-2</c:v>
                </c:pt>
                <c:pt idx="138">
                  <c:v>3.7443371463916617E-2</c:v>
                </c:pt>
                <c:pt idx="139">
                  <c:v>3.6958493272297555E-2</c:v>
                </c:pt>
                <c:pt idx="140">
                  <c:v>3.6473615080678486E-2</c:v>
                </c:pt>
                <c:pt idx="141">
                  <c:v>3.5988736889059417E-2</c:v>
                </c:pt>
                <c:pt idx="142">
                  <c:v>3.5503858697440355E-2</c:v>
                </c:pt>
                <c:pt idx="143">
                  <c:v>3.5018980505821293E-2</c:v>
                </c:pt>
                <c:pt idx="144">
                  <c:v>3.4534102314202231E-2</c:v>
                </c:pt>
                <c:pt idx="145">
                  <c:v>3.4049224122583169E-2</c:v>
                </c:pt>
                <c:pt idx="146">
                  <c:v>3.3564345930964093E-2</c:v>
                </c:pt>
                <c:pt idx="147">
                  <c:v>3.3079467739345031E-2</c:v>
                </c:pt>
                <c:pt idx="148">
                  <c:v>3.2594589547725969E-2</c:v>
                </c:pt>
                <c:pt idx="149">
                  <c:v>3.2109711356106907E-2</c:v>
                </c:pt>
                <c:pt idx="150">
                  <c:v>3.1624833164487845E-2</c:v>
                </c:pt>
                <c:pt idx="151">
                  <c:v>3.113995497286878E-2</c:v>
                </c:pt>
                <c:pt idx="152">
                  <c:v>3.0655076781249711E-2</c:v>
                </c:pt>
                <c:pt idx="153">
                  <c:v>3.0170198589630652E-2</c:v>
                </c:pt>
                <c:pt idx="154">
                  <c:v>2.968532039801159E-2</c:v>
                </c:pt>
                <c:pt idx="155">
                  <c:v>2.9200442206392525E-2</c:v>
                </c:pt>
                <c:pt idx="156">
                  <c:v>2.8715564014773456E-2</c:v>
                </c:pt>
                <c:pt idx="157">
                  <c:v>2.823068582315439E-2</c:v>
                </c:pt>
                <c:pt idx="158">
                  <c:v>2.7745807631535328E-2</c:v>
                </c:pt>
                <c:pt idx="159">
                  <c:v>2.7260929439916266E-2</c:v>
                </c:pt>
                <c:pt idx="160">
                  <c:v>2.6776051248297201E-2</c:v>
                </c:pt>
                <c:pt idx="161">
                  <c:v>2.6291173056678135E-2</c:v>
                </c:pt>
                <c:pt idx="162">
                  <c:v>2.5806294865059073E-2</c:v>
                </c:pt>
                <c:pt idx="163">
                  <c:v>2.5321416673440005E-2</c:v>
                </c:pt>
                <c:pt idx="164">
                  <c:v>2.4836538481820946E-2</c:v>
                </c:pt>
                <c:pt idx="165">
                  <c:v>2.4351660290201881E-2</c:v>
                </c:pt>
                <c:pt idx="166">
                  <c:v>2.3866782098582819E-2</c:v>
                </c:pt>
                <c:pt idx="167">
                  <c:v>2.3381903906963753E-2</c:v>
                </c:pt>
                <c:pt idx="168">
                  <c:v>2.2897025715344688E-2</c:v>
                </c:pt>
                <c:pt idx="169">
                  <c:v>2.2412147523725626E-2</c:v>
                </c:pt>
                <c:pt idx="170">
                  <c:v>2.1927269332106557E-2</c:v>
                </c:pt>
                <c:pt idx="171">
                  <c:v>2.1442391140487495E-2</c:v>
                </c:pt>
                <c:pt idx="172">
                  <c:v>2.0957512948868433E-2</c:v>
                </c:pt>
                <c:pt idx="173">
                  <c:v>2.0472634757249371E-2</c:v>
                </c:pt>
                <c:pt idx="174">
                  <c:v>1.9987756565630302E-2</c:v>
                </c:pt>
                <c:pt idx="175">
                  <c:v>1.9502878374011236E-2</c:v>
                </c:pt>
                <c:pt idx="176">
                  <c:v>1.9018000182392171E-2</c:v>
                </c:pt>
                <c:pt idx="177">
                  <c:v>1.8533121990773109E-2</c:v>
                </c:pt>
                <c:pt idx="178">
                  <c:v>1.804824379915405E-2</c:v>
                </c:pt>
                <c:pt idx="179">
                  <c:v>1.7563365607534985E-2</c:v>
                </c:pt>
                <c:pt idx="180">
                  <c:v>1.7078487415915923E-2</c:v>
                </c:pt>
                <c:pt idx="181">
                  <c:v>1.6593609224296858E-2</c:v>
                </c:pt>
                <c:pt idx="182">
                  <c:v>1.6108731032677792E-2</c:v>
                </c:pt>
                <c:pt idx="183">
                  <c:v>1.5623852841058727E-2</c:v>
                </c:pt>
                <c:pt idx="184">
                  <c:v>1.5138974649439665E-2</c:v>
                </c:pt>
                <c:pt idx="185">
                  <c:v>1.4654096457820599E-2</c:v>
                </c:pt>
                <c:pt idx="186">
                  <c:v>1.4169218266201537E-2</c:v>
                </c:pt>
                <c:pt idx="187">
                  <c:v>1.3684340074582472E-2</c:v>
                </c:pt>
                <c:pt idx="188">
                  <c:v>1.3199461882963406E-2</c:v>
                </c:pt>
                <c:pt idx="189">
                  <c:v>1.2714583691344343E-2</c:v>
                </c:pt>
                <c:pt idx="190">
                  <c:v>1.2229705499725279E-2</c:v>
                </c:pt>
                <c:pt idx="191">
                  <c:v>1.1744827308106214E-2</c:v>
                </c:pt>
                <c:pt idx="192">
                  <c:v>1.1259949116487148E-2</c:v>
                </c:pt>
                <c:pt idx="193">
                  <c:v>1.0775070924868084E-2</c:v>
                </c:pt>
                <c:pt idx="194">
                  <c:v>1.0290192733249019E-2</c:v>
                </c:pt>
                <c:pt idx="195">
                  <c:v>9.8053145416299569E-3</c:v>
                </c:pt>
                <c:pt idx="196">
                  <c:v>9.3204363500108897E-3</c:v>
                </c:pt>
                <c:pt idx="197">
                  <c:v>8.835558158391826E-3</c:v>
                </c:pt>
                <c:pt idx="198">
                  <c:v>8.3506799667727623E-3</c:v>
                </c:pt>
                <c:pt idx="199">
                  <c:v>7.8658017751536968E-3</c:v>
                </c:pt>
                <c:pt idx="200">
                  <c:v>7.3809235835346401E-3</c:v>
                </c:pt>
                <c:pt idx="201">
                  <c:v>6.8960453919155763E-3</c:v>
                </c:pt>
                <c:pt idx="202">
                  <c:v>6.4111672002965117E-3</c:v>
                </c:pt>
                <c:pt idx="203">
                  <c:v>5.9262890086774472E-3</c:v>
                </c:pt>
              </c:numCache>
            </c:numRef>
          </c:xVal>
          <c:yVal>
            <c:numRef>
              <c:f>'Fractal map'!$A$8:$A$211</c:f>
              <c:numCache>
                <c:formatCode>General</c:formatCode>
                <c:ptCount val="204"/>
                <c:pt idx="0">
                  <c:v>7</c:v>
                </c:pt>
                <c:pt idx="1">
                  <c:v>6.95</c:v>
                </c:pt>
                <c:pt idx="2">
                  <c:v>6.8996138613861389</c:v>
                </c:pt>
                <c:pt idx="3">
                  <c:v>6.848841584158416</c:v>
                </c:pt>
                <c:pt idx="4">
                  <c:v>6.7976831683168317</c:v>
                </c:pt>
                <c:pt idx="5">
                  <c:v>6.7461386138613859</c:v>
                </c:pt>
                <c:pt idx="6">
                  <c:v>6.6942079207920795</c:v>
                </c:pt>
                <c:pt idx="7">
                  <c:v>6.6418910891089107</c:v>
                </c:pt>
                <c:pt idx="8">
                  <c:v>6.5891881188118813</c:v>
                </c:pt>
                <c:pt idx="9">
                  <c:v>6.5360990099009904</c:v>
                </c:pt>
                <c:pt idx="10">
                  <c:v>6.4826237623762379</c:v>
                </c:pt>
                <c:pt idx="11">
                  <c:v>6.428762376237624</c:v>
                </c:pt>
                <c:pt idx="12">
                  <c:v>6.3745148514851486</c:v>
                </c:pt>
                <c:pt idx="13">
                  <c:v>6.3198811881188117</c:v>
                </c:pt>
                <c:pt idx="14">
                  <c:v>6.2648613861386142</c:v>
                </c:pt>
                <c:pt idx="15">
                  <c:v>6.2094554455445543</c:v>
                </c:pt>
                <c:pt idx="16">
                  <c:v>6.1536633663366338</c:v>
                </c:pt>
                <c:pt idx="17">
                  <c:v>6.0974851485148518</c:v>
                </c:pt>
                <c:pt idx="18">
                  <c:v>6.0409207920792083</c:v>
                </c:pt>
                <c:pt idx="19">
                  <c:v>5.9839702970297033</c:v>
                </c:pt>
                <c:pt idx="20">
                  <c:v>5.9266336633663368</c:v>
                </c:pt>
                <c:pt idx="21">
                  <c:v>5.8689108910891088</c:v>
                </c:pt>
                <c:pt idx="22">
                  <c:v>5.8108019801980202</c:v>
                </c:pt>
                <c:pt idx="23">
                  <c:v>5.7523069306930692</c:v>
                </c:pt>
                <c:pt idx="24">
                  <c:v>5.6934257425742576</c:v>
                </c:pt>
                <c:pt idx="25">
                  <c:v>5.6341584158415845</c:v>
                </c:pt>
                <c:pt idx="26">
                  <c:v>5.574504950495049</c:v>
                </c:pt>
                <c:pt idx="27">
                  <c:v>5.5144653465346529</c:v>
                </c:pt>
                <c:pt idx="28">
                  <c:v>5.4540396039603962</c:v>
                </c:pt>
                <c:pt idx="29">
                  <c:v>5.3932277227722771</c:v>
                </c:pt>
                <c:pt idx="30">
                  <c:v>5.3320297029702974</c:v>
                </c:pt>
                <c:pt idx="31">
                  <c:v>5.2704455445544554</c:v>
                </c:pt>
                <c:pt idx="32">
                  <c:v>5.2084752475247527</c:v>
                </c:pt>
                <c:pt idx="33">
                  <c:v>5.1461188118811876</c:v>
                </c:pt>
                <c:pt idx="34">
                  <c:v>5.0833762376237619</c:v>
                </c:pt>
                <c:pt idx="35">
                  <c:v>5.0202475247524756</c:v>
                </c:pt>
                <c:pt idx="36">
                  <c:v>4.9567326732673269</c:v>
                </c:pt>
                <c:pt idx="37">
                  <c:v>4.8928316831683167</c:v>
                </c:pt>
                <c:pt idx="38">
                  <c:v>4.8285445544554459</c:v>
                </c:pt>
                <c:pt idx="39">
                  <c:v>4.7638712871287128</c:v>
                </c:pt>
                <c:pt idx="40">
                  <c:v>4.698811881188119</c:v>
                </c:pt>
                <c:pt idx="41">
                  <c:v>4.6333663366336637</c:v>
                </c:pt>
                <c:pt idx="42">
                  <c:v>4.5675346534653469</c:v>
                </c:pt>
                <c:pt idx="43">
                  <c:v>4.5013168316831687</c:v>
                </c:pt>
                <c:pt idx="44">
                  <c:v>4.4347128712871289</c:v>
                </c:pt>
                <c:pt idx="45">
                  <c:v>4.3677227722772276</c:v>
                </c:pt>
                <c:pt idx="46">
                  <c:v>4.3003465346534657</c:v>
                </c:pt>
                <c:pt idx="47">
                  <c:v>4.2325841584158415</c:v>
                </c:pt>
                <c:pt idx="48">
                  <c:v>4.1644356435643566</c:v>
                </c:pt>
                <c:pt idx="49">
                  <c:v>4.0959009900990102</c:v>
                </c:pt>
                <c:pt idx="50">
                  <c:v>4.0269801980198023</c:v>
                </c:pt>
                <c:pt idx="51">
                  <c:v>3.957673267326733</c:v>
                </c:pt>
                <c:pt idx="52">
                  <c:v>3.8879801980198021</c:v>
                </c:pt>
                <c:pt idx="53">
                  <c:v>3.8179009900990102</c:v>
                </c:pt>
                <c:pt idx="54">
                  <c:v>3.7474356435643568</c:v>
                </c:pt>
                <c:pt idx="55">
                  <c:v>3.6765841584158419</c:v>
                </c:pt>
                <c:pt idx="56">
                  <c:v>3.6053465346534654</c:v>
                </c:pt>
                <c:pt idx="57">
                  <c:v>3.533722772277228</c:v>
                </c:pt>
                <c:pt idx="58">
                  <c:v>3.461712871287129</c:v>
                </c:pt>
                <c:pt idx="59">
                  <c:v>3.3893168316831686</c:v>
                </c:pt>
                <c:pt idx="60">
                  <c:v>3.3165346534653466</c:v>
                </c:pt>
                <c:pt idx="61">
                  <c:v>3.2433663366336636</c:v>
                </c:pt>
                <c:pt idx="62">
                  <c:v>3.1698118811881191</c:v>
                </c:pt>
                <c:pt idx="63">
                  <c:v>3.0958712871287131</c:v>
                </c:pt>
                <c:pt idx="64">
                  <c:v>3.0215445544554456</c:v>
                </c:pt>
                <c:pt idx="65">
                  <c:v>2.946831683168317</c:v>
                </c:pt>
                <c:pt idx="66">
                  <c:v>2.871732673267327</c:v>
                </c:pt>
                <c:pt idx="67">
                  <c:v>2.7962475247524754</c:v>
                </c:pt>
                <c:pt idx="68">
                  <c:v>2.7203762376237623</c:v>
                </c:pt>
                <c:pt idx="69">
                  <c:v>2.6441188118811878</c:v>
                </c:pt>
                <c:pt idx="70">
                  <c:v>2.5674752475247526</c:v>
                </c:pt>
                <c:pt idx="71">
                  <c:v>2.4904455445544551</c:v>
                </c:pt>
                <c:pt idx="72">
                  <c:v>2.413029702970297</c:v>
                </c:pt>
                <c:pt idx="73">
                  <c:v>2.3352277227722773</c:v>
                </c:pt>
                <c:pt idx="74">
                  <c:v>2.2570396039603962</c:v>
                </c:pt>
                <c:pt idx="75">
                  <c:v>2.1784653465346535</c:v>
                </c:pt>
                <c:pt idx="76">
                  <c:v>2.0995049504950494</c:v>
                </c:pt>
                <c:pt idx="77">
                  <c:v>2.0201584158415837</c:v>
                </c:pt>
                <c:pt idx="78">
                  <c:v>1.9404257425742575</c:v>
                </c:pt>
                <c:pt idx="79">
                  <c:v>1.8603069306930688</c:v>
                </c:pt>
                <c:pt idx="80">
                  <c:v>1.7798019801980196</c:v>
                </c:pt>
                <c:pt idx="81">
                  <c:v>1.6989108910891089</c:v>
                </c:pt>
                <c:pt idx="82">
                  <c:v>1.6176336633663366</c:v>
                </c:pt>
                <c:pt idx="83">
                  <c:v>1.5359702970297029</c:v>
                </c:pt>
                <c:pt idx="84">
                  <c:v>1.4539207920792077</c:v>
                </c:pt>
                <c:pt idx="85">
                  <c:v>1.3714851485148509</c:v>
                </c:pt>
                <c:pt idx="86">
                  <c:v>1.2886633663366336</c:v>
                </c:pt>
                <c:pt idx="87">
                  <c:v>1.2054554455445539</c:v>
                </c:pt>
                <c:pt idx="88">
                  <c:v>1.1218613861386135</c:v>
                </c:pt>
                <c:pt idx="89">
                  <c:v>1.0378811881188117</c:v>
                </c:pt>
                <c:pt idx="90">
                  <c:v>0.95351485148514836</c:v>
                </c:pt>
                <c:pt idx="91">
                  <c:v>0.86876237623762353</c:v>
                </c:pt>
                <c:pt idx="92">
                  <c:v>0.78362376237623721</c:v>
                </c:pt>
                <c:pt idx="93">
                  <c:v>0.69809900990098939</c:v>
                </c:pt>
                <c:pt idx="94">
                  <c:v>0.61218811881188184</c:v>
                </c:pt>
                <c:pt idx="95">
                  <c:v>0.52589108910891191</c:v>
                </c:pt>
                <c:pt idx="96">
                  <c:v>0.43920792079208049</c:v>
                </c:pt>
                <c:pt idx="97">
                  <c:v>0.35213861386138667</c:v>
                </c:pt>
                <c:pt idx="98">
                  <c:v>0.26468316831683225</c:v>
                </c:pt>
                <c:pt idx="99">
                  <c:v>0.17684158415841633</c:v>
                </c:pt>
                <c:pt idx="100">
                  <c:v>8.8613861386139803E-2</c:v>
                </c:pt>
                <c:pt idx="101">
                  <c:v>0</c:v>
                </c:pt>
                <c:pt idx="103">
                  <c:v>-2.7500000000000004</c:v>
                </c:pt>
                <c:pt idx="104">
                  <c:v>-2.7004455445544555</c:v>
                </c:pt>
                <c:pt idx="105">
                  <c:v>-2.6513366336633668</c:v>
                </c:pt>
                <c:pt idx="106">
                  <c:v>-2.602673267326733</c:v>
                </c:pt>
                <c:pt idx="107">
                  <c:v>-2.5544554455445549</c:v>
                </c:pt>
                <c:pt idx="108">
                  <c:v>-2.5066831683168318</c:v>
                </c:pt>
                <c:pt idx="109">
                  <c:v>-2.4593564356435644</c:v>
                </c:pt>
                <c:pt idx="110">
                  <c:v>-2.4124752475247528</c:v>
                </c:pt>
                <c:pt idx="111">
                  <c:v>-2.3660396039603961</c:v>
                </c:pt>
                <c:pt idx="112">
                  <c:v>-2.3200495049504952</c:v>
                </c:pt>
                <c:pt idx="113">
                  <c:v>-2.2745049504950496</c:v>
                </c:pt>
                <c:pt idx="114">
                  <c:v>-2.2294059405940594</c:v>
                </c:pt>
                <c:pt idx="115">
                  <c:v>-2.1847524752475249</c:v>
                </c:pt>
                <c:pt idx="116">
                  <c:v>-2.1405445544554458</c:v>
                </c:pt>
                <c:pt idx="117">
                  <c:v>-2.096782178217822</c:v>
                </c:pt>
                <c:pt idx="118">
                  <c:v>-2.0534653465346535</c:v>
                </c:pt>
                <c:pt idx="119">
                  <c:v>-2.0105940594059408</c:v>
                </c:pt>
                <c:pt idx="120">
                  <c:v>-1.9681683168316835</c:v>
                </c:pt>
                <c:pt idx="121">
                  <c:v>-1.9261881188118815</c:v>
                </c:pt>
                <c:pt idx="122">
                  <c:v>-1.884653465346535</c:v>
                </c:pt>
                <c:pt idx="123">
                  <c:v>-1.8435643564356439</c:v>
                </c:pt>
                <c:pt idx="124">
                  <c:v>-1.8029207920792083</c:v>
                </c:pt>
                <c:pt idx="125">
                  <c:v>-1.7627227722772281</c:v>
                </c:pt>
                <c:pt idx="126">
                  <c:v>-1.7229702970297032</c:v>
                </c:pt>
                <c:pt idx="127">
                  <c:v>-1.683663366336634</c:v>
                </c:pt>
                <c:pt idx="128">
                  <c:v>-1.64480198019802</c:v>
                </c:pt>
                <c:pt idx="129">
                  <c:v>-1.6063861386138616</c:v>
                </c:pt>
                <c:pt idx="130">
                  <c:v>-1.5684158415841585</c:v>
                </c:pt>
                <c:pt idx="131">
                  <c:v>-1.5308910891089111</c:v>
                </c:pt>
                <c:pt idx="132">
                  <c:v>-1.4938118811881189</c:v>
                </c:pt>
                <c:pt idx="133">
                  <c:v>-1.4571782178217823</c:v>
                </c:pt>
                <c:pt idx="134">
                  <c:v>-1.4209900990099011</c:v>
                </c:pt>
                <c:pt idx="135">
                  <c:v>-1.3852475247524754</c:v>
                </c:pt>
                <c:pt idx="136">
                  <c:v>-1.3499504950495052</c:v>
                </c:pt>
                <c:pt idx="137">
                  <c:v>-1.3150990099009903</c:v>
                </c:pt>
                <c:pt idx="138">
                  <c:v>-1.2806930693069309</c:v>
                </c:pt>
                <c:pt idx="139">
                  <c:v>-1.246732673267327</c:v>
                </c:pt>
                <c:pt idx="140">
                  <c:v>-1.2132178217821783</c:v>
                </c:pt>
                <c:pt idx="141">
                  <c:v>-1.1801485148514854</c:v>
                </c:pt>
                <c:pt idx="142">
                  <c:v>-1.1475247524752477</c:v>
                </c:pt>
                <c:pt idx="143">
                  <c:v>-1.1153465346534654</c:v>
                </c:pt>
                <c:pt idx="144">
                  <c:v>-1.0836138613861388</c:v>
                </c:pt>
                <c:pt idx="145">
                  <c:v>-1.0523267326732675</c:v>
                </c:pt>
                <c:pt idx="146">
                  <c:v>-1.0214851485148517</c:v>
                </c:pt>
                <c:pt idx="147">
                  <c:v>-0.9910891089108913</c:v>
                </c:pt>
                <c:pt idx="148">
                  <c:v>-0.96113861386138644</c:v>
                </c:pt>
                <c:pt idx="149">
                  <c:v>-0.93163366336633691</c:v>
                </c:pt>
                <c:pt idx="150">
                  <c:v>-0.90257425742574293</c:v>
                </c:pt>
                <c:pt idx="151">
                  <c:v>-0.87396039603960429</c:v>
                </c:pt>
                <c:pt idx="152">
                  <c:v>-0.84579207920792099</c:v>
                </c:pt>
                <c:pt idx="153">
                  <c:v>-0.81806930693069324</c:v>
                </c:pt>
                <c:pt idx="154">
                  <c:v>-0.79079207920792127</c:v>
                </c:pt>
                <c:pt idx="155">
                  <c:v>-0.76396039603960419</c:v>
                </c:pt>
                <c:pt idx="156">
                  <c:v>-0.7375742574257429</c:v>
                </c:pt>
                <c:pt idx="157">
                  <c:v>-0.71163366336633693</c:v>
                </c:pt>
                <c:pt idx="158">
                  <c:v>-0.6861386138613863</c:v>
                </c:pt>
                <c:pt idx="159">
                  <c:v>-0.66108910891089145</c:v>
                </c:pt>
                <c:pt idx="160">
                  <c:v>-0.63648514851485194</c:v>
                </c:pt>
                <c:pt idx="161">
                  <c:v>-0.61232673267326776</c:v>
                </c:pt>
                <c:pt idx="162">
                  <c:v>-0.58861386138613847</c:v>
                </c:pt>
                <c:pt idx="163">
                  <c:v>-0.5653465346534654</c:v>
                </c:pt>
                <c:pt idx="164">
                  <c:v>-0.54252475247524767</c:v>
                </c:pt>
                <c:pt idx="165">
                  <c:v>-0.52014851485148528</c:v>
                </c:pt>
                <c:pt idx="166">
                  <c:v>-0.49821782178217822</c:v>
                </c:pt>
                <c:pt idx="167">
                  <c:v>-0.47673267326732693</c:v>
                </c:pt>
                <c:pt idx="168">
                  <c:v>-0.45569306930693054</c:v>
                </c:pt>
                <c:pt idx="169">
                  <c:v>-0.43509900990098993</c:v>
                </c:pt>
                <c:pt idx="170">
                  <c:v>-0.4149504950495051</c:v>
                </c:pt>
                <c:pt idx="171">
                  <c:v>-0.39524752475247515</c:v>
                </c:pt>
                <c:pt idx="172">
                  <c:v>-0.37599009900990099</c:v>
                </c:pt>
                <c:pt idx="173">
                  <c:v>-0.35717821782178216</c:v>
                </c:pt>
                <c:pt idx="174">
                  <c:v>-0.33881188118811911</c:v>
                </c:pt>
                <c:pt idx="175">
                  <c:v>-0.32089108910891095</c:v>
                </c:pt>
                <c:pt idx="176">
                  <c:v>-0.30341584158415857</c:v>
                </c:pt>
                <c:pt idx="177">
                  <c:v>-0.28638613861386153</c:v>
                </c:pt>
                <c:pt idx="178">
                  <c:v>-0.26980198019801982</c:v>
                </c:pt>
                <c:pt idx="179">
                  <c:v>-0.25366336633663389</c:v>
                </c:pt>
                <c:pt idx="180">
                  <c:v>-0.23797029702970329</c:v>
                </c:pt>
                <c:pt idx="181">
                  <c:v>-0.22272277227722803</c:v>
                </c:pt>
                <c:pt idx="182">
                  <c:v>-0.20792079207920811</c:v>
                </c:pt>
                <c:pt idx="183">
                  <c:v>-0.19356435643564396</c:v>
                </c:pt>
                <c:pt idx="184">
                  <c:v>-0.1796534653465347</c:v>
                </c:pt>
                <c:pt idx="185">
                  <c:v>-0.16618811881188122</c:v>
                </c:pt>
                <c:pt idx="186">
                  <c:v>-0.15316831683168353</c:v>
                </c:pt>
                <c:pt idx="187">
                  <c:v>-0.14059405940594072</c:v>
                </c:pt>
                <c:pt idx="188">
                  <c:v>-0.12846534653465369</c:v>
                </c:pt>
                <c:pt idx="189">
                  <c:v>-0.116782178217822</c:v>
                </c:pt>
                <c:pt idx="190">
                  <c:v>-0.10554455445544564</c:v>
                </c:pt>
                <c:pt idx="191">
                  <c:v>-9.4752475247525059E-2</c:v>
                </c:pt>
                <c:pt idx="192">
                  <c:v>-8.4405940594059814E-2</c:v>
                </c:pt>
                <c:pt idx="193">
                  <c:v>-7.4504950495049904E-2</c:v>
                </c:pt>
                <c:pt idx="194">
                  <c:v>-6.5049504950495329E-2</c:v>
                </c:pt>
                <c:pt idx="195">
                  <c:v>-5.6039603960396533E-2</c:v>
                </c:pt>
                <c:pt idx="196">
                  <c:v>-4.7475247524753073E-2</c:v>
                </c:pt>
                <c:pt idx="197">
                  <c:v>-3.9356435643564947E-2</c:v>
                </c:pt>
                <c:pt idx="198">
                  <c:v>-3.1683168316832155E-2</c:v>
                </c:pt>
                <c:pt idx="199">
                  <c:v>-2.4455445544555143E-2</c:v>
                </c:pt>
                <c:pt idx="200">
                  <c:v>-1.7673267326733022E-2</c:v>
                </c:pt>
                <c:pt idx="201">
                  <c:v>-1.133663366336668E-2</c:v>
                </c:pt>
                <c:pt idx="202">
                  <c:v>-5.4455445544556724E-3</c:v>
                </c:pt>
                <c:pt idx="2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E3-9746-A47B-9EA913EAEE6B}"/>
            </c:ext>
          </c:extLst>
        </c:ser>
        <c:ser>
          <c:idx val="2"/>
          <c:order val="5"/>
          <c:tx>
            <c:v>Leaf</c:v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'Fractal map'!$B$3:$B$5</c:f>
              <c:numCache>
                <c:formatCode>General</c:formatCode>
                <c:ptCount val="3"/>
                <c:pt idx="0">
                  <c:v>18</c:v>
                </c:pt>
                <c:pt idx="1">
                  <c:v>0.70685999999999993</c:v>
                </c:pt>
              </c:numCache>
            </c:numRef>
          </c:xVal>
          <c:yVal>
            <c:numRef>
              <c:f>'Fractal map'!$A$3:$A$5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E3-9746-A47B-9EA913EAEE6B}"/>
            </c:ext>
          </c:extLst>
        </c:ser>
        <c:ser>
          <c:idx val="6"/>
          <c:order val="6"/>
          <c:tx>
            <c:strRef>
              <c:f>'Fractal map'!$I$2</c:f>
              <c:strCache>
                <c:ptCount val="1"/>
                <c:pt idx="0">
                  <c:v>Volume Cum, m3</c:v>
                </c:pt>
              </c:strCache>
            </c:strRef>
          </c:tx>
          <c:marker>
            <c:symbol val="none"/>
          </c:marker>
          <c:xVal>
            <c:numRef>
              <c:f>'Fractal map'!$I$8:$I$211</c:f>
              <c:numCache>
                <c:formatCode>General</c:formatCode>
                <c:ptCount val="204"/>
                <c:pt idx="0">
                  <c:v>8.8357499999999691E-4</c:v>
                </c:pt>
                <c:pt idx="1">
                  <c:v>1.788687084621239E-3</c:v>
                </c:pt>
                <c:pt idx="2">
                  <c:v>2.7158067654587887E-3</c:v>
                </c:pt>
                <c:pt idx="3">
                  <c:v>3.6654142231596987E-3</c:v>
                </c:pt>
                <c:pt idx="4">
                  <c:v>4.6379994984982274E-3</c:v>
                </c:pt>
                <c:pt idx="5">
                  <c:v>5.6340626871256563E-3</c:v>
                </c:pt>
                <c:pt idx="6">
                  <c:v>6.6541141380640888E-3</c:v>
                </c:pt>
                <c:pt idx="7">
                  <c:v>7.6986746560145109E-3</c:v>
                </c:pt>
                <c:pt idx="8">
                  <c:v>8.7682757075513932E-3</c:v>
                </c:pt>
                <c:pt idx="9">
                  <c:v>9.8634596312766193E-3</c:v>
                </c:pt>
                <c:pt idx="10">
                  <c:v>1.0984779852007558E-2</c:v>
                </c:pt>
                <c:pt idx="11">
                  <c:v>1.2132801099075115E-2</c:v>
                </c:pt>
                <c:pt idx="12">
                  <c:v>1.3308099628809125E-2</c:v>
                </c:pt>
                <c:pt idx="13">
                  <c:v>1.4511263451289863E-2</c:v>
                </c:pt>
                <c:pt idx="14">
                  <c:v>1.5742892561445999E-2</c:v>
                </c:pt>
                <c:pt idx="15">
                  <c:v>1.7003599174580428E-2</c:v>
                </c:pt>
                <c:pt idx="16">
                  <c:v>1.8294007966407715E-2</c:v>
                </c:pt>
                <c:pt idx="17">
                  <c:v>1.9614756317687429E-2</c:v>
                </c:pt>
                <c:pt idx="18">
                  <c:v>2.096649456354004E-2</c:v>
                </c:pt>
                <c:pt idx="19">
                  <c:v>2.2349886247533209E-2</c:v>
                </c:pt>
                <c:pt idx="20">
                  <c:v>2.3765608380628085E-2</c:v>
                </c:pt>
                <c:pt idx="21">
                  <c:v>2.5214351705076798E-2</c:v>
                </c:pt>
                <c:pt idx="22">
                  <c:v>2.6696820963364239E-2</c:v>
                </c:pt>
                <c:pt idx="23">
                  <c:v>2.8213735172288375E-2</c:v>
                </c:pt>
                <c:pt idx="24">
                  <c:v>2.976582790227611E-2</c:v>
                </c:pt>
                <c:pt idx="25">
                  <c:v>3.1353847562032265E-2</c:v>
                </c:pt>
                <c:pt idx="26">
                  <c:v>3.297855768862195E-2</c:v>
                </c:pt>
                <c:pt idx="27">
                  <c:v>3.4640737243088318E-2</c:v>
                </c:pt>
                <c:pt idx="28">
                  <c:v>3.6341180911709146E-2</c:v>
                </c:pt>
                <c:pt idx="29">
                  <c:v>3.8080699412997861E-2</c:v>
                </c:pt>
                <c:pt idx="30">
                  <c:v>3.9860119810557031E-2</c:v>
                </c:pt>
                <c:pt idx="31">
                  <c:v>4.168028583189326E-2</c:v>
                </c:pt>
                <c:pt idx="32">
                  <c:v>4.3542058193305797E-2</c:v>
                </c:pt>
                <c:pt idx="33">
                  <c:v>4.5446314930961761E-2</c:v>
                </c:pt>
                <c:pt idx="34">
                  <c:v>4.7393951738274501E-2</c:v>
                </c:pt>
                <c:pt idx="35">
                  <c:v>4.9385882309702471E-2</c:v>
                </c:pt>
                <c:pt idx="36">
                  <c:v>5.1393395814652972E-2</c:v>
                </c:pt>
                <c:pt idx="37">
                  <c:v>5.3413040250296515E-2</c:v>
                </c:pt>
                <c:pt idx="38">
                  <c:v>5.5444815616633163E-2</c:v>
                </c:pt>
                <c:pt idx="39">
                  <c:v>5.7488721913662853E-2</c:v>
                </c:pt>
                <c:pt idx="40">
                  <c:v>5.9544759141385614E-2</c:v>
                </c:pt>
                <c:pt idx="41">
                  <c:v>6.1612927299801452E-2</c:v>
                </c:pt>
                <c:pt idx="42">
                  <c:v>6.3693226388910368E-2</c:v>
                </c:pt>
                <c:pt idx="43">
                  <c:v>6.5785656408712354E-2</c:v>
                </c:pt>
                <c:pt idx="44">
                  <c:v>6.7890217359207403E-2</c:v>
                </c:pt>
                <c:pt idx="45">
                  <c:v>7.0006909240395501E-2</c:v>
                </c:pt>
                <c:pt idx="46">
                  <c:v>7.2135732052276705E-2</c:v>
                </c:pt>
                <c:pt idx="47">
                  <c:v>7.4276685794850944E-2</c:v>
                </c:pt>
                <c:pt idx="48">
                  <c:v>7.642977046811826E-2</c:v>
                </c:pt>
                <c:pt idx="49">
                  <c:v>7.8594986072078654E-2</c:v>
                </c:pt>
                <c:pt idx="50">
                  <c:v>8.0772332606732111E-2</c:v>
                </c:pt>
                <c:pt idx="51">
                  <c:v>8.2961810072078646E-2</c:v>
                </c:pt>
                <c:pt idx="52">
                  <c:v>8.5163418468118243E-2</c:v>
                </c:pt>
                <c:pt idx="53">
                  <c:v>8.7377157794850918E-2</c:v>
                </c:pt>
                <c:pt idx="54">
                  <c:v>8.9603028052276656E-2</c:v>
                </c:pt>
                <c:pt idx="55">
                  <c:v>9.1841029240395472E-2</c:v>
                </c:pt>
                <c:pt idx="56">
                  <c:v>9.4091161359207351E-2</c:v>
                </c:pt>
                <c:pt idx="57">
                  <c:v>9.6353424408712293E-2</c:v>
                </c:pt>
                <c:pt idx="58">
                  <c:v>9.8627818388910313E-2</c:v>
                </c:pt>
                <c:pt idx="59">
                  <c:v>0.10091434329980141</c:v>
                </c:pt>
                <c:pt idx="60">
                  <c:v>0.10321299914138556</c:v>
                </c:pt>
                <c:pt idx="61">
                  <c:v>0.10552378591366278</c:v>
                </c:pt>
                <c:pt idx="62">
                  <c:v>0.10784670361663308</c:v>
                </c:pt>
                <c:pt idx="63">
                  <c:v>0.11018175225029644</c:v>
                </c:pt>
                <c:pt idx="64">
                  <c:v>0.11252893181465287</c:v>
                </c:pt>
                <c:pt idx="65">
                  <c:v>0.11488824230970238</c:v>
                </c:pt>
                <c:pt idx="66">
                  <c:v>0.11725968373544494</c:v>
                </c:pt>
                <c:pt idx="67">
                  <c:v>0.11964325609188059</c:v>
                </c:pt>
                <c:pt idx="68">
                  <c:v>0.12203895937900931</c:v>
                </c:pt>
                <c:pt idx="69">
                  <c:v>0.12444679359683107</c:v>
                </c:pt>
                <c:pt idx="70">
                  <c:v>0.12686675874534595</c:v>
                </c:pt>
                <c:pt idx="71">
                  <c:v>0.12929885482455386</c:v>
                </c:pt>
                <c:pt idx="72">
                  <c:v>0.13174308183445485</c:v>
                </c:pt>
                <c:pt idx="73">
                  <c:v>0.13419943977504892</c:v>
                </c:pt>
                <c:pt idx="74">
                  <c:v>0.13666792864633603</c:v>
                </c:pt>
                <c:pt idx="75">
                  <c:v>0.13914854844831623</c:v>
                </c:pt>
                <c:pt idx="76">
                  <c:v>0.1416412991809895</c:v>
                </c:pt>
                <c:pt idx="77">
                  <c:v>0.14414618084435582</c:v>
                </c:pt>
                <c:pt idx="78">
                  <c:v>0.14666319343841525</c:v>
                </c:pt>
                <c:pt idx="79">
                  <c:v>0.14919233696316772</c:v>
                </c:pt>
                <c:pt idx="80">
                  <c:v>0.15173361141861325</c:v>
                </c:pt>
                <c:pt idx="81">
                  <c:v>0.15428701680475185</c:v>
                </c:pt>
                <c:pt idx="82">
                  <c:v>0.15685255312158353</c:v>
                </c:pt>
                <c:pt idx="83">
                  <c:v>0.15943022036910828</c:v>
                </c:pt>
                <c:pt idx="84">
                  <c:v>0.16202001854732612</c:v>
                </c:pt>
                <c:pt idx="85">
                  <c:v>0.164621947656237</c:v>
                </c:pt>
                <c:pt idx="86">
                  <c:v>0.16723600769584096</c:v>
                </c:pt>
                <c:pt idx="87">
                  <c:v>0.16986219866613797</c:v>
                </c:pt>
                <c:pt idx="88">
                  <c:v>0.17250052056712806</c:v>
                </c:pt>
                <c:pt idx="89">
                  <c:v>0.17515097339881122</c:v>
                </c:pt>
                <c:pt idx="90">
                  <c:v>0.17781355716118746</c:v>
                </c:pt>
                <c:pt idx="91">
                  <c:v>0.18048827185425678</c:v>
                </c:pt>
                <c:pt idx="92">
                  <c:v>0.18317511747801915</c:v>
                </c:pt>
                <c:pt idx="93">
                  <c:v>0.18587409403247454</c:v>
                </c:pt>
                <c:pt idx="94">
                  <c:v>0.18858520151762304</c:v>
                </c:pt>
                <c:pt idx="95">
                  <c:v>0.19130843993346461</c:v>
                </c:pt>
                <c:pt idx="96">
                  <c:v>0.19404380927999929</c:v>
                </c:pt>
                <c:pt idx="97">
                  <c:v>0.19679130955722701</c:v>
                </c:pt>
                <c:pt idx="98">
                  <c:v>0.19955094076514779</c:v>
                </c:pt>
                <c:pt idx="99">
                  <c:v>0.20232270290376161</c:v>
                </c:pt>
                <c:pt idx="100">
                  <c:v>0.20510659597306857</c:v>
                </c:pt>
                <c:pt idx="101">
                  <c:v>0.20510659597306857</c:v>
                </c:pt>
                <c:pt idx="103">
                  <c:v>4.4599009900990437E-3</c:v>
                </c:pt>
                <c:pt idx="104">
                  <c:v>8.6207372142663233E-3</c:v>
                </c:pt>
                <c:pt idx="105">
                  <c:v>1.2502243350018611E-2</c:v>
                </c:pt>
                <c:pt idx="106">
                  <c:v>1.6122868181762975E-2</c:v>
                </c:pt>
                <c:pt idx="107">
                  <c:v>1.9499857537346142E-2</c:v>
                </c:pt>
                <c:pt idx="108">
                  <c:v>2.2649331920264172E-2</c:v>
                </c:pt>
                <c:pt idx="109">
                  <c:v>2.5586359174394287E-2</c:v>
                </c:pt>
                <c:pt idx="110">
                  <c:v>2.8325022496844141E-2</c:v>
                </c:pt>
                <c:pt idx="111">
                  <c:v>3.0878484094585299E-2</c:v>
                </c:pt>
                <c:pt idx="112">
                  <c:v>3.3259044761860632E-2</c:v>
                </c:pt>
                <c:pt idx="113">
                  <c:v>3.5478199637850524E-2</c:v>
                </c:pt>
                <c:pt idx="114">
                  <c:v>3.7546690387680381E-2</c:v>
                </c:pt>
                <c:pt idx="115">
                  <c:v>3.947455403447931E-2</c:v>
                </c:pt>
                <c:pt idx="116">
                  <c:v>4.1271168655794534E-2</c:v>
                </c:pt>
                <c:pt idx="117">
                  <c:v>4.2945296144167644E-2</c:v>
                </c:pt>
                <c:pt idx="118">
                  <c:v>4.4505122219029074E-2</c:v>
                </c:pt>
                <c:pt idx="119">
                  <c:v>4.5958293865214508E-2</c:v>
                </c:pt>
                <c:pt idx="120">
                  <c:v>4.7311954362300096E-2</c:v>
                </c:pt>
                <c:pt idx="121">
                  <c:v>4.8616807035567422E-2</c:v>
                </c:pt>
                <c:pt idx="122">
                  <c:v>4.9907662481111975E-2</c:v>
                </c:pt>
                <c:pt idx="123">
                  <c:v>5.1184520698933755E-2</c:v>
                </c:pt>
                <c:pt idx="124">
                  <c:v>5.244738168903277E-2</c:v>
                </c:pt>
                <c:pt idx="125">
                  <c:v>5.3696245451409011E-2</c:v>
                </c:pt>
                <c:pt idx="126">
                  <c:v>5.4931111986062472E-2</c:v>
                </c:pt>
                <c:pt idx="127">
                  <c:v>5.6151981292993168E-2</c:v>
                </c:pt>
                <c:pt idx="128">
                  <c:v>5.7358853372201091E-2</c:v>
                </c:pt>
                <c:pt idx="129">
                  <c:v>5.8551728223686247E-2</c:v>
                </c:pt>
                <c:pt idx="130">
                  <c:v>5.9730605847448617E-2</c:v>
                </c:pt>
                <c:pt idx="131">
                  <c:v>6.0895486243488228E-2</c:v>
                </c:pt>
                <c:pt idx="132">
                  <c:v>6.2046369411805059E-2</c:v>
                </c:pt>
                <c:pt idx="133">
                  <c:v>6.3183255352399117E-2</c:v>
                </c:pt>
                <c:pt idx="134">
                  <c:v>6.430614406527041E-2</c:v>
                </c:pt>
                <c:pt idx="135">
                  <c:v>6.5415035550418929E-2</c:v>
                </c:pt>
                <c:pt idx="136">
                  <c:v>6.6509929807844675E-2</c:v>
                </c:pt>
                <c:pt idx="137">
                  <c:v>6.7590826837547649E-2</c:v>
                </c:pt>
                <c:pt idx="138">
                  <c:v>6.865772663952785E-2</c:v>
                </c:pt>
                <c:pt idx="139">
                  <c:v>6.9710629213785277E-2</c:v>
                </c:pt>
                <c:pt idx="140">
                  <c:v>7.0749534560319918E-2</c:v>
                </c:pt>
                <c:pt idx="141">
                  <c:v>7.17744426791318E-2</c:v>
                </c:pt>
                <c:pt idx="142">
                  <c:v>7.2785353570220909E-2</c:v>
                </c:pt>
                <c:pt idx="143">
                  <c:v>7.3782267233587245E-2</c:v>
                </c:pt>
                <c:pt idx="144">
                  <c:v>7.4765183669230809E-2</c:v>
                </c:pt>
                <c:pt idx="145">
                  <c:v>7.5734102877151599E-2</c:v>
                </c:pt>
                <c:pt idx="146">
                  <c:v>7.6689024857349616E-2</c:v>
                </c:pt>
                <c:pt idx="147">
                  <c:v>7.7629949609824861E-2</c:v>
                </c:pt>
                <c:pt idx="148">
                  <c:v>7.8556877134577333E-2</c:v>
                </c:pt>
                <c:pt idx="149">
                  <c:v>7.9469807431607031E-2</c:v>
                </c:pt>
                <c:pt idx="150">
                  <c:v>8.0368740500913957E-2</c:v>
                </c:pt>
                <c:pt idx="151">
                  <c:v>8.1253676342498124E-2</c:v>
                </c:pt>
                <c:pt idx="152">
                  <c:v>8.2124614956359518E-2</c:v>
                </c:pt>
                <c:pt idx="153">
                  <c:v>8.2981556342498125E-2</c:v>
                </c:pt>
                <c:pt idx="154">
                  <c:v>8.3824500500913973E-2</c:v>
                </c:pt>
                <c:pt idx="155">
                  <c:v>8.4653447431607035E-2</c:v>
                </c:pt>
                <c:pt idx="156">
                  <c:v>8.5468397134577337E-2</c:v>
                </c:pt>
                <c:pt idx="157">
                  <c:v>8.6269349609824866E-2</c:v>
                </c:pt>
                <c:pt idx="158">
                  <c:v>8.7056304857349609E-2</c:v>
                </c:pt>
                <c:pt idx="159">
                  <c:v>8.7829262877151593E-2</c:v>
                </c:pt>
                <c:pt idx="160">
                  <c:v>8.8588223669230803E-2</c:v>
                </c:pt>
                <c:pt idx="161">
                  <c:v>8.9333187233587255E-2</c:v>
                </c:pt>
                <c:pt idx="162">
                  <c:v>9.0064153570220906E-2</c:v>
                </c:pt>
                <c:pt idx="163">
                  <c:v>9.0781122679131798E-2</c:v>
                </c:pt>
                <c:pt idx="164">
                  <c:v>9.1484094560319917E-2</c:v>
                </c:pt>
                <c:pt idx="165">
                  <c:v>9.2173069213785264E-2</c:v>
                </c:pt>
                <c:pt idx="166">
                  <c:v>9.2848046639527837E-2</c:v>
                </c:pt>
                <c:pt idx="167">
                  <c:v>9.3509026837547651E-2</c:v>
                </c:pt>
                <c:pt idx="168">
                  <c:v>9.4156009807844679E-2</c:v>
                </c:pt>
                <c:pt idx="169">
                  <c:v>9.478899555041892E-2</c:v>
                </c:pt>
                <c:pt idx="170">
                  <c:v>9.5407984065270415E-2</c:v>
                </c:pt>
                <c:pt idx="171">
                  <c:v>9.6012975352399124E-2</c:v>
                </c:pt>
                <c:pt idx="172">
                  <c:v>9.660396941180506E-2</c:v>
                </c:pt>
                <c:pt idx="173">
                  <c:v>9.7180966243488223E-2</c:v>
                </c:pt>
                <c:pt idx="174">
                  <c:v>9.7743965847448627E-2</c:v>
                </c:pt>
                <c:pt idx="175">
                  <c:v>9.8292968223686245E-2</c:v>
                </c:pt>
                <c:pt idx="176">
                  <c:v>9.8827973372201103E-2</c:v>
                </c:pt>
                <c:pt idx="177">
                  <c:v>9.9348981292993188E-2</c:v>
                </c:pt>
                <c:pt idx="178">
                  <c:v>9.9855991986062487E-2</c:v>
                </c:pt>
                <c:pt idx="179">
                  <c:v>0.10034900545140901</c:v>
                </c:pt>
                <c:pt idx="180">
                  <c:v>0.10082802168903278</c:v>
                </c:pt>
                <c:pt idx="181">
                  <c:v>0.10129304069893377</c:v>
                </c:pt>
                <c:pt idx="182">
                  <c:v>0.10174406248111198</c:v>
                </c:pt>
                <c:pt idx="183">
                  <c:v>0.10218108703556744</c:v>
                </c:pt>
                <c:pt idx="184">
                  <c:v>0.10260411436230012</c:v>
                </c:pt>
                <c:pt idx="185">
                  <c:v>0.10301314446131001</c:v>
                </c:pt>
                <c:pt idx="186">
                  <c:v>0.10340817733259713</c:v>
                </c:pt>
                <c:pt idx="187">
                  <c:v>0.10378921297616149</c:v>
                </c:pt>
                <c:pt idx="188">
                  <c:v>0.10415625139200307</c:v>
                </c:pt>
                <c:pt idx="189">
                  <c:v>0.10450929258012188</c:v>
                </c:pt>
                <c:pt idx="190">
                  <c:v>0.10484833654051792</c:v>
                </c:pt>
                <c:pt idx="191">
                  <c:v>0.10517338327319119</c:v>
                </c:pt>
                <c:pt idx="192">
                  <c:v>0.10548443277814168</c:v>
                </c:pt>
                <c:pt idx="193">
                  <c:v>0.10578148505536941</c:v>
                </c:pt>
                <c:pt idx="194">
                  <c:v>0.10606454010487436</c:v>
                </c:pt>
                <c:pt idx="195">
                  <c:v>0.10633359792665653</c:v>
                </c:pt>
                <c:pt idx="196">
                  <c:v>0.10658865852071593</c:v>
                </c:pt>
                <c:pt idx="197">
                  <c:v>0.10682972188705257</c:v>
                </c:pt>
                <c:pt idx="198">
                  <c:v>0.10705678802566643</c:v>
                </c:pt>
                <c:pt idx="199">
                  <c:v>0.10726985693655752</c:v>
                </c:pt>
                <c:pt idx="200">
                  <c:v>0.10746892861972585</c:v>
                </c:pt>
                <c:pt idx="201">
                  <c:v>0.10765400307517139</c:v>
                </c:pt>
                <c:pt idx="202">
                  <c:v>0.10782508030289417</c:v>
                </c:pt>
                <c:pt idx="203">
                  <c:v>0.10799615753061695</c:v>
                </c:pt>
              </c:numCache>
            </c:numRef>
          </c:xVal>
          <c:yVal>
            <c:numRef>
              <c:f>'Fractal map'!$A$8:$A$211</c:f>
              <c:numCache>
                <c:formatCode>General</c:formatCode>
                <c:ptCount val="204"/>
                <c:pt idx="0">
                  <c:v>7</c:v>
                </c:pt>
                <c:pt idx="1">
                  <c:v>6.95</c:v>
                </c:pt>
                <c:pt idx="2">
                  <c:v>6.8996138613861389</c:v>
                </c:pt>
                <c:pt idx="3">
                  <c:v>6.848841584158416</c:v>
                </c:pt>
                <c:pt idx="4">
                  <c:v>6.7976831683168317</c:v>
                </c:pt>
                <c:pt idx="5">
                  <c:v>6.7461386138613859</c:v>
                </c:pt>
                <c:pt idx="6">
                  <c:v>6.6942079207920795</c:v>
                </c:pt>
                <c:pt idx="7">
                  <c:v>6.6418910891089107</c:v>
                </c:pt>
                <c:pt idx="8">
                  <c:v>6.5891881188118813</c:v>
                </c:pt>
                <c:pt idx="9">
                  <c:v>6.5360990099009904</c:v>
                </c:pt>
                <c:pt idx="10">
                  <c:v>6.4826237623762379</c:v>
                </c:pt>
                <c:pt idx="11">
                  <c:v>6.428762376237624</c:v>
                </c:pt>
                <c:pt idx="12">
                  <c:v>6.3745148514851486</c:v>
                </c:pt>
                <c:pt idx="13">
                  <c:v>6.3198811881188117</c:v>
                </c:pt>
                <c:pt idx="14">
                  <c:v>6.2648613861386142</c:v>
                </c:pt>
                <c:pt idx="15">
                  <c:v>6.2094554455445543</c:v>
                </c:pt>
                <c:pt idx="16">
                  <c:v>6.1536633663366338</c:v>
                </c:pt>
                <c:pt idx="17">
                  <c:v>6.0974851485148518</c:v>
                </c:pt>
                <c:pt idx="18">
                  <c:v>6.0409207920792083</c:v>
                </c:pt>
                <c:pt idx="19">
                  <c:v>5.9839702970297033</c:v>
                </c:pt>
                <c:pt idx="20">
                  <c:v>5.9266336633663368</c:v>
                </c:pt>
                <c:pt idx="21">
                  <c:v>5.8689108910891088</c:v>
                </c:pt>
                <c:pt idx="22">
                  <c:v>5.8108019801980202</c:v>
                </c:pt>
                <c:pt idx="23">
                  <c:v>5.7523069306930692</c:v>
                </c:pt>
                <c:pt idx="24">
                  <c:v>5.6934257425742576</c:v>
                </c:pt>
                <c:pt idx="25">
                  <c:v>5.6341584158415845</c:v>
                </c:pt>
                <c:pt idx="26">
                  <c:v>5.574504950495049</c:v>
                </c:pt>
                <c:pt idx="27">
                  <c:v>5.5144653465346529</c:v>
                </c:pt>
                <c:pt idx="28">
                  <c:v>5.4540396039603962</c:v>
                </c:pt>
                <c:pt idx="29">
                  <c:v>5.3932277227722771</c:v>
                </c:pt>
                <c:pt idx="30">
                  <c:v>5.3320297029702974</c:v>
                </c:pt>
                <c:pt idx="31">
                  <c:v>5.2704455445544554</c:v>
                </c:pt>
                <c:pt idx="32">
                  <c:v>5.2084752475247527</c:v>
                </c:pt>
                <c:pt idx="33">
                  <c:v>5.1461188118811876</c:v>
                </c:pt>
                <c:pt idx="34">
                  <c:v>5.0833762376237619</c:v>
                </c:pt>
                <c:pt idx="35">
                  <c:v>5.0202475247524756</c:v>
                </c:pt>
                <c:pt idx="36">
                  <c:v>4.9567326732673269</c:v>
                </c:pt>
                <c:pt idx="37">
                  <c:v>4.8928316831683167</c:v>
                </c:pt>
                <c:pt idx="38">
                  <c:v>4.8285445544554459</c:v>
                </c:pt>
                <c:pt idx="39">
                  <c:v>4.7638712871287128</c:v>
                </c:pt>
                <c:pt idx="40">
                  <c:v>4.698811881188119</c:v>
                </c:pt>
                <c:pt idx="41">
                  <c:v>4.6333663366336637</c:v>
                </c:pt>
                <c:pt idx="42">
                  <c:v>4.5675346534653469</c:v>
                </c:pt>
                <c:pt idx="43">
                  <c:v>4.5013168316831687</c:v>
                </c:pt>
                <c:pt idx="44">
                  <c:v>4.4347128712871289</c:v>
                </c:pt>
                <c:pt idx="45">
                  <c:v>4.3677227722772276</c:v>
                </c:pt>
                <c:pt idx="46">
                  <c:v>4.3003465346534657</c:v>
                </c:pt>
                <c:pt idx="47">
                  <c:v>4.2325841584158415</c:v>
                </c:pt>
                <c:pt idx="48">
                  <c:v>4.1644356435643566</c:v>
                </c:pt>
                <c:pt idx="49">
                  <c:v>4.0959009900990102</c:v>
                </c:pt>
                <c:pt idx="50">
                  <c:v>4.0269801980198023</c:v>
                </c:pt>
                <c:pt idx="51">
                  <c:v>3.957673267326733</c:v>
                </c:pt>
                <c:pt idx="52">
                  <c:v>3.8879801980198021</c:v>
                </c:pt>
                <c:pt idx="53">
                  <c:v>3.8179009900990102</c:v>
                </c:pt>
                <c:pt idx="54">
                  <c:v>3.7474356435643568</c:v>
                </c:pt>
                <c:pt idx="55">
                  <c:v>3.6765841584158419</c:v>
                </c:pt>
                <c:pt idx="56">
                  <c:v>3.6053465346534654</c:v>
                </c:pt>
                <c:pt idx="57">
                  <c:v>3.533722772277228</c:v>
                </c:pt>
                <c:pt idx="58">
                  <c:v>3.461712871287129</c:v>
                </c:pt>
                <c:pt idx="59">
                  <c:v>3.3893168316831686</c:v>
                </c:pt>
                <c:pt idx="60">
                  <c:v>3.3165346534653466</c:v>
                </c:pt>
                <c:pt idx="61">
                  <c:v>3.2433663366336636</c:v>
                </c:pt>
                <c:pt idx="62">
                  <c:v>3.1698118811881191</c:v>
                </c:pt>
                <c:pt idx="63">
                  <c:v>3.0958712871287131</c:v>
                </c:pt>
                <c:pt idx="64">
                  <c:v>3.0215445544554456</c:v>
                </c:pt>
                <c:pt idx="65">
                  <c:v>2.946831683168317</c:v>
                </c:pt>
                <c:pt idx="66">
                  <c:v>2.871732673267327</c:v>
                </c:pt>
                <c:pt idx="67">
                  <c:v>2.7962475247524754</c:v>
                </c:pt>
                <c:pt idx="68">
                  <c:v>2.7203762376237623</c:v>
                </c:pt>
                <c:pt idx="69">
                  <c:v>2.6441188118811878</c:v>
                </c:pt>
                <c:pt idx="70">
                  <c:v>2.5674752475247526</c:v>
                </c:pt>
                <c:pt idx="71">
                  <c:v>2.4904455445544551</c:v>
                </c:pt>
                <c:pt idx="72">
                  <c:v>2.413029702970297</c:v>
                </c:pt>
                <c:pt idx="73">
                  <c:v>2.3352277227722773</c:v>
                </c:pt>
                <c:pt idx="74">
                  <c:v>2.2570396039603962</c:v>
                </c:pt>
                <c:pt idx="75">
                  <c:v>2.1784653465346535</c:v>
                </c:pt>
                <c:pt idx="76">
                  <c:v>2.0995049504950494</c:v>
                </c:pt>
                <c:pt idx="77">
                  <c:v>2.0201584158415837</c:v>
                </c:pt>
                <c:pt idx="78">
                  <c:v>1.9404257425742575</c:v>
                </c:pt>
                <c:pt idx="79">
                  <c:v>1.8603069306930688</c:v>
                </c:pt>
                <c:pt idx="80">
                  <c:v>1.7798019801980196</c:v>
                </c:pt>
                <c:pt idx="81">
                  <c:v>1.6989108910891089</c:v>
                </c:pt>
                <c:pt idx="82">
                  <c:v>1.6176336633663366</c:v>
                </c:pt>
                <c:pt idx="83">
                  <c:v>1.5359702970297029</c:v>
                </c:pt>
                <c:pt idx="84">
                  <c:v>1.4539207920792077</c:v>
                </c:pt>
                <c:pt idx="85">
                  <c:v>1.3714851485148509</c:v>
                </c:pt>
                <c:pt idx="86">
                  <c:v>1.2886633663366336</c:v>
                </c:pt>
                <c:pt idx="87">
                  <c:v>1.2054554455445539</c:v>
                </c:pt>
                <c:pt idx="88">
                  <c:v>1.1218613861386135</c:v>
                </c:pt>
                <c:pt idx="89">
                  <c:v>1.0378811881188117</c:v>
                </c:pt>
                <c:pt idx="90">
                  <c:v>0.95351485148514836</c:v>
                </c:pt>
                <c:pt idx="91">
                  <c:v>0.86876237623762353</c:v>
                </c:pt>
                <c:pt idx="92">
                  <c:v>0.78362376237623721</c:v>
                </c:pt>
                <c:pt idx="93">
                  <c:v>0.69809900990098939</c:v>
                </c:pt>
                <c:pt idx="94">
                  <c:v>0.61218811881188184</c:v>
                </c:pt>
                <c:pt idx="95">
                  <c:v>0.52589108910891191</c:v>
                </c:pt>
                <c:pt idx="96">
                  <c:v>0.43920792079208049</c:v>
                </c:pt>
                <c:pt idx="97">
                  <c:v>0.35213861386138667</c:v>
                </c:pt>
                <c:pt idx="98">
                  <c:v>0.26468316831683225</c:v>
                </c:pt>
                <c:pt idx="99">
                  <c:v>0.17684158415841633</c:v>
                </c:pt>
                <c:pt idx="100">
                  <c:v>8.8613861386139803E-2</c:v>
                </c:pt>
                <c:pt idx="101">
                  <c:v>0</c:v>
                </c:pt>
                <c:pt idx="103">
                  <c:v>-2.7500000000000004</c:v>
                </c:pt>
                <c:pt idx="104">
                  <c:v>-2.7004455445544555</c:v>
                </c:pt>
                <c:pt idx="105">
                  <c:v>-2.6513366336633668</c:v>
                </c:pt>
                <c:pt idx="106">
                  <c:v>-2.602673267326733</c:v>
                </c:pt>
                <c:pt idx="107">
                  <c:v>-2.5544554455445549</c:v>
                </c:pt>
                <c:pt idx="108">
                  <c:v>-2.5066831683168318</c:v>
                </c:pt>
                <c:pt idx="109">
                  <c:v>-2.4593564356435644</c:v>
                </c:pt>
                <c:pt idx="110">
                  <c:v>-2.4124752475247528</c:v>
                </c:pt>
                <c:pt idx="111">
                  <c:v>-2.3660396039603961</c:v>
                </c:pt>
                <c:pt idx="112">
                  <c:v>-2.3200495049504952</c:v>
                </c:pt>
                <c:pt idx="113">
                  <c:v>-2.2745049504950496</c:v>
                </c:pt>
                <c:pt idx="114">
                  <c:v>-2.2294059405940594</c:v>
                </c:pt>
                <c:pt idx="115">
                  <c:v>-2.1847524752475249</c:v>
                </c:pt>
                <c:pt idx="116">
                  <c:v>-2.1405445544554458</c:v>
                </c:pt>
                <c:pt idx="117">
                  <c:v>-2.096782178217822</c:v>
                </c:pt>
                <c:pt idx="118">
                  <c:v>-2.0534653465346535</c:v>
                </c:pt>
                <c:pt idx="119">
                  <c:v>-2.0105940594059408</c:v>
                </c:pt>
                <c:pt idx="120">
                  <c:v>-1.9681683168316835</c:v>
                </c:pt>
                <c:pt idx="121">
                  <c:v>-1.9261881188118815</c:v>
                </c:pt>
                <c:pt idx="122">
                  <c:v>-1.884653465346535</c:v>
                </c:pt>
                <c:pt idx="123">
                  <c:v>-1.8435643564356439</c:v>
                </c:pt>
                <c:pt idx="124">
                  <c:v>-1.8029207920792083</c:v>
                </c:pt>
                <c:pt idx="125">
                  <c:v>-1.7627227722772281</c:v>
                </c:pt>
                <c:pt idx="126">
                  <c:v>-1.7229702970297032</c:v>
                </c:pt>
                <c:pt idx="127">
                  <c:v>-1.683663366336634</c:v>
                </c:pt>
                <c:pt idx="128">
                  <c:v>-1.64480198019802</c:v>
                </c:pt>
                <c:pt idx="129">
                  <c:v>-1.6063861386138616</c:v>
                </c:pt>
                <c:pt idx="130">
                  <c:v>-1.5684158415841585</c:v>
                </c:pt>
                <c:pt idx="131">
                  <c:v>-1.5308910891089111</c:v>
                </c:pt>
                <c:pt idx="132">
                  <c:v>-1.4938118811881189</c:v>
                </c:pt>
                <c:pt idx="133">
                  <c:v>-1.4571782178217823</c:v>
                </c:pt>
                <c:pt idx="134">
                  <c:v>-1.4209900990099011</c:v>
                </c:pt>
                <c:pt idx="135">
                  <c:v>-1.3852475247524754</c:v>
                </c:pt>
                <c:pt idx="136">
                  <c:v>-1.3499504950495052</c:v>
                </c:pt>
                <c:pt idx="137">
                  <c:v>-1.3150990099009903</c:v>
                </c:pt>
                <c:pt idx="138">
                  <c:v>-1.2806930693069309</c:v>
                </c:pt>
                <c:pt idx="139">
                  <c:v>-1.246732673267327</c:v>
                </c:pt>
                <c:pt idx="140">
                  <c:v>-1.2132178217821783</c:v>
                </c:pt>
                <c:pt idx="141">
                  <c:v>-1.1801485148514854</c:v>
                </c:pt>
                <c:pt idx="142">
                  <c:v>-1.1475247524752477</c:v>
                </c:pt>
                <c:pt idx="143">
                  <c:v>-1.1153465346534654</c:v>
                </c:pt>
                <c:pt idx="144">
                  <c:v>-1.0836138613861388</c:v>
                </c:pt>
                <c:pt idx="145">
                  <c:v>-1.0523267326732675</c:v>
                </c:pt>
                <c:pt idx="146">
                  <c:v>-1.0214851485148517</c:v>
                </c:pt>
                <c:pt idx="147">
                  <c:v>-0.9910891089108913</c:v>
                </c:pt>
                <c:pt idx="148">
                  <c:v>-0.96113861386138644</c:v>
                </c:pt>
                <c:pt idx="149">
                  <c:v>-0.93163366336633691</c:v>
                </c:pt>
                <c:pt idx="150">
                  <c:v>-0.90257425742574293</c:v>
                </c:pt>
                <c:pt idx="151">
                  <c:v>-0.87396039603960429</c:v>
                </c:pt>
                <c:pt idx="152">
                  <c:v>-0.84579207920792099</c:v>
                </c:pt>
                <c:pt idx="153">
                  <c:v>-0.81806930693069324</c:v>
                </c:pt>
                <c:pt idx="154">
                  <c:v>-0.79079207920792127</c:v>
                </c:pt>
                <c:pt idx="155">
                  <c:v>-0.76396039603960419</c:v>
                </c:pt>
                <c:pt idx="156">
                  <c:v>-0.7375742574257429</c:v>
                </c:pt>
                <c:pt idx="157">
                  <c:v>-0.71163366336633693</c:v>
                </c:pt>
                <c:pt idx="158">
                  <c:v>-0.6861386138613863</c:v>
                </c:pt>
                <c:pt idx="159">
                  <c:v>-0.66108910891089145</c:v>
                </c:pt>
                <c:pt idx="160">
                  <c:v>-0.63648514851485194</c:v>
                </c:pt>
                <c:pt idx="161">
                  <c:v>-0.61232673267326776</c:v>
                </c:pt>
                <c:pt idx="162">
                  <c:v>-0.58861386138613847</c:v>
                </c:pt>
                <c:pt idx="163">
                  <c:v>-0.5653465346534654</c:v>
                </c:pt>
                <c:pt idx="164">
                  <c:v>-0.54252475247524767</c:v>
                </c:pt>
                <c:pt idx="165">
                  <c:v>-0.52014851485148528</c:v>
                </c:pt>
                <c:pt idx="166">
                  <c:v>-0.49821782178217822</c:v>
                </c:pt>
                <c:pt idx="167">
                  <c:v>-0.47673267326732693</c:v>
                </c:pt>
                <c:pt idx="168">
                  <c:v>-0.45569306930693054</c:v>
                </c:pt>
                <c:pt idx="169">
                  <c:v>-0.43509900990098993</c:v>
                </c:pt>
                <c:pt idx="170">
                  <c:v>-0.4149504950495051</c:v>
                </c:pt>
                <c:pt idx="171">
                  <c:v>-0.39524752475247515</c:v>
                </c:pt>
                <c:pt idx="172">
                  <c:v>-0.37599009900990099</c:v>
                </c:pt>
                <c:pt idx="173">
                  <c:v>-0.35717821782178216</c:v>
                </c:pt>
                <c:pt idx="174">
                  <c:v>-0.33881188118811911</c:v>
                </c:pt>
                <c:pt idx="175">
                  <c:v>-0.32089108910891095</c:v>
                </c:pt>
                <c:pt idx="176">
                  <c:v>-0.30341584158415857</c:v>
                </c:pt>
                <c:pt idx="177">
                  <c:v>-0.28638613861386153</c:v>
                </c:pt>
                <c:pt idx="178">
                  <c:v>-0.26980198019801982</c:v>
                </c:pt>
                <c:pt idx="179">
                  <c:v>-0.25366336633663389</c:v>
                </c:pt>
                <c:pt idx="180">
                  <c:v>-0.23797029702970329</c:v>
                </c:pt>
                <c:pt idx="181">
                  <c:v>-0.22272277227722803</c:v>
                </c:pt>
                <c:pt idx="182">
                  <c:v>-0.20792079207920811</c:v>
                </c:pt>
                <c:pt idx="183">
                  <c:v>-0.19356435643564396</c:v>
                </c:pt>
                <c:pt idx="184">
                  <c:v>-0.1796534653465347</c:v>
                </c:pt>
                <c:pt idx="185">
                  <c:v>-0.16618811881188122</c:v>
                </c:pt>
                <c:pt idx="186">
                  <c:v>-0.15316831683168353</c:v>
                </c:pt>
                <c:pt idx="187">
                  <c:v>-0.14059405940594072</c:v>
                </c:pt>
                <c:pt idx="188">
                  <c:v>-0.12846534653465369</c:v>
                </c:pt>
                <c:pt idx="189">
                  <c:v>-0.116782178217822</c:v>
                </c:pt>
                <c:pt idx="190">
                  <c:v>-0.10554455445544564</c:v>
                </c:pt>
                <c:pt idx="191">
                  <c:v>-9.4752475247525059E-2</c:v>
                </c:pt>
                <c:pt idx="192">
                  <c:v>-8.4405940594059814E-2</c:v>
                </c:pt>
                <c:pt idx="193">
                  <c:v>-7.4504950495049904E-2</c:v>
                </c:pt>
                <c:pt idx="194">
                  <c:v>-6.5049504950495329E-2</c:v>
                </c:pt>
                <c:pt idx="195">
                  <c:v>-5.6039603960396533E-2</c:v>
                </c:pt>
                <c:pt idx="196">
                  <c:v>-4.7475247524753073E-2</c:v>
                </c:pt>
                <c:pt idx="197">
                  <c:v>-3.9356435643564947E-2</c:v>
                </c:pt>
                <c:pt idx="198">
                  <c:v>-3.1683168316832155E-2</c:v>
                </c:pt>
                <c:pt idx="199">
                  <c:v>-2.4455445544555143E-2</c:v>
                </c:pt>
                <c:pt idx="200">
                  <c:v>-1.7673267326733022E-2</c:v>
                </c:pt>
                <c:pt idx="201">
                  <c:v>-1.133663366336668E-2</c:v>
                </c:pt>
                <c:pt idx="202">
                  <c:v>-5.4455445544556724E-3</c:v>
                </c:pt>
                <c:pt idx="20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82-9B49-92B5-A3488BE5E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54719"/>
        <c:axId val="1765522303"/>
      </c:scatterChart>
      <c:valAx>
        <c:axId val="1764654719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5522303"/>
        <c:crosses val="autoZero"/>
        <c:crossBetween val="midCat"/>
      </c:valAx>
      <c:valAx>
        <c:axId val="17655223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4654719"/>
        <c:crosses val="max"/>
        <c:crossBetween val="midCat"/>
      </c:valAx>
      <c:spPr>
        <a:ln>
          <a:solidFill>
            <a:schemeClr val="bg1"/>
          </a:solidFill>
        </a:ln>
      </c:spPr>
    </c:plotArea>
    <c:legend>
      <c:legendPos val="r"/>
      <c:layout>
        <c:manualLayout>
          <c:xMode val="edge"/>
          <c:yMode val="edge"/>
          <c:x val="4.2235509093254547E-2"/>
          <c:y val="1.5291361775654332E-2"/>
          <c:w val="0.70180014956510017"/>
          <c:h val="0.12599964561391852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 sz="16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'climat_hour_in.txt'!$C$12:$C$71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'climat_hour_in.txt'!$F$12:$F$71</c:f>
              <c:numCache>
                <c:formatCode>General</c:formatCode>
                <c:ptCount val="6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1-8040-86DC-73A982687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971824"/>
        <c:axId val="1596849680"/>
      </c:scatterChart>
      <c:valAx>
        <c:axId val="168897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6849680"/>
        <c:crosses val="autoZero"/>
        <c:crossBetween val="midCat"/>
      </c:valAx>
      <c:valAx>
        <c:axId val="15968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897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soil evaporation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rs</c:v>
          </c:tx>
          <c:marker>
            <c:symbol val="none"/>
          </c:marker>
          <c:xVal>
            <c:numRef>
              <c:f>soil!$D$5:$D$124</c:f>
              <c:numCache>
                <c:formatCode>General</c:formatCode>
                <c:ptCount val="120"/>
                <c:pt idx="0">
                  <c:v>0.45900000000000002</c:v>
                </c:pt>
                <c:pt idx="1">
                  <c:v>0.44900000000000001</c:v>
                </c:pt>
                <c:pt idx="2">
                  <c:v>0.439</c:v>
                </c:pt>
                <c:pt idx="3">
                  <c:v>0.42899999999999999</c:v>
                </c:pt>
                <c:pt idx="4">
                  <c:v>0.41899999999999998</c:v>
                </c:pt>
                <c:pt idx="5">
                  <c:v>0.40899999999999997</c:v>
                </c:pt>
                <c:pt idx="6">
                  <c:v>0.39899999999999997</c:v>
                </c:pt>
                <c:pt idx="7">
                  <c:v>0.38899999999999996</c:v>
                </c:pt>
                <c:pt idx="8">
                  <c:v>0.37899999999999995</c:v>
                </c:pt>
                <c:pt idx="9">
                  <c:v>0.36899999999999994</c:v>
                </c:pt>
                <c:pt idx="10">
                  <c:v>0.35899999999999993</c:v>
                </c:pt>
                <c:pt idx="11">
                  <c:v>0.34899999999999992</c:v>
                </c:pt>
                <c:pt idx="12">
                  <c:v>0.33899999999999991</c:v>
                </c:pt>
                <c:pt idx="13">
                  <c:v>0.3289999999999999</c:v>
                </c:pt>
                <c:pt idx="14">
                  <c:v>0.31899999999999989</c:v>
                </c:pt>
                <c:pt idx="15">
                  <c:v>0.30899999999999989</c:v>
                </c:pt>
                <c:pt idx="16">
                  <c:v>0.29899999999999988</c:v>
                </c:pt>
                <c:pt idx="17">
                  <c:v>0.28899999999999987</c:v>
                </c:pt>
                <c:pt idx="18">
                  <c:v>0.27899999999999986</c:v>
                </c:pt>
                <c:pt idx="19">
                  <c:v>0.26899999999999985</c:v>
                </c:pt>
                <c:pt idx="20">
                  <c:v>0.25899999999999984</c:v>
                </c:pt>
                <c:pt idx="21">
                  <c:v>0.24899999999999983</c:v>
                </c:pt>
                <c:pt idx="22">
                  <c:v>0.23899999999999982</c:v>
                </c:pt>
                <c:pt idx="23">
                  <c:v>0.23699999999999982</c:v>
                </c:pt>
                <c:pt idx="24">
                  <c:v>0.23499999999999982</c:v>
                </c:pt>
                <c:pt idx="25">
                  <c:v>0.23299999999999982</c:v>
                </c:pt>
                <c:pt idx="26">
                  <c:v>0.23099999999999982</c:v>
                </c:pt>
                <c:pt idx="27">
                  <c:v>0.22899999999999981</c:v>
                </c:pt>
                <c:pt idx="28">
                  <c:v>0.22699999999999981</c:v>
                </c:pt>
                <c:pt idx="29">
                  <c:v>0.22499999999999981</c:v>
                </c:pt>
                <c:pt idx="30">
                  <c:v>0.22299999999999981</c:v>
                </c:pt>
                <c:pt idx="31">
                  <c:v>0.22099999999999981</c:v>
                </c:pt>
                <c:pt idx="32">
                  <c:v>0.21899999999999981</c:v>
                </c:pt>
                <c:pt idx="33">
                  <c:v>0.2169999999999998</c:v>
                </c:pt>
                <c:pt idx="34">
                  <c:v>0.2149999999999998</c:v>
                </c:pt>
                <c:pt idx="35">
                  <c:v>0.2129999999999998</c:v>
                </c:pt>
                <c:pt idx="36">
                  <c:v>0.2109999999999998</c:v>
                </c:pt>
                <c:pt idx="37">
                  <c:v>0.2089999999999998</c:v>
                </c:pt>
                <c:pt idx="38">
                  <c:v>0.2069999999999998</c:v>
                </c:pt>
                <c:pt idx="39">
                  <c:v>0.20499999999999979</c:v>
                </c:pt>
                <c:pt idx="40">
                  <c:v>0.20299999999999979</c:v>
                </c:pt>
                <c:pt idx="41">
                  <c:v>0.20099999999999979</c:v>
                </c:pt>
                <c:pt idx="42">
                  <c:v>0.19899999999999979</c:v>
                </c:pt>
                <c:pt idx="43">
                  <c:v>0.19699999999999979</c:v>
                </c:pt>
                <c:pt idx="44">
                  <c:v>0.19499999999999978</c:v>
                </c:pt>
                <c:pt idx="45">
                  <c:v>0.19299999999999978</c:v>
                </c:pt>
                <c:pt idx="46">
                  <c:v>0.19099999999999978</c:v>
                </c:pt>
                <c:pt idx="47">
                  <c:v>0.18899999999999978</c:v>
                </c:pt>
                <c:pt idx="48">
                  <c:v>0.18699999999999978</c:v>
                </c:pt>
                <c:pt idx="49">
                  <c:v>0.18499999999999978</c:v>
                </c:pt>
                <c:pt idx="50">
                  <c:v>0.18299999999999977</c:v>
                </c:pt>
                <c:pt idx="51">
                  <c:v>0.18099999999999977</c:v>
                </c:pt>
                <c:pt idx="52">
                  <c:v>0.17899999999999977</c:v>
                </c:pt>
                <c:pt idx="53">
                  <c:v>0.17699999999999977</c:v>
                </c:pt>
                <c:pt idx="54">
                  <c:v>0.17499999999999977</c:v>
                </c:pt>
                <c:pt idx="55">
                  <c:v>0.17299999999999977</c:v>
                </c:pt>
                <c:pt idx="56">
                  <c:v>0.17099999999999976</c:v>
                </c:pt>
                <c:pt idx="57">
                  <c:v>0.16899999999999976</c:v>
                </c:pt>
                <c:pt idx="58">
                  <c:v>0.16699999999999976</c:v>
                </c:pt>
                <c:pt idx="59">
                  <c:v>0.16499999999999976</c:v>
                </c:pt>
                <c:pt idx="60">
                  <c:v>0.16299999999999976</c:v>
                </c:pt>
                <c:pt idx="61">
                  <c:v>0.16099999999999975</c:v>
                </c:pt>
                <c:pt idx="62">
                  <c:v>0.15899999999999975</c:v>
                </c:pt>
                <c:pt idx="63">
                  <c:v>0.15699999999999975</c:v>
                </c:pt>
                <c:pt idx="64">
                  <c:v>0.15499999999999975</c:v>
                </c:pt>
                <c:pt idx="65">
                  <c:v>0.15299999999999975</c:v>
                </c:pt>
                <c:pt idx="66">
                  <c:v>0.15099999999999975</c:v>
                </c:pt>
                <c:pt idx="67">
                  <c:v>0.14899999999999974</c:v>
                </c:pt>
                <c:pt idx="68">
                  <c:v>0.14699999999999974</c:v>
                </c:pt>
                <c:pt idx="69">
                  <c:v>0.14499999999999974</c:v>
                </c:pt>
                <c:pt idx="70">
                  <c:v>0.14299999999999974</c:v>
                </c:pt>
                <c:pt idx="71">
                  <c:v>0.14099999999999974</c:v>
                </c:pt>
                <c:pt idx="72">
                  <c:v>0.13899999999999973</c:v>
                </c:pt>
                <c:pt idx="73">
                  <c:v>0.13699999999999973</c:v>
                </c:pt>
                <c:pt idx="74">
                  <c:v>0.13499999999999973</c:v>
                </c:pt>
                <c:pt idx="75">
                  <c:v>0.13299999999999973</c:v>
                </c:pt>
                <c:pt idx="76">
                  <c:v>0.13099999999999973</c:v>
                </c:pt>
                <c:pt idx="77">
                  <c:v>0.12899999999999973</c:v>
                </c:pt>
                <c:pt idx="78">
                  <c:v>0.12699999999999972</c:v>
                </c:pt>
                <c:pt idx="79">
                  <c:v>0.12499999999999972</c:v>
                </c:pt>
                <c:pt idx="80">
                  <c:v>0.12299999999999972</c:v>
                </c:pt>
                <c:pt idx="81">
                  <c:v>0.12099999999999972</c:v>
                </c:pt>
                <c:pt idx="82">
                  <c:v>0.11899999999999972</c:v>
                </c:pt>
                <c:pt idx="83">
                  <c:v>0.11699999999999972</c:v>
                </c:pt>
                <c:pt idx="84">
                  <c:v>0.11499999999999971</c:v>
                </c:pt>
                <c:pt idx="85">
                  <c:v>0.11299999999999971</c:v>
                </c:pt>
                <c:pt idx="86">
                  <c:v>0.11099999999999971</c:v>
                </c:pt>
                <c:pt idx="87">
                  <c:v>0.10899999999999971</c:v>
                </c:pt>
                <c:pt idx="88">
                  <c:v>0.10699999999999971</c:v>
                </c:pt>
                <c:pt idx="89">
                  <c:v>0.1049999999999997</c:v>
                </c:pt>
                <c:pt idx="90">
                  <c:v>0.1029999999999997</c:v>
                </c:pt>
                <c:pt idx="91">
                  <c:v>0.1009999999999997</c:v>
                </c:pt>
                <c:pt idx="92">
                  <c:v>9.8999999999999699E-2</c:v>
                </c:pt>
                <c:pt idx="93">
                  <c:v>9.6999999999999698E-2</c:v>
                </c:pt>
                <c:pt idx="94">
                  <c:v>9.4999999999999696E-2</c:v>
                </c:pt>
                <c:pt idx="95">
                  <c:v>9.2999999999999694E-2</c:v>
                </c:pt>
                <c:pt idx="96">
                  <c:v>9.0999999999999692E-2</c:v>
                </c:pt>
                <c:pt idx="97">
                  <c:v>8.899999999999969E-2</c:v>
                </c:pt>
                <c:pt idx="98">
                  <c:v>8.6999999999999689E-2</c:v>
                </c:pt>
                <c:pt idx="99">
                  <c:v>8.4999999999999687E-2</c:v>
                </c:pt>
                <c:pt idx="100">
                  <c:v>8.2999999999999685E-2</c:v>
                </c:pt>
                <c:pt idx="101">
                  <c:v>8.0999999999999683E-2</c:v>
                </c:pt>
                <c:pt idx="102">
                  <c:v>7.8999999999999682E-2</c:v>
                </c:pt>
                <c:pt idx="103">
                  <c:v>7.699999999999968E-2</c:v>
                </c:pt>
                <c:pt idx="104">
                  <c:v>7.4999999999999678E-2</c:v>
                </c:pt>
                <c:pt idx="105">
                  <c:v>7.2999999999999676E-2</c:v>
                </c:pt>
                <c:pt idx="106">
                  <c:v>7.0999999999999674E-2</c:v>
                </c:pt>
                <c:pt idx="107">
                  <c:v>6.8999999999999673E-2</c:v>
                </c:pt>
                <c:pt idx="108">
                  <c:v>6.6999999999999671E-2</c:v>
                </c:pt>
                <c:pt idx="109">
                  <c:v>6.4999999999999669E-2</c:v>
                </c:pt>
                <c:pt idx="110">
                  <c:v>6.2999999999999667E-2</c:v>
                </c:pt>
                <c:pt idx="111">
                  <c:v>6.0999999999999666E-2</c:v>
                </c:pt>
                <c:pt idx="112">
                  <c:v>5.8999999999999664E-2</c:v>
                </c:pt>
                <c:pt idx="113">
                  <c:v>5.6999999999999662E-2</c:v>
                </c:pt>
                <c:pt idx="114">
                  <c:v>5.499999999999966E-2</c:v>
                </c:pt>
                <c:pt idx="115">
                  <c:v>5.2999999999999658E-2</c:v>
                </c:pt>
                <c:pt idx="116">
                  <c:v>5.0999999999999657E-2</c:v>
                </c:pt>
                <c:pt idx="117">
                  <c:v>0.05</c:v>
                </c:pt>
              </c:numCache>
            </c:numRef>
          </c:xVal>
          <c:yVal>
            <c:numRef>
              <c:f>soil!$E$5:$E$184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0.76816598701175842</c:v>
                </c:pt>
                <c:pt idx="27">
                  <c:v>2.3551111662103499</c:v>
                </c:pt>
                <c:pt idx="28">
                  <c:v>4.0120153261717473</c:v>
                </c:pt>
                <c:pt idx="29">
                  <c:v>5.74196254254867</c:v>
                </c:pt>
                <c:pt idx="30">
                  <c:v>7.5481728495588261</c:v>
                </c:pt>
                <c:pt idx="31">
                  <c:v>9.4340082335899176</c:v>
                </c:pt>
                <c:pt idx="32">
                  <c:v>11.402978891027166</c:v>
                </c:pt>
                <c:pt idx="33">
                  <c:v>13.458749761951147</c:v>
                </c:pt>
                <c:pt idx="34">
                  <c:v>15.605147351867608</c:v>
                </c:pt>
                <c:pt idx="35">
                  <c:v>17.846166854166793</c:v>
                </c:pt>
                <c:pt idx="36">
                  <c:v>20.185979586569601</c:v>
                </c:pt>
                <c:pt idx="37">
                  <c:v>22.628940755402592</c:v>
                </c:pt>
                <c:pt idx="38">
                  <c:v>25.179597562153564</c:v>
                </c:pt>
                <c:pt idx="39">
                  <c:v>27.84269766739714</c:v>
                </c:pt>
                <c:pt idx="40">
                  <c:v>30.623198027844388</c:v>
                </c:pt>
                <c:pt idx="41">
                  <c:v>33.526274122965553</c:v>
                </c:pt>
                <c:pt idx="42">
                  <c:v>36.557329588359686</c:v>
                </c:pt>
                <c:pt idx="43">
                  <c:v>39.722006273802251</c:v>
                </c:pt>
                <c:pt idx="44">
                  <c:v>43.026194744692383</c:v>
                </c:pt>
                <c:pt idx="45">
                  <c:v>46.476045246446354</c:v>
                </c:pt>
                <c:pt idx="46">
                  <c:v>50.077979152246243</c:v>
                </c:pt>
                <c:pt idx="47">
                  <c:v>53.838700915451518</c:v>
                </c:pt>
                <c:pt idx="48">
                  <c:v>57.765210548921608</c:v>
                </c:pt>
                <c:pt idx="49">
                  <c:v>61.864816654477536</c:v>
                </c:pt>
                <c:pt idx="50">
                  <c:v>66.145150026755132</c:v>
                </c:pt>
                <c:pt idx="51">
                  <c:v>70.614177856771178</c:v>
                </c:pt>
                <c:pt idx="52">
                  <c:v>75.280218561640552</c:v>
                </c:pt>
                <c:pt idx="53">
                  <c:v>80.151957268047241</c:v>
                </c:pt>
                <c:pt idx="54">
                  <c:v>85.238461978289706</c:v>
                </c:pt>
                <c:pt idx="55">
                  <c:v>90.54920044899103</c:v>
                </c:pt>
                <c:pt idx="56">
                  <c:v>96.094057813891183</c:v>
                </c:pt>
                <c:pt idx="57">
                  <c:v>101.88335498352322</c:v>
                </c:pt>
                <c:pt idx="58">
                  <c:v>107.92786785602217</c:v>
                </c:pt>
                <c:pt idx="59">
                  <c:v>114.23884737482413</c:v>
                </c:pt>
                <c:pt idx="60">
                  <c:v>120.82804047058984</c:v>
                </c:pt>
                <c:pt idx="61">
                  <c:v>127.70771192633393</c:v>
                </c:pt>
                <c:pt idx="62">
                  <c:v>134.89066720645673</c:v>
                </c:pt>
                <c:pt idx="63">
                  <c:v>142.39027629217352</c:v>
                </c:pt>
                <c:pt idx="64">
                  <c:v>150.22049856770525</c:v>
                </c:pt>
                <c:pt idx="65">
                  <c:v>158.39590880355385</c:v>
                </c:pt>
                <c:pt idx="66">
                  <c:v>166.93172428522621</c:v>
                </c:pt>
                <c:pt idx="67">
                  <c:v>175.84383313790133</c:v>
                </c:pt>
                <c:pt idx="68">
                  <c:v>185.14882389976441</c:v>
                </c:pt>
                <c:pt idx="69">
                  <c:v>194.8640163990537</c:v>
                </c:pt>
                <c:pt idx="70">
                  <c:v>205.00749399229178</c:v>
                </c:pt>
                <c:pt idx="71">
                  <c:v>215.59813722371007</c:v>
                </c:pt>
                <c:pt idx="72">
                  <c:v>226.65565896851641</c:v>
                </c:pt>
                <c:pt idx="73">
                  <c:v>238.20064112542084</c:v>
                </c:pt>
                <c:pt idx="74">
                  <c:v>250.25457292671658</c:v>
                </c:pt>
                <c:pt idx="75">
                  <c:v>262.83989093722533</c:v>
                </c:pt>
                <c:pt idx="76">
                  <c:v>275.98002081655721</c:v>
                </c:pt>
                <c:pt idx="77">
                  <c:v>289.69942092242133</c:v>
                </c:pt>
                <c:pt idx="78">
                  <c:v>304.0236278361478</c:v>
                </c:pt>
                <c:pt idx="79">
                  <c:v>318.97930389515756</c:v>
                </c:pt>
                <c:pt idx="80">
                  <c:v>334.59428682085763</c:v>
                </c:pt>
                <c:pt idx="81">
                  <c:v>350.89764153433583</c:v>
                </c:pt>
                <c:pt idx="82">
                  <c:v>367.91971425629964</c:v>
                </c:pt>
                <c:pt idx="83">
                  <c:v>385.69218899196119</c:v>
                </c:pt>
                <c:pt idx="84">
                  <c:v>404.24814650600575</c:v>
                </c:pt>
                <c:pt idx="85">
                  <c:v>423.62212589741347</c:v>
                </c:pt>
                <c:pt idx="86">
                  <c:v>443.85018888875163</c:v>
                </c:pt>
                <c:pt idx="87">
                  <c:v>464.9699869495991</c:v>
                </c:pt>
                <c:pt idx="88">
                  <c:v>487.02083137904219</c:v>
                </c:pt>
                <c:pt idx="89">
                  <c:v>510.043766477693</c:v>
                </c:pt>
                <c:pt idx="90">
                  <c:v>534.08164594542586</c:v>
                </c:pt>
                <c:pt idx="91">
                  <c:v>559.17921264703739</c:v>
                </c:pt>
                <c:pt idx="92">
                  <c:v>585.38318189429822</c:v>
                </c:pt>
                <c:pt idx="93">
                  <c:v>612.74232839941726</c:v>
                </c:pt>
                <c:pt idx="94">
                  <c:v>641.30757706176735</c:v>
                </c:pt>
                <c:pt idx="95">
                  <c:v>671.13209775685607</c:v>
                </c:pt>
                <c:pt idx="96">
                  <c:v>702.27140430398083</c:v>
                </c:pt>
                <c:pt idx="97">
                  <c:v>734.78345779678023</c:v>
                </c:pt>
                <c:pt idx="98">
                  <c:v>768.72877448901204</c:v>
                </c:pt>
                <c:pt idx="99">
                  <c:v>804.170538436377</c:v>
                </c:pt>
                <c:pt idx="100">
                  <c:v>841.17471910405141</c:v>
                </c:pt>
                <c:pt idx="101">
                  <c:v>879.81019415883293</c:v>
                </c:pt>
                <c:pt idx="102">
                  <c:v>920.14887767446589</c:v>
                </c:pt>
                <c:pt idx="103">
                  <c:v>962.26585398877819</c:v>
                </c:pt>
                <c:pt idx="104">
                  <c:v>1006.2395174617791</c:v>
                </c:pt>
                <c:pt idx="105">
                  <c:v>1052.1517183948642</c:v>
                </c:pt>
                <c:pt idx="106">
                  <c:v>1100.0879153827339</c:v>
                </c:pt>
                <c:pt idx="107">
                  <c:v>1150.1373343815928</c:v>
                </c:pt>
                <c:pt idx="108">
                  <c:v>1202.3931347897324</c:v>
                </c:pt>
                <c:pt idx="109">
                  <c:v>1256.9525828496091</c:v>
                </c:pt>
                <c:pt idx="110">
                  <c:v>1313.9172326941998</c:v>
                </c:pt>
                <c:pt idx="111">
                  <c:v>1373.3931153746028</c:v>
                </c:pt>
                <c:pt idx="112">
                  <c:v>1435.4909362207525</c:v>
                </c:pt>
                <c:pt idx="113">
                  <c:v>1500.3262809025919</c:v>
                </c:pt>
                <c:pt idx="114">
                  <c:v>1568.0198305752533</c:v>
                </c:pt>
                <c:pt idx="115">
                  <c:v>1638.697586508717</c:v>
                </c:pt>
                <c:pt idx="116">
                  <c:v>1712.4911046200561</c:v>
                </c:pt>
                <c:pt idx="117">
                  <c:v>1750.5989646073112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EF1-3F42-8511-1A1B09278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348447"/>
        <c:axId val="1279350127"/>
      </c:scatterChart>
      <c:scatterChart>
        <c:scatterStyle val="lineMarker"/>
        <c:varyColors val="0"/>
        <c:ser>
          <c:idx val="0"/>
          <c:order val="1"/>
          <c:tx>
            <c:v>gs</c:v>
          </c:tx>
          <c:marker>
            <c:symbol val="none"/>
          </c:marker>
          <c:xVal>
            <c:numRef>
              <c:f>soil!$D$5:$D$121</c:f>
              <c:numCache>
                <c:formatCode>General</c:formatCode>
                <c:ptCount val="117"/>
                <c:pt idx="0">
                  <c:v>0.45900000000000002</c:v>
                </c:pt>
                <c:pt idx="1">
                  <c:v>0.44900000000000001</c:v>
                </c:pt>
                <c:pt idx="2">
                  <c:v>0.439</c:v>
                </c:pt>
                <c:pt idx="3">
                  <c:v>0.42899999999999999</c:v>
                </c:pt>
                <c:pt idx="4">
                  <c:v>0.41899999999999998</c:v>
                </c:pt>
                <c:pt idx="5">
                  <c:v>0.40899999999999997</c:v>
                </c:pt>
                <c:pt idx="6">
                  <c:v>0.39899999999999997</c:v>
                </c:pt>
                <c:pt idx="7">
                  <c:v>0.38899999999999996</c:v>
                </c:pt>
                <c:pt idx="8">
                  <c:v>0.37899999999999995</c:v>
                </c:pt>
                <c:pt idx="9">
                  <c:v>0.36899999999999994</c:v>
                </c:pt>
                <c:pt idx="10">
                  <c:v>0.35899999999999993</c:v>
                </c:pt>
                <c:pt idx="11">
                  <c:v>0.34899999999999992</c:v>
                </c:pt>
                <c:pt idx="12">
                  <c:v>0.33899999999999991</c:v>
                </c:pt>
                <c:pt idx="13">
                  <c:v>0.3289999999999999</c:v>
                </c:pt>
                <c:pt idx="14">
                  <c:v>0.31899999999999989</c:v>
                </c:pt>
                <c:pt idx="15">
                  <c:v>0.30899999999999989</c:v>
                </c:pt>
                <c:pt idx="16">
                  <c:v>0.29899999999999988</c:v>
                </c:pt>
                <c:pt idx="17">
                  <c:v>0.28899999999999987</c:v>
                </c:pt>
                <c:pt idx="18">
                  <c:v>0.27899999999999986</c:v>
                </c:pt>
                <c:pt idx="19">
                  <c:v>0.26899999999999985</c:v>
                </c:pt>
                <c:pt idx="20">
                  <c:v>0.25899999999999984</c:v>
                </c:pt>
                <c:pt idx="21">
                  <c:v>0.24899999999999983</c:v>
                </c:pt>
                <c:pt idx="22">
                  <c:v>0.23899999999999982</c:v>
                </c:pt>
                <c:pt idx="23">
                  <c:v>0.23699999999999982</c:v>
                </c:pt>
                <c:pt idx="24">
                  <c:v>0.23499999999999982</c:v>
                </c:pt>
                <c:pt idx="25">
                  <c:v>0.23299999999999982</c:v>
                </c:pt>
                <c:pt idx="26">
                  <c:v>0.23099999999999982</c:v>
                </c:pt>
                <c:pt idx="27">
                  <c:v>0.22899999999999981</c:v>
                </c:pt>
                <c:pt idx="28">
                  <c:v>0.22699999999999981</c:v>
                </c:pt>
                <c:pt idx="29">
                  <c:v>0.22499999999999981</c:v>
                </c:pt>
                <c:pt idx="30">
                  <c:v>0.22299999999999981</c:v>
                </c:pt>
                <c:pt idx="31">
                  <c:v>0.22099999999999981</c:v>
                </c:pt>
                <c:pt idx="32">
                  <c:v>0.21899999999999981</c:v>
                </c:pt>
                <c:pt idx="33">
                  <c:v>0.2169999999999998</c:v>
                </c:pt>
                <c:pt idx="34">
                  <c:v>0.2149999999999998</c:v>
                </c:pt>
                <c:pt idx="35">
                  <c:v>0.2129999999999998</c:v>
                </c:pt>
                <c:pt idx="36">
                  <c:v>0.2109999999999998</c:v>
                </c:pt>
                <c:pt idx="37">
                  <c:v>0.2089999999999998</c:v>
                </c:pt>
                <c:pt idx="38">
                  <c:v>0.2069999999999998</c:v>
                </c:pt>
                <c:pt idx="39">
                  <c:v>0.20499999999999979</c:v>
                </c:pt>
                <c:pt idx="40">
                  <c:v>0.20299999999999979</c:v>
                </c:pt>
                <c:pt idx="41">
                  <c:v>0.20099999999999979</c:v>
                </c:pt>
                <c:pt idx="42">
                  <c:v>0.19899999999999979</c:v>
                </c:pt>
                <c:pt idx="43">
                  <c:v>0.19699999999999979</c:v>
                </c:pt>
                <c:pt idx="44">
                  <c:v>0.19499999999999978</c:v>
                </c:pt>
                <c:pt idx="45">
                  <c:v>0.19299999999999978</c:v>
                </c:pt>
                <c:pt idx="46">
                  <c:v>0.19099999999999978</c:v>
                </c:pt>
                <c:pt idx="47">
                  <c:v>0.18899999999999978</c:v>
                </c:pt>
                <c:pt idx="48">
                  <c:v>0.18699999999999978</c:v>
                </c:pt>
                <c:pt idx="49">
                  <c:v>0.18499999999999978</c:v>
                </c:pt>
                <c:pt idx="50">
                  <c:v>0.18299999999999977</c:v>
                </c:pt>
                <c:pt idx="51">
                  <c:v>0.18099999999999977</c:v>
                </c:pt>
                <c:pt idx="52">
                  <c:v>0.17899999999999977</c:v>
                </c:pt>
                <c:pt idx="53">
                  <c:v>0.17699999999999977</c:v>
                </c:pt>
                <c:pt idx="54">
                  <c:v>0.17499999999999977</c:v>
                </c:pt>
                <c:pt idx="55">
                  <c:v>0.17299999999999977</c:v>
                </c:pt>
                <c:pt idx="56">
                  <c:v>0.17099999999999976</c:v>
                </c:pt>
                <c:pt idx="57">
                  <c:v>0.16899999999999976</c:v>
                </c:pt>
                <c:pt idx="58">
                  <c:v>0.16699999999999976</c:v>
                </c:pt>
                <c:pt idx="59">
                  <c:v>0.16499999999999976</c:v>
                </c:pt>
                <c:pt idx="60">
                  <c:v>0.16299999999999976</c:v>
                </c:pt>
                <c:pt idx="61">
                  <c:v>0.16099999999999975</c:v>
                </c:pt>
                <c:pt idx="62">
                  <c:v>0.15899999999999975</c:v>
                </c:pt>
                <c:pt idx="63">
                  <c:v>0.15699999999999975</c:v>
                </c:pt>
                <c:pt idx="64">
                  <c:v>0.15499999999999975</c:v>
                </c:pt>
                <c:pt idx="65">
                  <c:v>0.15299999999999975</c:v>
                </c:pt>
                <c:pt idx="66">
                  <c:v>0.15099999999999975</c:v>
                </c:pt>
                <c:pt idx="67">
                  <c:v>0.14899999999999974</c:v>
                </c:pt>
                <c:pt idx="68">
                  <c:v>0.14699999999999974</c:v>
                </c:pt>
                <c:pt idx="69">
                  <c:v>0.14499999999999974</c:v>
                </c:pt>
                <c:pt idx="70">
                  <c:v>0.14299999999999974</c:v>
                </c:pt>
                <c:pt idx="71">
                  <c:v>0.14099999999999974</c:v>
                </c:pt>
                <c:pt idx="72">
                  <c:v>0.13899999999999973</c:v>
                </c:pt>
                <c:pt idx="73">
                  <c:v>0.13699999999999973</c:v>
                </c:pt>
                <c:pt idx="74">
                  <c:v>0.13499999999999973</c:v>
                </c:pt>
                <c:pt idx="75">
                  <c:v>0.13299999999999973</c:v>
                </c:pt>
                <c:pt idx="76">
                  <c:v>0.13099999999999973</c:v>
                </c:pt>
                <c:pt idx="77">
                  <c:v>0.12899999999999973</c:v>
                </c:pt>
                <c:pt idx="78">
                  <c:v>0.12699999999999972</c:v>
                </c:pt>
                <c:pt idx="79">
                  <c:v>0.12499999999999972</c:v>
                </c:pt>
                <c:pt idx="80">
                  <c:v>0.12299999999999972</c:v>
                </c:pt>
                <c:pt idx="81">
                  <c:v>0.12099999999999972</c:v>
                </c:pt>
                <c:pt idx="82">
                  <c:v>0.11899999999999972</c:v>
                </c:pt>
                <c:pt idx="83">
                  <c:v>0.11699999999999972</c:v>
                </c:pt>
                <c:pt idx="84">
                  <c:v>0.11499999999999971</c:v>
                </c:pt>
                <c:pt idx="85">
                  <c:v>0.11299999999999971</c:v>
                </c:pt>
                <c:pt idx="86">
                  <c:v>0.11099999999999971</c:v>
                </c:pt>
                <c:pt idx="87">
                  <c:v>0.10899999999999971</c:v>
                </c:pt>
                <c:pt idx="88">
                  <c:v>0.10699999999999971</c:v>
                </c:pt>
                <c:pt idx="89">
                  <c:v>0.1049999999999997</c:v>
                </c:pt>
                <c:pt idx="90">
                  <c:v>0.1029999999999997</c:v>
                </c:pt>
                <c:pt idx="91">
                  <c:v>0.1009999999999997</c:v>
                </c:pt>
                <c:pt idx="92">
                  <c:v>9.8999999999999699E-2</c:v>
                </c:pt>
                <c:pt idx="93">
                  <c:v>9.6999999999999698E-2</c:v>
                </c:pt>
                <c:pt idx="94">
                  <c:v>9.4999999999999696E-2</c:v>
                </c:pt>
                <c:pt idx="95">
                  <c:v>9.2999999999999694E-2</c:v>
                </c:pt>
                <c:pt idx="96">
                  <c:v>9.0999999999999692E-2</c:v>
                </c:pt>
                <c:pt idx="97">
                  <c:v>8.899999999999969E-2</c:v>
                </c:pt>
                <c:pt idx="98">
                  <c:v>8.6999999999999689E-2</c:v>
                </c:pt>
                <c:pt idx="99">
                  <c:v>8.4999999999999687E-2</c:v>
                </c:pt>
                <c:pt idx="100">
                  <c:v>8.2999999999999685E-2</c:v>
                </c:pt>
                <c:pt idx="101">
                  <c:v>8.0999999999999683E-2</c:v>
                </c:pt>
                <c:pt idx="102">
                  <c:v>7.8999999999999682E-2</c:v>
                </c:pt>
                <c:pt idx="103">
                  <c:v>7.699999999999968E-2</c:v>
                </c:pt>
                <c:pt idx="104">
                  <c:v>7.4999999999999678E-2</c:v>
                </c:pt>
                <c:pt idx="105">
                  <c:v>7.2999999999999676E-2</c:v>
                </c:pt>
                <c:pt idx="106">
                  <c:v>7.0999999999999674E-2</c:v>
                </c:pt>
                <c:pt idx="107">
                  <c:v>6.8999999999999673E-2</c:v>
                </c:pt>
                <c:pt idx="108">
                  <c:v>6.6999999999999671E-2</c:v>
                </c:pt>
                <c:pt idx="109">
                  <c:v>6.4999999999999669E-2</c:v>
                </c:pt>
                <c:pt idx="110">
                  <c:v>6.2999999999999667E-2</c:v>
                </c:pt>
                <c:pt idx="111">
                  <c:v>6.0999999999999666E-2</c:v>
                </c:pt>
                <c:pt idx="112">
                  <c:v>5.8999999999999664E-2</c:v>
                </c:pt>
                <c:pt idx="113">
                  <c:v>5.6999999999999662E-2</c:v>
                </c:pt>
                <c:pt idx="114">
                  <c:v>5.499999999999966E-2</c:v>
                </c:pt>
                <c:pt idx="115">
                  <c:v>5.2999999999999658E-2</c:v>
                </c:pt>
                <c:pt idx="116">
                  <c:v>5.0999999999999657E-2</c:v>
                </c:pt>
              </c:numCache>
            </c:numRef>
          </c:xVal>
          <c:yVal>
            <c:numRef>
              <c:f>soil!$G$5:$G$121</c:f>
              <c:numCache>
                <c:formatCode>General</c:formatCode>
                <c:ptCount val="117"/>
                <c:pt idx="26">
                  <c:v>52072.079051044624</c:v>
                </c:pt>
                <c:pt idx="27">
                  <c:v>16984.336269936972</c:v>
                </c:pt>
                <c:pt idx="28">
                  <c:v>9970.0516443858833</c:v>
                </c:pt>
                <c:pt idx="29">
                  <c:v>6966.2593065689534</c:v>
                </c:pt>
                <c:pt idx="30">
                  <c:v>5299.2957099992636</c:v>
                </c:pt>
                <c:pt idx="31">
                  <c:v>4239.9793395960205</c:v>
                </c:pt>
                <c:pt idx="32">
                  <c:v>3507.8553053777382</c:v>
                </c:pt>
                <c:pt idx="33">
                  <c:v>2972.0442617250283</c:v>
                </c:pt>
                <c:pt idx="34">
                  <c:v>2563.2567958554291</c:v>
                </c:pt>
                <c:pt idx="35">
                  <c:v>2241.3776766107421</c:v>
                </c:pt>
                <c:pt idx="36">
                  <c:v>1981.5733900084454</c:v>
                </c:pt>
                <c:pt idx="37">
                  <c:v>1767.6479174329061</c:v>
                </c:pt>
                <c:pt idx="38">
                  <c:v>1588.5877405809847</c:v>
                </c:pt>
                <c:pt idx="39">
                  <c:v>1436.6424000228485</c:v>
                </c:pt>
                <c:pt idx="40">
                  <c:v>1306.1993056254175</c:v>
                </c:pt>
                <c:pt idx="41">
                  <c:v>1193.0941044415054</c:v>
                </c:pt>
                <c:pt idx="42">
                  <c:v>1094.1718241021767</c:v>
                </c:pt>
                <c:pt idx="43">
                  <c:v>1006.9984815037174</c:v>
                </c:pt>
                <c:pt idx="44">
                  <c:v>929.66622396776813</c:v>
                </c:pt>
                <c:pt idx="45">
                  <c:v>860.65842710785455</c:v>
                </c:pt>
                <c:pt idx="46">
                  <c:v>798.75427637350663</c:v>
                </c:pt>
                <c:pt idx="47">
                  <c:v>742.95997711416067</c:v>
                </c:pt>
                <c:pt idx="48">
                  <c:v>692.45830872760041</c:v>
                </c:pt>
                <c:pt idx="49">
                  <c:v>646.57105869083591</c:v>
                </c:pt>
                <c:pt idx="50">
                  <c:v>604.73065650044407</c:v>
                </c:pt>
                <c:pt idx="51">
                  <c:v>566.45848205063271</c:v>
                </c:pt>
                <c:pt idx="52">
                  <c:v>531.34808538377729</c:v>
                </c:pt>
                <c:pt idx="53">
                  <c:v>499.05206763985154</c:v>
                </c:pt>
                <c:pt idx="54">
                  <c:v>469.27172395705622</c:v>
                </c:pt>
                <c:pt idx="55">
                  <c:v>441.74879293973612</c:v>
                </c:pt>
                <c:pt idx="56">
                  <c:v>416.25882921365894</c:v>
                </c:pt>
                <c:pt idx="57">
                  <c:v>392.60583837731764</c:v>
                </c:pt>
                <c:pt idx="58">
                  <c:v>370.61790244351687</c:v>
                </c:pt>
                <c:pt idx="59">
                  <c:v>350.14358879828092</c:v>
                </c:pt>
                <c:pt idx="60">
                  <c:v>331.04898369792073</c:v>
                </c:pt>
                <c:pt idx="61">
                  <c:v>313.21522715146079</c:v>
                </c:pt>
                <c:pt idx="62">
                  <c:v>296.53645302812578</c:v>
                </c:pt>
                <c:pt idx="63">
                  <c:v>280.91805874386523</c:v>
                </c:pt>
                <c:pt idx="64">
                  <c:v>266.27524459966941</c:v>
                </c:pt>
                <c:pt idx="65">
                  <c:v>252.5317749816941</c:v>
                </c:pt>
                <c:pt idx="66">
                  <c:v>239.61892307333031</c:v>
                </c:pt>
                <c:pt idx="67">
                  <c:v>227.474568122221</c:v>
                </c:pt>
                <c:pt idx="68">
                  <c:v>216.04242013254776</c:v>
                </c:pt>
                <c:pt idx="69">
                  <c:v>205.27135147458782</c:v>
                </c:pt>
                <c:pt idx="70">
                  <c:v>195.11481859050474</c:v>
                </c:pt>
                <c:pt idx="71">
                  <c:v>185.53035993300347</c:v>
                </c:pt>
                <c:pt idx="72">
                  <c:v>176.47915865871317</c:v>
                </c:pt>
                <c:pt idx="73">
                  <c:v>167.92566053144509</c:v>
                </c:pt>
                <c:pt idx="74">
                  <c:v>159.83723906501166</c:v>
                </c:pt>
                <c:pt idx="75">
                  <c:v>152.18390122355245</c:v>
                </c:pt>
                <c:pt idx="76">
                  <c:v>144.9380280559796</c:v>
                </c:pt>
                <c:pt idx="77">
                  <c:v>138.07414551481483</c:v>
                </c:pt>
                <c:pt idx="78">
                  <c:v>131.56872143357825</c:v>
                </c:pt>
                <c:pt idx="79">
                  <c:v>125.39998523900235</c:v>
                </c:pt>
                <c:pt idx="80">
                  <c:v>119.54776747702232</c:v>
                </c:pt>
                <c:pt idx="81">
                  <c:v>113.99335665265778</c:v>
                </c:pt>
                <c:pt idx="82">
                  <c:v>108.71937123797412</c:v>
                </c:pt>
                <c:pt idx="83">
                  <c:v>103.70964500096137</c:v>
                </c:pt>
                <c:pt idx="84">
                  <c:v>98.949124060871185</c:v>
                </c:pt>
                <c:pt idx="85">
                  <c:v>94.423774290029897</c:v>
                </c:pt>
                <c:pt idx="86">
                  <c:v>90.120497864710273</c:v>
                </c:pt>
                <c:pt idx="87">
                  <c:v>86.027057923495263</c:v>
                </c:pt>
                <c:pt idx="88">
                  <c:v>82.132010424967845</c:v>
                </c:pt>
                <c:pt idx="89">
                  <c:v>78.424642411053597</c:v>
                </c:pt>
                <c:pt idx="90">
                  <c:v>74.894915980856084</c:v>
                </c:pt>
                <c:pt idx="91">
                  <c:v>71.533417364798609</c:v>
                </c:pt>
                <c:pt idx="92">
                  <c:v>68.33131056235699</c:v>
                </c:pt>
                <c:pt idx="93">
                  <c:v>65.280295070338155</c:v>
                </c:pt>
                <c:pt idx="94">
                  <c:v>62.372567283962411</c:v>
                </c:pt>
                <c:pt idx="95">
                  <c:v>59.60078520114466</c:v>
                </c:pt>
                <c:pt idx="96">
                  <c:v>56.958036102358292</c:v>
                </c:pt>
                <c:pt idx="97">
                  <c:v>54.437806915167158</c:v>
                </c:pt>
                <c:pt idx="98">
                  <c:v>52.033957004651896</c:v>
                </c:pt>
                <c:pt idx="99">
                  <c:v>49.740693159159612</c:v>
                </c:pt>
                <c:pt idx="100">
                  <c:v>47.552546565598924</c:v>
                </c:pt>
                <c:pt idx="101">
                  <c:v>45.464351590337188</c:v>
                </c:pt>
                <c:pt idx="102">
                  <c:v>43.471226201018496</c:v>
                </c:pt>
                <c:pt idx="103">
                  <c:v>41.568553881645343</c:v>
                </c:pt>
                <c:pt idx="104">
                  <c:v>39.751966908335376</c:v>
                </c:pt>
                <c:pt idx="105">
                  <c:v>38.017330866524631</c:v>
                </c:pt>
                <c:pt idx="106">
                  <c:v>36.360730302253629</c:v>
                </c:pt>
                <c:pt idx="107">
                  <c:v>34.77845541072471</c:v>
                </c:pt>
                <c:pt idx="108">
                  <c:v>33.26698967471647</c:v>
                </c:pt>
                <c:pt idx="109">
                  <c:v>31.822998373826398</c:v>
                </c:pt>
                <c:pt idx="110">
                  <c:v>30.443317892999712</c:v>
                </c:pt>
                <c:pt idx="111">
                  <c:v>29.124945765502627</c:v>
                </c:pt>
                <c:pt idx="112">
                  <c:v>27.865031391496522</c:v>
                </c:pt>
                <c:pt idx="113">
                  <c:v>26.660867378751853</c:v>
                </c:pt>
                <c:pt idx="114">
                  <c:v>25.509881456872492</c:v>
                </c:pt>
                <c:pt idx="115">
                  <c:v>24.409628920746091</c:v>
                </c:pt>
                <c:pt idx="116">
                  <c:v>23.357785562848015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EF1-3F42-8511-1A1B09278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960255"/>
        <c:axId val="1248768879"/>
      </c:scatterChart>
      <c:valAx>
        <c:axId val="1279348447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soil volumetric humidity,</a:t>
                </a:r>
                <a:r>
                  <a:rPr lang="fr-FR" baseline="0"/>
                  <a:t> m3/m3</a:t>
                </a: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9350127"/>
        <c:crossesAt val="0.1"/>
        <c:crossBetween val="midCat"/>
      </c:valAx>
      <c:valAx>
        <c:axId val="12793501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Rs, m/s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9348447"/>
        <c:crosses val="autoZero"/>
        <c:crossBetween val="midCat"/>
      </c:valAx>
      <c:valAx>
        <c:axId val="1248768879"/>
        <c:scaling>
          <c:logBase val="10"/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gs, mmol/s/m2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4960255"/>
        <c:crosses val="max"/>
        <c:crossBetween val="midCat"/>
      </c:valAx>
      <c:valAx>
        <c:axId val="12449602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248768879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138</xdr:col>
      <xdr:colOff>1173480</xdr:colOff>
      <xdr:row>156</xdr:row>
      <xdr:rowOff>40640</xdr:rowOff>
    </xdr:from>
    <xdr:to>
      <xdr:col>144</xdr:col>
      <xdr:colOff>375920</xdr:colOff>
      <xdr:row>191</xdr:row>
      <xdr:rowOff>71120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7CB6ECD-2B7F-CB4B-BCCF-82B8C71CF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770890</xdr:colOff>
      <xdr:row>1</xdr:row>
      <xdr:rowOff>10160</xdr:rowOff>
    </xdr:from>
    <xdr:to>
      <xdr:col>20</xdr:col>
      <xdr:colOff>525780</xdr:colOff>
      <xdr:row>45</xdr:row>
      <xdr:rowOff>99060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39EE1D8-3F4F-1342-8A22-997D26CA4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17</xdr:row>
      <xdr:rowOff>38100</xdr:rowOff>
    </xdr:from>
    <xdr:to>
      <xdr:col>15</xdr:col>
      <xdr:colOff>19050</xdr:colOff>
      <xdr:row>30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75CD751-CAF7-5648-B552-150CAB131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17</xdr:row>
      <xdr:rowOff>95250</xdr:rowOff>
    </xdr:from>
    <xdr:to>
      <xdr:col>20</xdr:col>
      <xdr:colOff>406400</xdr:colOff>
      <xdr:row>42</xdr:row>
      <xdr:rowOff>12700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DCD0FE7-74F9-964D-ACE7-0CB5D8C3B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468930</xdr:colOff>
      <xdr:row>0</xdr:row>
      <xdr:rowOff>159477</xdr:rowOff>
    </xdr:from>
    <xdr:to>
      <xdr:col>28</xdr:col>
      <xdr:colOff>4444</xdr:colOff>
      <xdr:row>25</xdr:row>
      <xdr:rowOff>204694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39A5960-9162-B147-86F8-4DCDD8391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38766" y="159477"/>
          <a:ext cx="7863383" cy="5728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HQ754"/>
  <sheetViews>
    <sheetView zoomScale="133" zoomScaleNormal="195" zoomScalePageLayoutView="195" workbookViewId="0">
      <selection activeCell="F23" sqref="F23"/>
    </sheetView>
  </sheetViews>
  <sheetFormatPr baseColWidth="10" defaultRowHeight="16"/>
  <cols>
    <col min="1" max="1" width="10.83203125" style="90"/>
    <col min="2" max="2" width="16" customWidth="1"/>
    <col min="3" max="3" width="13.1640625" bestFit="1" customWidth="1"/>
    <col min="4" max="4" width="12.1640625" bestFit="1" customWidth="1"/>
    <col min="5" max="5" width="17.1640625" customWidth="1"/>
    <col min="6" max="6" width="17.33203125" customWidth="1"/>
    <col min="7" max="7" width="14.33203125" customWidth="1"/>
    <col min="8" max="8" width="16.1640625" customWidth="1"/>
    <col min="9" max="9" width="14.33203125" customWidth="1"/>
    <col min="10" max="10" width="15.1640625" style="113" customWidth="1"/>
    <col min="11" max="11" width="13.5" customWidth="1"/>
    <col min="12" max="12" width="14.33203125" customWidth="1"/>
    <col min="13" max="13" width="17.33203125" customWidth="1"/>
    <col min="14" max="14" width="13.5" customWidth="1"/>
    <col min="15" max="15" width="12.1640625" customWidth="1"/>
    <col min="16" max="16" width="8.1640625" customWidth="1"/>
    <col min="17" max="18" width="11.6640625" customWidth="1"/>
    <col min="19" max="19" width="10.1640625" customWidth="1"/>
    <col min="20" max="20" width="12.5" style="262" customWidth="1"/>
    <col min="21" max="21" width="10.1640625" style="271" customWidth="1"/>
    <col min="22" max="22" width="11" customWidth="1"/>
    <col min="23" max="23" width="13.6640625" customWidth="1"/>
    <col min="24" max="24" width="8.1640625" customWidth="1"/>
    <col min="25" max="25" width="8.1640625" style="263" customWidth="1"/>
    <col min="26" max="27" width="8.1640625" style="271" customWidth="1"/>
    <col min="28" max="28" width="8.1640625" style="263" customWidth="1"/>
    <col min="29" max="29" width="10.33203125" customWidth="1"/>
    <col min="30" max="30" width="11.1640625" customWidth="1"/>
    <col min="31" max="31" width="10.83203125" customWidth="1"/>
    <col min="32" max="32" width="10.1640625" customWidth="1"/>
    <col min="33" max="33" width="9.1640625" customWidth="1"/>
    <col min="34" max="34" width="8.6640625" customWidth="1"/>
    <col min="35" max="35" width="6.6640625" customWidth="1"/>
    <col min="36" max="37" width="10.83203125" customWidth="1"/>
    <col min="38" max="38" width="11.83203125" customWidth="1"/>
    <col min="39" max="39" width="11.5" customWidth="1"/>
    <col min="40" max="41" width="8.5" customWidth="1"/>
    <col min="42" max="43" width="13.33203125" customWidth="1"/>
    <col min="44" max="44" width="16.1640625" customWidth="1"/>
    <col min="45" max="46" width="16.1640625" style="210" customWidth="1"/>
    <col min="47" max="47" width="18.6640625" style="249" customWidth="1"/>
    <col min="48" max="49" width="13.33203125" customWidth="1"/>
    <col min="50" max="53" width="10.83203125" customWidth="1"/>
    <col min="54" max="55" width="10.83203125" style="198" customWidth="1"/>
    <col min="56" max="56" width="13.83203125" customWidth="1"/>
    <col min="57" max="57" width="8.1640625" customWidth="1"/>
    <col min="58" max="58" width="8.33203125" customWidth="1"/>
    <col min="59" max="59" width="14.33203125" style="204" customWidth="1"/>
    <col min="60" max="60" width="8.33203125" style="203" customWidth="1"/>
    <col min="61" max="61" width="16.6640625" style="271" customWidth="1"/>
    <col min="62" max="62" width="11.1640625" customWidth="1"/>
    <col min="63" max="63" width="13" customWidth="1"/>
    <col min="64" max="64" width="9.83203125" customWidth="1"/>
    <col min="65" max="66" width="11.6640625" customWidth="1"/>
    <col min="67" max="68" width="18" customWidth="1"/>
    <col min="69" max="69" width="12.83203125" customWidth="1"/>
    <col min="70" max="70" width="14.6640625" customWidth="1"/>
    <col min="71" max="71" width="11.1640625" customWidth="1"/>
    <col min="72" max="79" width="18" customWidth="1"/>
    <col min="80" max="80" width="12.83203125" customWidth="1"/>
    <col min="81" max="81" width="11.6640625" customWidth="1"/>
    <col min="82" max="82" width="18" customWidth="1"/>
    <col min="83" max="83" width="17.1640625" customWidth="1"/>
    <col min="84" max="84" width="12.6640625" customWidth="1"/>
    <col min="85" max="85" width="13.6640625" customWidth="1"/>
    <col min="86" max="89" width="12.83203125" style="59" customWidth="1"/>
    <col min="90" max="91" width="14" customWidth="1"/>
    <col min="92" max="92" width="11.1640625" customWidth="1"/>
    <col min="93" max="93" width="15" customWidth="1"/>
    <col min="94" max="94" width="14.83203125" customWidth="1"/>
    <col min="95" max="95" width="13.83203125" customWidth="1"/>
    <col min="96" max="96" width="11.5" customWidth="1"/>
    <col min="97" max="97" width="15.6640625" customWidth="1"/>
    <col min="98" max="107" width="15.6640625" style="250" customWidth="1"/>
    <col min="108" max="108" width="15.6640625" style="263" customWidth="1"/>
    <col min="109" max="109" width="15.6640625" style="271" customWidth="1"/>
    <col min="110" max="110" width="15.6640625" style="263" customWidth="1"/>
    <col min="111" max="113" width="15.6640625" style="250" customWidth="1"/>
    <col min="114" max="114" width="14.6640625" customWidth="1"/>
    <col min="115" max="115" width="13" customWidth="1"/>
    <col min="116" max="116" width="13.83203125" customWidth="1"/>
    <col min="117" max="117" width="13.5" bestFit="1" customWidth="1"/>
    <col min="118" max="118" width="19" customWidth="1"/>
    <col min="119" max="119" width="21.1640625" customWidth="1"/>
    <col min="120" max="120" width="20.1640625" customWidth="1"/>
    <col min="121" max="121" width="19.33203125" customWidth="1"/>
    <col min="122" max="122" width="15.6640625" customWidth="1"/>
    <col min="123" max="123" width="17.83203125" customWidth="1"/>
    <col min="124" max="124" width="16.83203125" customWidth="1"/>
    <col min="125" max="125" width="16" customWidth="1"/>
    <col min="126" max="126" width="14" customWidth="1"/>
    <col min="127" max="127" width="16.1640625" customWidth="1"/>
    <col min="128" max="128" width="15.1640625" customWidth="1"/>
    <col min="129" max="129" width="14.33203125" customWidth="1"/>
    <col min="130" max="130" width="14.1640625" customWidth="1"/>
    <col min="131" max="131" width="16.5" customWidth="1"/>
    <col min="132" max="132" width="20.83203125" customWidth="1"/>
    <col min="133" max="133" width="21" customWidth="1"/>
    <col min="134" max="134" width="21" style="197" customWidth="1"/>
    <col min="135" max="135" width="15" customWidth="1"/>
    <col min="136" max="136" width="17.1640625" customWidth="1"/>
    <col min="137" max="137" width="16.1640625" customWidth="1"/>
    <col min="138" max="138" width="15.5" customWidth="1"/>
    <col min="139" max="139" width="16.83203125" customWidth="1"/>
    <col min="140" max="140" width="18.33203125" customWidth="1"/>
    <col min="141" max="141" width="18.1640625" customWidth="1"/>
    <col min="142" max="142" width="17.33203125" customWidth="1"/>
    <col min="143" max="143" width="15.5" customWidth="1"/>
    <col min="144" max="144" width="17.83203125" customWidth="1"/>
    <col min="145" max="145" width="16.6640625" customWidth="1"/>
    <col min="146" max="146" width="16" customWidth="1"/>
    <col min="147" max="147" width="12.1640625" customWidth="1"/>
    <col min="148" max="148" width="16.5" customWidth="1"/>
    <col min="149" max="149" width="15.5" customWidth="1"/>
    <col min="150" max="150" width="14.6640625" customWidth="1"/>
    <col min="151" max="151" width="12.83203125" customWidth="1"/>
    <col min="152" max="152" width="14" customWidth="1"/>
    <col min="153" max="153" width="12.1640625" customWidth="1"/>
    <col min="154" max="154" width="12.5" customWidth="1"/>
    <col min="155" max="155" width="13.6640625" customWidth="1"/>
    <col min="156" max="156" width="16.6640625" customWidth="1"/>
    <col min="157" max="157" width="13.83203125" bestFit="1" customWidth="1"/>
    <col min="158" max="158" width="12.33203125" customWidth="1"/>
    <col min="159" max="159" width="12.6640625" customWidth="1"/>
    <col min="160" max="160" width="10.33203125" customWidth="1"/>
    <col min="161" max="161" width="11.83203125" customWidth="1"/>
    <col min="162" max="164" width="13.83203125" customWidth="1"/>
    <col min="165" max="165" width="14.6640625" customWidth="1"/>
    <col min="166" max="166" width="15.83203125" bestFit="1" customWidth="1"/>
    <col min="167" max="167" width="14.83203125" bestFit="1" customWidth="1"/>
    <col min="168" max="168" width="14" bestFit="1" customWidth="1"/>
    <col min="169" max="169" width="13.1640625" customWidth="1"/>
    <col min="170" max="170" width="12" customWidth="1"/>
    <col min="171" max="171" width="19" bestFit="1" customWidth="1"/>
    <col min="172" max="172" width="21.33203125" bestFit="1" customWidth="1"/>
    <col min="173" max="173" width="20.33203125" bestFit="1" customWidth="1"/>
    <col min="174" max="174" width="19.5" bestFit="1" customWidth="1"/>
    <col min="175" max="175" width="15.6640625" bestFit="1" customWidth="1"/>
    <col min="176" max="176" width="18" bestFit="1" customWidth="1"/>
    <col min="177" max="177" width="17" bestFit="1" customWidth="1"/>
    <col min="178" max="178" width="16.1640625" bestFit="1" customWidth="1"/>
    <col min="179" max="179" width="14" bestFit="1" customWidth="1"/>
    <col min="180" max="180" width="16.33203125" bestFit="1" customWidth="1"/>
    <col min="181" max="181" width="16.33203125" style="271" customWidth="1"/>
    <col min="182" max="182" width="15.33203125" bestFit="1" customWidth="1"/>
    <col min="183" max="183" width="14.5" style="90" bestFit="1" customWidth="1"/>
    <col min="184" max="184" width="14.1640625" style="90" bestFit="1" customWidth="1"/>
    <col min="185" max="185" width="16.5" style="90" bestFit="1" customWidth="1"/>
    <col min="186" max="186" width="16.5" style="90" customWidth="1"/>
    <col min="187" max="187" width="15.5" style="90" bestFit="1" customWidth="1"/>
    <col min="188" max="188" width="14.6640625" style="90" bestFit="1" customWidth="1"/>
    <col min="189" max="189" width="15" style="90" bestFit="1" customWidth="1"/>
    <col min="190" max="190" width="17.33203125" bestFit="1" customWidth="1"/>
    <col min="191" max="191" width="16.33203125" bestFit="1" customWidth="1"/>
    <col min="192" max="192" width="15.5" bestFit="1" customWidth="1"/>
    <col min="193" max="193" width="17" bestFit="1" customWidth="1"/>
    <col min="194" max="194" width="19.1640625" bestFit="1" customWidth="1"/>
    <col min="195" max="195" width="18.1640625" bestFit="1" customWidth="1"/>
    <col min="196" max="196" width="17.33203125" bestFit="1" customWidth="1"/>
    <col min="197" max="197" width="15.5" bestFit="1" customWidth="1"/>
    <col min="198" max="198" width="17.83203125" bestFit="1" customWidth="1"/>
    <col min="199" max="199" width="16.83203125" bestFit="1" customWidth="1"/>
    <col min="200" max="200" width="16" bestFit="1" customWidth="1"/>
    <col min="201" max="201" width="14.33203125" bestFit="1" customWidth="1"/>
    <col min="202" max="202" width="16.6640625" bestFit="1" customWidth="1"/>
    <col min="203" max="203" width="15.6640625" bestFit="1" customWidth="1"/>
    <col min="204" max="204" width="14.6640625" customWidth="1"/>
    <col min="205" max="205" width="11" bestFit="1" customWidth="1"/>
    <col min="207" max="207" width="15.5" customWidth="1"/>
  </cols>
  <sheetData>
    <row r="1" spans="2:114" ht="24">
      <c r="B1" s="169" t="s">
        <v>536</v>
      </c>
      <c r="C1" s="145"/>
      <c r="D1" s="145"/>
      <c r="E1" s="145"/>
      <c r="F1" s="145"/>
      <c r="G1" s="145"/>
      <c r="H1" s="145"/>
      <c r="I1" s="145"/>
      <c r="J1" s="170"/>
      <c r="AM1" s="290"/>
      <c r="AN1" s="293"/>
      <c r="AO1" s="293"/>
      <c r="AP1" s="291"/>
      <c r="AQ1" s="292"/>
      <c r="AR1" s="292"/>
      <c r="AT1" s="271"/>
    </row>
    <row r="2" spans="2:114" ht="24">
      <c r="B2" s="169" t="s">
        <v>535</v>
      </c>
      <c r="C2" s="145"/>
      <c r="D2" s="145"/>
      <c r="E2" s="145"/>
      <c r="F2" s="145"/>
      <c r="G2" s="145"/>
      <c r="H2" s="145"/>
      <c r="I2" s="145"/>
      <c r="J2" s="170"/>
      <c r="AM2" s="290"/>
      <c r="AN2" s="290"/>
      <c r="AO2" s="290"/>
      <c r="AP2" s="290"/>
      <c r="AQ2" s="290"/>
      <c r="AR2" s="290"/>
      <c r="AT2" s="271"/>
    </row>
    <row r="3" spans="2:114" ht="24">
      <c r="B3" s="171" t="s">
        <v>537</v>
      </c>
      <c r="C3" s="145"/>
      <c r="D3" s="145"/>
      <c r="E3" s="145"/>
      <c r="F3" s="145"/>
      <c r="G3" s="145"/>
      <c r="H3" s="145"/>
      <c r="I3" s="145"/>
      <c r="J3" s="170"/>
      <c r="AM3" s="290"/>
      <c r="AN3" s="290"/>
      <c r="AO3" s="290"/>
      <c r="AP3" s="290"/>
      <c r="AQ3" s="290"/>
      <c r="AR3" s="290"/>
      <c r="AS3" s="290"/>
      <c r="AT3" s="271"/>
    </row>
    <row r="4" spans="2:114">
      <c r="J4" s="137"/>
      <c r="AM4" s="290"/>
      <c r="AN4" s="290"/>
      <c r="AO4" s="290"/>
      <c r="AP4" s="290"/>
      <c r="AQ4" s="290"/>
      <c r="AR4" s="290"/>
      <c r="AS4" s="290"/>
      <c r="AT4" s="271"/>
    </row>
    <row r="5" spans="2:114">
      <c r="J5"/>
      <c r="L5" s="137"/>
      <c r="AM5" s="290"/>
      <c r="AN5" s="290"/>
      <c r="AO5" s="290"/>
      <c r="AP5" s="290"/>
      <c r="AQ5" s="290"/>
      <c r="AR5" s="290"/>
      <c r="AS5" s="290"/>
      <c r="AT5" s="271"/>
    </row>
    <row r="6" spans="2:114">
      <c r="J6"/>
      <c r="M6" s="137"/>
      <c r="AM6" s="290"/>
      <c r="AN6" s="290"/>
      <c r="AO6" s="290"/>
      <c r="AP6" s="290"/>
      <c r="AQ6" s="290"/>
      <c r="AR6" s="290"/>
      <c r="AS6" s="290"/>
      <c r="AT6" s="271"/>
    </row>
    <row r="7" spans="2:114">
      <c r="J7"/>
      <c r="M7" s="114"/>
      <c r="N7" t="s">
        <v>846</v>
      </c>
      <c r="O7" t="s">
        <v>661</v>
      </c>
      <c r="Q7" s="311" t="s">
        <v>940</v>
      </c>
      <c r="R7" s="311" t="s">
        <v>932</v>
      </c>
      <c r="S7" s="311" t="s">
        <v>940</v>
      </c>
      <c r="T7" s="311" t="s">
        <v>932</v>
      </c>
      <c r="AM7" s="290"/>
      <c r="AN7" s="290"/>
      <c r="AO7" s="290"/>
      <c r="AP7" s="290"/>
      <c r="AQ7" s="290"/>
      <c r="AR7" s="290"/>
      <c r="AS7" s="290"/>
      <c r="AT7" s="271"/>
    </row>
    <row r="8" spans="2:114" ht="19">
      <c r="B8" s="76" t="s">
        <v>72</v>
      </c>
      <c r="C8" s="275" t="s">
        <v>848</v>
      </c>
      <c r="D8" s="47"/>
      <c r="I8" t="s">
        <v>191</v>
      </c>
      <c r="J8" t="s">
        <v>192</v>
      </c>
      <c r="K8" t="s">
        <v>195</v>
      </c>
      <c r="M8" s="109" t="s">
        <v>171</v>
      </c>
      <c r="N8" s="94">
        <f>EW32*BM32</f>
        <v>36</v>
      </c>
      <c r="O8">
        <f t="shared" ref="O8:O17" si="0">N8/$BM$32</f>
        <v>2</v>
      </c>
      <c r="Q8" s="312" t="s">
        <v>936</v>
      </c>
      <c r="R8" s="313">
        <f>N16/N8*100</f>
        <v>31.579571315613158</v>
      </c>
      <c r="S8" s="312" t="s">
        <v>933</v>
      </c>
      <c r="T8" s="313">
        <f>R8+R9</f>
        <v>63.159142631226317</v>
      </c>
      <c r="U8" s="1"/>
      <c r="V8" s="63"/>
      <c r="W8" s="376"/>
      <c r="X8" s="376"/>
      <c r="Y8" s="376"/>
      <c r="Z8" s="376"/>
      <c r="AA8" s="376"/>
      <c r="AB8" s="376"/>
      <c r="AC8" s="376"/>
      <c r="AD8" s="376"/>
      <c r="AE8" s="376"/>
      <c r="AF8" s="376"/>
      <c r="AG8" s="376"/>
      <c r="AH8" s="113"/>
      <c r="AI8" s="113"/>
      <c r="AJ8" s="113"/>
      <c r="AK8" s="113"/>
      <c r="AL8" s="113"/>
      <c r="AM8" s="290"/>
      <c r="AN8" s="290"/>
      <c r="AO8" s="290"/>
      <c r="AP8" s="290"/>
      <c r="AQ8" s="290"/>
      <c r="AR8" s="290"/>
      <c r="AS8" s="290"/>
      <c r="AT8" s="271"/>
      <c r="CH8"/>
      <c r="CI8"/>
      <c r="CJ8"/>
      <c r="CK8"/>
    </row>
    <row r="9" spans="2:114">
      <c r="B9" s="111" t="s">
        <v>16</v>
      </c>
      <c r="C9" s="274">
        <f>BM32</f>
        <v>18</v>
      </c>
      <c r="D9" s="46"/>
      <c r="E9" s="111" t="s">
        <v>854</v>
      </c>
      <c r="F9" s="274">
        <f>(1/(1/(C10+C11)+1/C12))*C9*VPD_max/101.3</f>
        <v>35.375701872457093</v>
      </c>
      <c r="H9" s="15" t="s">
        <v>147</v>
      </c>
      <c r="I9" s="124">
        <f>BV32/1000*(1-BW32)*BM32</f>
        <v>1.35</v>
      </c>
      <c r="J9" s="1">
        <f t="shared" ref="J9:J16" si="1">I9*1000000/18</f>
        <v>75000</v>
      </c>
      <c r="K9" s="1">
        <f>I9*1000</f>
        <v>1350</v>
      </c>
      <c r="M9" s="109" t="s">
        <v>172</v>
      </c>
      <c r="N9" s="94">
        <f>ES32*BM32</f>
        <v>36</v>
      </c>
      <c r="O9" s="209">
        <f t="shared" si="0"/>
        <v>2</v>
      </c>
      <c r="Q9" s="312" t="s">
        <v>937</v>
      </c>
      <c r="R9" s="313">
        <f>N16/N9*100</f>
        <v>31.579571315613158</v>
      </c>
      <c r="S9" s="312"/>
      <c r="T9" s="314"/>
      <c r="U9" s="1"/>
      <c r="V9" s="63"/>
      <c r="W9" s="304"/>
      <c r="X9" s="304"/>
      <c r="Y9" s="304"/>
      <c r="Z9" s="317"/>
      <c r="AA9" s="317"/>
      <c r="AB9" s="304"/>
      <c r="AC9" s="304"/>
      <c r="AD9" s="304"/>
      <c r="AE9" s="304"/>
      <c r="AF9" s="304"/>
      <c r="AG9" s="304"/>
      <c r="AH9" s="113"/>
      <c r="AI9" s="113"/>
      <c r="AJ9" s="113"/>
      <c r="AK9" s="113"/>
      <c r="AL9" s="113"/>
      <c r="AM9" s="290"/>
      <c r="AN9" s="290"/>
      <c r="AO9" s="290"/>
      <c r="AP9" s="290"/>
      <c r="AQ9" s="290"/>
      <c r="AR9" s="290"/>
      <c r="AS9" s="290"/>
      <c r="AT9" s="271"/>
      <c r="CH9"/>
      <c r="CI9"/>
      <c r="CJ9"/>
      <c r="CK9"/>
    </row>
    <row r="10" spans="2:114">
      <c r="B10" s="111" t="s">
        <v>102</v>
      </c>
      <c r="C10" s="211">
        <f>DK32</f>
        <v>200</v>
      </c>
      <c r="D10" s="46"/>
      <c r="E10" s="111" t="s">
        <v>855</v>
      </c>
      <c r="F10" s="19">
        <f>F9/C9</f>
        <v>1.9653167706920607</v>
      </c>
      <c r="H10" s="15" t="s">
        <v>148</v>
      </c>
      <c r="I10" s="124">
        <f>BV32/1000*BW32*BM32</f>
        <v>0.45</v>
      </c>
      <c r="J10" s="1">
        <f t="shared" si="1"/>
        <v>25000</v>
      </c>
      <c r="K10" s="1">
        <f t="shared" ref="K10:K16" si="2">I10*1000</f>
        <v>450</v>
      </c>
      <c r="M10" s="109" t="s">
        <v>179</v>
      </c>
      <c r="N10" s="46">
        <f>IF( CU32=1,I21*EX32,EX32*I21*CF32)</f>
        <v>85.567419750545852</v>
      </c>
      <c r="O10" s="4">
        <f t="shared" si="0"/>
        <v>4.7537455416969916</v>
      </c>
      <c r="Q10" s="315" t="s">
        <v>29</v>
      </c>
      <c r="R10" s="313">
        <f>N16/N11*100</f>
        <v>3.7469522236750854</v>
      </c>
      <c r="S10" s="315" t="s">
        <v>29</v>
      </c>
      <c r="T10" s="313">
        <f>R10</f>
        <v>3.7469522236750854</v>
      </c>
      <c r="V10" s="63"/>
      <c r="W10" s="376"/>
      <c r="X10" s="376"/>
      <c r="Y10" s="376"/>
      <c r="Z10" s="376"/>
      <c r="AA10" s="376"/>
      <c r="AB10" s="376"/>
      <c r="AC10" s="376"/>
      <c r="AD10" s="376"/>
      <c r="AE10" s="376"/>
      <c r="AF10" s="376"/>
      <c r="AG10" s="376"/>
      <c r="AH10" s="113"/>
      <c r="AI10" s="113"/>
      <c r="AJ10" s="113"/>
      <c r="AK10" s="113"/>
      <c r="AL10" s="113"/>
      <c r="AM10" s="290"/>
      <c r="AN10" s="290"/>
      <c r="AO10" s="290"/>
      <c r="AP10" s="290"/>
      <c r="AQ10" s="290"/>
      <c r="AR10" s="290"/>
      <c r="AS10" s="290"/>
      <c r="AT10" s="271"/>
      <c r="CH10"/>
      <c r="CI10"/>
      <c r="CJ10"/>
      <c r="CK10"/>
    </row>
    <row r="11" spans="2:114">
      <c r="B11" s="111" t="s">
        <v>103</v>
      </c>
      <c r="C11" s="211">
        <f>DQ32</f>
        <v>3</v>
      </c>
      <c r="D11" s="46"/>
      <c r="E11" t="s">
        <v>857</v>
      </c>
      <c r="F11" s="271">
        <v>2.2799999999999998</v>
      </c>
      <c r="H11" s="15" t="s">
        <v>185</v>
      </c>
      <c r="I11" s="4">
        <f>CV32</f>
        <v>5.1495532504182151</v>
      </c>
      <c r="J11" s="1">
        <f t="shared" si="1"/>
        <v>286086.29168990086</v>
      </c>
      <c r="K11" s="1">
        <f t="shared" si="2"/>
        <v>5149.5532504182147</v>
      </c>
      <c r="M11" s="109" t="s">
        <v>180</v>
      </c>
      <c r="N11" s="46">
        <f>IF( CU32=1,DH32,ET32*CF32/CG32*CH32*CH32*3.1416/4)</f>
        <v>303.41047856943698</v>
      </c>
      <c r="O11" s="4">
        <f t="shared" si="0"/>
        <v>16.856137698302053</v>
      </c>
      <c r="Q11" s="315" t="s">
        <v>934</v>
      </c>
      <c r="R11" s="313">
        <f>N16/N13*100</f>
        <v>1.2312268688383656</v>
      </c>
      <c r="S11" s="315" t="s">
        <v>934</v>
      </c>
      <c r="T11" s="313">
        <f>R11</f>
        <v>1.2312268688383656</v>
      </c>
      <c r="V11" s="63"/>
      <c r="W11" s="376"/>
      <c r="X11" s="376"/>
      <c r="Y11" s="376"/>
      <c r="Z11" s="376"/>
      <c r="AA11" s="376"/>
      <c r="AB11" s="376"/>
      <c r="AC11" s="376"/>
      <c r="AD11" s="376"/>
      <c r="AE11" s="376"/>
      <c r="AF11" s="376"/>
      <c r="AG11" s="376"/>
      <c r="AH11" s="113"/>
      <c r="AI11" s="113"/>
      <c r="AJ11" s="113"/>
      <c r="AK11" s="113"/>
      <c r="AL11" s="113"/>
      <c r="AM11" s="290"/>
      <c r="AN11" s="290"/>
      <c r="AO11" s="290"/>
      <c r="AP11" s="290"/>
      <c r="AQ11" s="290"/>
      <c r="AR11" s="290"/>
      <c r="AS11" s="290"/>
      <c r="AT11" s="271"/>
      <c r="CH11"/>
      <c r="CI11"/>
      <c r="CJ11"/>
      <c r="CK11"/>
    </row>
    <row r="12" spans="2:114">
      <c r="B12" s="111" t="s">
        <v>822</v>
      </c>
      <c r="C12" s="211">
        <f>AV32</f>
        <v>100</v>
      </c>
      <c r="D12" s="46"/>
      <c r="E12" s="111" t="s">
        <v>858</v>
      </c>
      <c r="F12" s="19">
        <f>(F11*1.6106-0.5616)*Soil_Width*Soil_Width*F20</f>
        <v>7.838631359999999</v>
      </c>
      <c r="H12" s="15" t="s">
        <v>186</v>
      </c>
      <c r="I12" s="4">
        <f>CW32</f>
        <v>13.732142001115243</v>
      </c>
      <c r="J12" s="1">
        <f t="shared" si="1"/>
        <v>762896.77783973562</v>
      </c>
      <c r="K12" s="1">
        <f t="shared" si="2"/>
        <v>13732.142001115242</v>
      </c>
      <c r="M12" s="109" t="s">
        <v>173</v>
      </c>
      <c r="N12" s="4">
        <f>I22*EY32</f>
        <v>31.144142732673252</v>
      </c>
      <c r="O12" s="4">
        <f t="shared" si="0"/>
        <v>1.7302301518151806</v>
      </c>
      <c r="Q12" s="315" t="s">
        <v>939</v>
      </c>
      <c r="R12" s="313">
        <f>N16/N15*100/3</f>
        <v>0.2831069606470637</v>
      </c>
      <c r="S12" s="315" t="s">
        <v>935</v>
      </c>
      <c r="T12" s="313">
        <f>R14</f>
        <v>31.862678276260219</v>
      </c>
      <c r="V12" s="63"/>
      <c r="W12" s="376"/>
      <c r="X12" s="376"/>
      <c r="Y12" s="376"/>
      <c r="Z12" s="376"/>
      <c r="AA12" s="376"/>
      <c r="AB12" s="376"/>
      <c r="AC12" s="376"/>
      <c r="AD12" s="376"/>
      <c r="AE12" s="376"/>
      <c r="AF12" s="376"/>
      <c r="AG12" s="376"/>
      <c r="AH12" s="113"/>
      <c r="AI12" s="113"/>
      <c r="AJ12" s="113"/>
      <c r="AK12" s="113"/>
      <c r="AL12" s="113"/>
      <c r="AM12" s="290"/>
      <c r="AN12" s="290"/>
      <c r="AO12" s="290"/>
      <c r="AP12" s="290"/>
      <c r="AQ12" s="290"/>
      <c r="AR12" s="290"/>
      <c r="AS12" s="290"/>
      <c r="AT12" s="271"/>
      <c r="BL12" t="s">
        <v>1035</v>
      </c>
      <c r="BN12" t="s">
        <v>1034</v>
      </c>
      <c r="BO12">
        <f>SUM(BN13:BN22)</f>
        <v>1370</v>
      </c>
      <c r="CH12"/>
      <c r="CI12"/>
      <c r="CJ12"/>
      <c r="CK12"/>
    </row>
    <row r="13" spans="2:114">
      <c r="B13" s="111" t="s">
        <v>74</v>
      </c>
      <c r="C13" s="211">
        <f>EF30*1000</f>
        <v>3734.9999999999995</v>
      </c>
      <c r="D13" s="46"/>
      <c r="E13" s="276" t="s">
        <v>856</v>
      </c>
      <c r="F13" s="271">
        <f>F12/C9</f>
        <v>0.43547951999999995</v>
      </c>
      <c r="H13" s="15" t="s">
        <v>187</v>
      </c>
      <c r="I13" s="4">
        <f>CX32</f>
        <v>11.912634595247509</v>
      </c>
      <c r="J13" s="1">
        <f t="shared" si="1"/>
        <v>661813.03306930605</v>
      </c>
      <c r="K13" s="1">
        <f t="shared" si="2"/>
        <v>11912.634595247509</v>
      </c>
      <c r="M13" s="109" t="s">
        <v>174</v>
      </c>
      <c r="N13" s="46">
        <f>IF( CU32=1,DI32,EU32*I17/CL32)</f>
        <v>923.35912749750116</v>
      </c>
      <c r="O13" s="4">
        <f t="shared" si="0"/>
        <v>51.29772930541673</v>
      </c>
      <c r="Q13" s="315" t="s">
        <v>938</v>
      </c>
      <c r="R13" s="313">
        <f>N16/N14*100/3</f>
        <v>31.579571315613155</v>
      </c>
      <c r="V13" s="63"/>
      <c r="W13" s="376"/>
      <c r="X13" s="376"/>
      <c r="Y13" s="376"/>
      <c r="Z13" s="376"/>
      <c r="AA13" s="376"/>
      <c r="AB13" s="376"/>
      <c r="AC13" s="376"/>
      <c r="AD13" s="376"/>
      <c r="AE13" s="376"/>
      <c r="AF13" s="376"/>
      <c r="AG13" s="376"/>
      <c r="AH13" s="113"/>
      <c r="AI13" s="113"/>
      <c r="AJ13" s="113"/>
      <c r="AK13" s="113"/>
      <c r="AL13" s="113"/>
      <c r="AM13" s="290"/>
      <c r="AN13" s="290"/>
      <c r="AO13" s="290"/>
      <c r="AP13" s="290"/>
      <c r="AQ13" s="290"/>
      <c r="AR13" s="290"/>
      <c r="AS13" s="290"/>
      <c r="AT13" s="271"/>
      <c r="BL13">
        <v>10</v>
      </c>
      <c r="BM13">
        <v>16</v>
      </c>
      <c r="BN13">
        <f>BM13*10000/1000</f>
        <v>160</v>
      </c>
      <c r="CH13"/>
      <c r="CI13"/>
      <c r="CJ13"/>
      <c r="CK13"/>
    </row>
    <row r="14" spans="2:114">
      <c r="B14" s="111" t="s">
        <v>114</v>
      </c>
      <c r="C14" s="211">
        <f>EF30*AN32*1000</f>
        <v>1490.2649999999999</v>
      </c>
      <c r="D14" s="46"/>
      <c r="H14" s="15" t="s">
        <v>188</v>
      </c>
      <c r="I14" s="4">
        <f>CY32</f>
        <v>31.767025587326692</v>
      </c>
      <c r="J14" s="1">
        <f t="shared" si="1"/>
        <v>1764834.754851483</v>
      </c>
      <c r="K14" s="1">
        <f t="shared" si="2"/>
        <v>31767.025587326694</v>
      </c>
      <c r="M14" s="109" t="s">
        <v>175</v>
      </c>
      <c r="N14" s="4">
        <f>EZ32*I24/3</f>
        <v>12</v>
      </c>
      <c r="O14" s="4">
        <f t="shared" si="0"/>
        <v>0.66666666666666663</v>
      </c>
      <c r="Q14" s="319" t="s">
        <v>935</v>
      </c>
      <c r="R14" s="313">
        <f>N16/N18*100</f>
        <v>31.862678276260219</v>
      </c>
      <c r="V14" s="63"/>
      <c r="W14" s="376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  <c r="AH14" s="113"/>
      <c r="AI14" s="113"/>
      <c r="AJ14" s="113"/>
      <c r="AK14" s="113"/>
      <c r="AL14" s="113"/>
      <c r="AM14" s="290"/>
      <c r="AN14" s="290"/>
      <c r="AO14" s="290"/>
      <c r="AP14" s="290"/>
      <c r="AQ14" s="290"/>
      <c r="AR14" s="290"/>
      <c r="AS14" s="290"/>
      <c r="AT14" s="271"/>
      <c r="BL14">
        <v>20</v>
      </c>
      <c r="BM14">
        <v>25</v>
      </c>
      <c r="BN14" s="271">
        <f>BM14*10000/1000</f>
        <v>250</v>
      </c>
      <c r="CH14"/>
      <c r="CI14"/>
      <c r="CJ14"/>
      <c r="CK14"/>
      <c r="DJ14" s="53"/>
    </row>
    <row r="15" spans="2:114">
      <c r="B15" s="111" t="s">
        <v>115</v>
      </c>
      <c r="C15" s="211">
        <f>(AN32-AO32)*EF30*1000</f>
        <v>1262.4299999999998</v>
      </c>
      <c r="D15" s="46"/>
      <c r="E15" s="271"/>
      <c r="F15" s="271"/>
      <c r="H15" s="15" t="s">
        <v>189</v>
      </c>
      <c r="I15" s="4">
        <f>CZ32</f>
        <v>3.4564156742065451</v>
      </c>
      <c r="J15" s="1">
        <f t="shared" si="1"/>
        <v>192023.09301147473</v>
      </c>
      <c r="K15" s="1">
        <f t="shared" si="2"/>
        <v>3456.4156742065452</v>
      </c>
      <c r="M15" s="109" t="s">
        <v>176</v>
      </c>
      <c r="N15" s="46">
        <f>IF( CU32=1,DJ32,EV32/CQ32*CR32*CR32*3.1416/4*3)</f>
        <v>1338.5571831975667</v>
      </c>
      <c r="O15" s="4">
        <f t="shared" si="0"/>
        <v>74.364287955420366</v>
      </c>
      <c r="W15" s="113"/>
      <c r="AH15" s="113"/>
      <c r="AI15" s="113"/>
      <c r="AJ15" s="113"/>
      <c r="AK15" s="113"/>
      <c r="AL15" s="113"/>
      <c r="AM15" s="113"/>
      <c r="AN15" s="113"/>
      <c r="AT15" s="271"/>
      <c r="BL15" s="271">
        <v>30</v>
      </c>
      <c r="BM15">
        <v>21</v>
      </c>
      <c r="BN15" s="271">
        <f>BM15*10000/1000</f>
        <v>210</v>
      </c>
      <c r="CH15"/>
      <c r="CI15"/>
      <c r="CJ15"/>
      <c r="CK15"/>
      <c r="DJ15" s="53"/>
    </row>
    <row r="16" spans="2:114">
      <c r="B16" s="111" t="s">
        <v>75</v>
      </c>
      <c r="C16" s="211">
        <f>FA32</f>
        <v>-6.5</v>
      </c>
      <c r="D16" s="46"/>
      <c r="H16" s="15" t="s">
        <v>190</v>
      </c>
      <c r="I16" s="4">
        <f>DA32</f>
        <v>9.2171084645507868</v>
      </c>
      <c r="J16" s="1">
        <f t="shared" si="1"/>
        <v>512061.58136393264</v>
      </c>
      <c r="K16" s="1">
        <f t="shared" si="2"/>
        <v>9217.1084645507872</v>
      </c>
      <c r="M16" s="15" t="s">
        <v>81</v>
      </c>
      <c r="N16" s="211">
        <f>C24</f>
        <v>11.368645673620737</v>
      </c>
      <c r="O16" s="4">
        <f t="shared" si="0"/>
        <v>0.63159142631226317</v>
      </c>
      <c r="AT16" s="271"/>
      <c r="BL16" s="271">
        <v>40</v>
      </c>
      <c r="BM16">
        <v>19</v>
      </c>
      <c r="BN16" s="271">
        <f t="shared" ref="BN16:BN22" si="3">BM16*10000/1000</f>
        <v>190</v>
      </c>
      <c r="CH16"/>
      <c r="CI16"/>
      <c r="CJ16"/>
      <c r="CK16"/>
      <c r="DJ16" s="53"/>
    </row>
    <row r="17" spans="1:225">
      <c r="B17" s="111" t="s">
        <v>73</v>
      </c>
      <c r="C17" s="211">
        <f>FA32+50/FE32</f>
        <v>-4.5</v>
      </c>
      <c r="D17" s="46"/>
      <c r="E17" s="271"/>
      <c r="F17" s="85"/>
      <c r="H17" s="15" t="s">
        <v>662</v>
      </c>
      <c r="I17" s="1">
        <f>3.1416*(2*CM32-CM32*CP32)*CM32*CP32/4</f>
        <v>1.6022160000000001E-2</v>
      </c>
      <c r="J17" s="4"/>
      <c r="M17" s="15" t="s">
        <v>84</v>
      </c>
      <c r="N17" s="211">
        <f>C25</f>
        <v>16.615864431458903</v>
      </c>
      <c r="O17" s="4">
        <f t="shared" si="0"/>
        <v>0.9231035795254946</v>
      </c>
      <c r="P17" s="1"/>
      <c r="Q17" s="1"/>
      <c r="R17" s="1"/>
      <c r="S17" s="1"/>
      <c r="T17" s="1"/>
      <c r="U17" s="1"/>
      <c r="AT17" s="271"/>
      <c r="BL17" s="271">
        <v>50</v>
      </c>
      <c r="BM17">
        <v>8</v>
      </c>
      <c r="BN17" s="271">
        <f t="shared" si="3"/>
        <v>80</v>
      </c>
      <c r="CH17"/>
      <c r="CI17"/>
      <c r="CJ17"/>
      <c r="CK17"/>
      <c r="DJ17" s="53"/>
    </row>
    <row r="18" spans="1:225">
      <c r="B18" s="111" t="s">
        <v>129</v>
      </c>
      <c r="C18" s="211">
        <f>C16+25/(FE32)*LN((100-X32)/X32)</f>
        <v>-3.5555610208335597</v>
      </c>
      <c r="D18" s="46"/>
      <c r="E18" s="276" t="s">
        <v>853</v>
      </c>
      <c r="F18" s="271">
        <f>C15/Soil_Width/Soil_Width</f>
        <v>140.26999999999998</v>
      </c>
      <c r="H18" s="15" t="s">
        <v>165</v>
      </c>
      <c r="I18" s="106">
        <f>CF32*CH32*CH32*3.1416/4/BM32</f>
        <v>5.4541666666666668E-6</v>
      </c>
      <c r="J18"/>
      <c r="K18" s="1"/>
      <c r="M18" s="316" t="s">
        <v>479</v>
      </c>
      <c r="N18" s="4">
        <f>3*N15*N14/(N15+N14)</f>
        <v>35.680132018566439</v>
      </c>
      <c r="O18" s="4">
        <f>N18/$BM$32</f>
        <v>1.9822295565870245</v>
      </c>
      <c r="P18" s="1"/>
      <c r="Q18" s="1"/>
      <c r="R18" s="1"/>
      <c r="S18" s="1"/>
      <c r="T18" s="1"/>
      <c r="U18" s="1"/>
      <c r="W18" s="48"/>
      <c r="X18" s="48"/>
      <c r="Y18" s="48"/>
      <c r="Z18" s="48"/>
      <c r="AA18" s="48"/>
      <c r="AB18" s="48"/>
      <c r="AT18" s="271"/>
      <c r="BL18" s="271">
        <v>60</v>
      </c>
      <c r="BM18" s="209">
        <v>9</v>
      </c>
      <c r="BN18" s="271">
        <f t="shared" si="3"/>
        <v>90</v>
      </c>
      <c r="BO18" s="209"/>
      <c r="CH18"/>
      <c r="CI18"/>
      <c r="CJ18"/>
      <c r="CK18"/>
      <c r="DJ18" s="53"/>
    </row>
    <row r="19" spans="1:225">
      <c r="B19" s="111" t="s">
        <v>89</v>
      </c>
      <c r="C19" s="211">
        <f>FB32</f>
        <v>-6.5</v>
      </c>
      <c r="D19" s="46"/>
      <c r="H19" s="15" t="s">
        <v>170</v>
      </c>
      <c r="I19" s="1">
        <f>CM32*CM32*3.1416/4/BM32</f>
        <v>1.7453333333333338E-3</v>
      </c>
      <c r="J19"/>
      <c r="K19" s="1"/>
      <c r="M19" s="113"/>
      <c r="P19" s="1"/>
      <c r="Q19" s="1"/>
      <c r="R19" s="1"/>
      <c r="S19" s="1"/>
      <c r="T19" s="1"/>
      <c r="U19" s="1"/>
      <c r="W19" s="48"/>
      <c r="X19" s="48"/>
      <c r="Y19" s="48"/>
      <c r="Z19" s="48"/>
      <c r="AA19" s="48"/>
      <c r="AB19" s="48"/>
      <c r="AT19" s="271"/>
      <c r="BL19" s="271">
        <v>70</v>
      </c>
      <c r="BM19">
        <v>9</v>
      </c>
      <c r="BN19">
        <f t="shared" si="3"/>
        <v>90</v>
      </c>
      <c r="BO19">
        <f>SUM(BN13:BN20)</f>
        <v>1170</v>
      </c>
      <c r="CH19"/>
      <c r="CI19"/>
      <c r="CJ19"/>
      <c r="CK19"/>
      <c r="DJ19" s="53"/>
      <c r="ES19" s="61"/>
      <c r="ET19" s="61"/>
      <c r="EU19" s="61"/>
      <c r="FQ19" s="63"/>
      <c r="FR19" s="63"/>
      <c r="FS19" s="63"/>
      <c r="FT19" s="63"/>
    </row>
    <row r="20" spans="1:225" ht="19">
      <c r="B20" s="111" t="s">
        <v>90</v>
      </c>
      <c r="C20" s="211">
        <f>FB32+50/FF32</f>
        <v>-4.5</v>
      </c>
      <c r="D20" s="46"/>
      <c r="E20" s="277" t="s">
        <v>852</v>
      </c>
      <c r="F20">
        <f>-0.006*I25*I25+0.134*I25+0.036</f>
        <v>0.28000000000000003</v>
      </c>
      <c r="H20" s="15" t="s">
        <v>796</v>
      </c>
      <c r="I20" s="1">
        <f>I17/BM32</f>
        <v>8.9012E-4</v>
      </c>
      <c r="J20"/>
      <c r="K20" s="1"/>
      <c r="M20" s="109" t="s">
        <v>181</v>
      </c>
      <c r="N20" s="106">
        <f>EA32*I10</f>
        <v>4.5000000000000005E-3</v>
      </c>
      <c r="O20" s="1">
        <f>N20*1000000/18</f>
        <v>250.00000000000006</v>
      </c>
      <c r="W20" s="48"/>
      <c r="X20" s="48"/>
      <c r="Y20" s="48"/>
      <c r="Z20" s="48"/>
      <c r="AA20" s="48"/>
      <c r="AB20" s="48"/>
      <c r="AM20" s="289" t="s">
        <v>884</v>
      </c>
      <c r="AN20" s="298" t="s">
        <v>910</v>
      </c>
      <c r="AO20" s="299" t="s">
        <v>911</v>
      </c>
      <c r="AP20" s="299" t="s">
        <v>885</v>
      </c>
      <c r="AQ20" s="299" t="s">
        <v>153</v>
      </c>
      <c r="AR20" s="300" t="s">
        <v>886</v>
      </c>
      <c r="AS20" s="301" t="s">
        <v>887</v>
      </c>
      <c r="AT20" s="303" t="s">
        <v>912</v>
      </c>
      <c r="AU20" s="303" t="s">
        <v>913</v>
      </c>
      <c r="AV20" s="302" t="s">
        <v>914</v>
      </c>
      <c r="AW20" s="302" t="s">
        <v>916</v>
      </c>
      <c r="AX20" s="302" t="s">
        <v>915</v>
      </c>
      <c r="AY20" s="302" t="s">
        <v>917</v>
      </c>
      <c r="BL20" s="271">
        <v>80</v>
      </c>
      <c r="BM20" s="271">
        <v>10</v>
      </c>
      <c r="BN20" s="271">
        <f t="shared" si="3"/>
        <v>100</v>
      </c>
      <c r="CH20"/>
      <c r="CI20"/>
      <c r="CJ20"/>
      <c r="CK20"/>
      <c r="ES20" s="61"/>
      <c r="ET20" s="61"/>
      <c r="EU20" s="61"/>
      <c r="FQ20" s="63"/>
      <c r="FR20" s="63"/>
      <c r="FS20" s="63"/>
      <c r="FT20" s="63"/>
    </row>
    <row r="21" spans="1:225">
      <c r="B21" s="111" t="s">
        <v>44</v>
      </c>
      <c r="C21" s="211">
        <f>EO32*EK32/(EK32+EO32)</f>
        <v>-4.2857142857142856</v>
      </c>
      <c r="D21" s="279" t="s">
        <v>859</v>
      </c>
      <c r="H21" s="109" t="s">
        <v>663</v>
      </c>
      <c r="I21" s="46">
        <f>DB32</f>
        <v>8.5567419750545852</v>
      </c>
      <c r="J21"/>
      <c r="M21" s="109" t="s">
        <v>182</v>
      </c>
      <c r="N21" s="8">
        <f>EB32*CF32*CG32*CH32*CH32*3.1416/4*CI32*1000</f>
        <v>7.8540000000000001E-4</v>
      </c>
      <c r="O21" s="1">
        <f>N21*1000000/18</f>
        <v>43.633333333333333</v>
      </c>
      <c r="W21" t="s">
        <v>941</v>
      </c>
      <c r="X21" s="48"/>
      <c r="Y21" s="48"/>
      <c r="Z21" s="48"/>
      <c r="AA21" s="48"/>
      <c r="AB21" s="48"/>
      <c r="AM21" s="19" t="s">
        <v>888</v>
      </c>
      <c r="AN21" s="294">
        <v>0.375</v>
      </c>
      <c r="AO21" s="294">
        <v>5.2999999999999999E-2</v>
      </c>
      <c r="AP21" s="294">
        <v>3.5200000000000002E-2</v>
      </c>
      <c r="AQ21" s="294">
        <v>3.177</v>
      </c>
      <c r="AR21" s="294">
        <v>130.80000000000001</v>
      </c>
      <c r="AS21" s="294">
        <v>0.5</v>
      </c>
      <c r="AT21" s="295">
        <f>AO21+(AN21-AO21)/(1+(AP21*0.033*1000)^AQ21)^(1-1/AQ21)</f>
        <v>0.21988516311378159</v>
      </c>
      <c r="AU21" s="295">
        <f>AO21+(AN21-AO21)/(1+(AP21*1.5*1000)^AQ21)^(1-1/AQ21)</f>
        <v>5.3057237521603892E-2</v>
      </c>
      <c r="AV21" s="296">
        <f>(AN21-AO21)*Soil_Depth*1000</f>
        <v>133.63</v>
      </c>
      <c r="AW21" s="296">
        <f>(AT21-AO21)*Soil_Depth*1000</f>
        <v>69.257342692219368</v>
      </c>
      <c r="AX21" s="19">
        <f>(AT21-AO21)/(AN21-AO21)</f>
        <v>0.5182769040800671</v>
      </c>
      <c r="AY21" s="296">
        <f>(AT21-AU21)*Soil_Depth*1000</f>
        <v>69.233589120753734</v>
      </c>
      <c r="BL21" s="271">
        <v>90</v>
      </c>
      <c r="BM21" s="271">
        <v>10</v>
      </c>
      <c r="BN21" s="271">
        <f t="shared" si="3"/>
        <v>100</v>
      </c>
      <c r="BO21">
        <f>BN19*240</f>
        <v>21600</v>
      </c>
      <c r="CH21"/>
      <c r="CI21"/>
      <c r="CJ21"/>
      <c r="CK21"/>
      <c r="ES21" s="61"/>
      <c r="ET21" s="61"/>
      <c r="EU21" s="61"/>
      <c r="FQ21" s="63"/>
      <c r="FR21" s="63"/>
      <c r="FS21" s="63"/>
      <c r="FT21" s="63"/>
    </row>
    <row r="22" spans="1:225">
      <c r="B22" s="111" t="s">
        <v>83</v>
      </c>
      <c r="C22" s="212">
        <f>-F9/C24-(Branch_m+Trunk_m)*0.01</f>
        <v>-3.1816900718034673</v>
      </c>
      <c r="D22" s="280">
        <f>-F12/C24-(Branch_m+Trunk_m)*0.01</f>
        <v>-0.75949561671962251</v>
      </c>
      <c r="H22" s="109" t="s">
        <v>664</v>
      </c>
      <c r="I22" s="46">
        <f>DC32</f>
        <v>3.1144142732673252</v>
      </c>
      <c r="J22"/>
      <c r="M22" s="109" t="s">
        <v>183</v>
      </c>
      <c r="N22" s="106">
        <f>EC32*CL32*CM32*CM32*3.1416/4*CN32*1000*(2-CP32)*CP32</f>
        <v>0.32044320000000009</v>
      </c>
      <c r="O22" s="1">
        <f>N22*1000000/18</f>
        <v>17802.400000000005</v>
      </c>
      <c r="W22" t="s">
        <v>944</v>
      </c>
      <c r="AM22" s="19" t="s">
        <v>889</v>
      </c>
      <c r="AN22" s="294">
        <v>0.45900000000000002</v>
      </c>
      <c r="AO22" s="294">
        <v>9.8000000000000004E-2</v>
      </c>
      <c r="AP22" s="294">
        <v>1.4999999999999999E-2</v>
      </c>
      <c r="AQ22" s="294">
        <v>1.2529999999999999</v>
      </c>
      <c r="AR22" s="294">
        <v>1.69</v>
      </c>
      <c r="AS22" s="294">
        <v>0.5</v>
      </c>
      <c r="AT22" s="295">
        <f>AO22+(AN22-AO22)/(1+(AP22*0.033*1000)^AQ22)^(1-1/AQ22)</f>
        <v>0.43459607283777124</v>
      </c>
      <c r="AU22" s="295">
        <f>AO22+(AN22-AO22)/(1+(AP22*1.5*1000)^AQ22)^(1-1/AQ22)</f>
        <v>0.26154974431586242</v>
      </c>
      <c r="AV22" s="296">
        <f>(AN22-AO22)*Soil_Depth*1000</f>
        <v>149.81499999999997</v>
      </c>
      <c r="AW22" s="296">
        <f>(AT22-AO22)*Soil_Depth*1000</f>
        <v>139.68737022767507</v>
      </c>
      <c r="AX22" s="19">
        <f>(AT22-AO22)/(AN22-AO22)</f>
        <v>0.93239909373343843</v>
      </c>
      <c r="AY22" s="296">
        <f>(AT22-AU22)*Soil_Depth*1000</f>
        <v>71.814226336592156</v>
      </c>
      <c r="BL22" s="271">
        <v>100</v>
      </c>
      <c r="BM22" s="271">
        <v>10</v>
      </c>
      <c r="BN22" s="271">
        <f t="shared" si="3"/>
        <v>100</v>
      </c>
      <c r="CH22"/>
      <c r="CI22"/>
      <c r="CJ22"/>
      <c r="CK22"/>
      <c r="FQ22" s="63"/>
      <c r="FR22" s="69"/>
      <c r="FS22" s="70"/>
      <c r="FT22" s="63"/>
    </row>
    <row r="23" spans="1:225">
      <c r="B23" s="111" t="s">
        <v>82</v>
      </c>
      <c r="C23" s="212">
        <f>-F9/C25 - 0.01*Trunk_m</f>
        <v>-2.1790316864574368</v>
      </c>
      <c r="D23" s="280">
        <f>-F12/C25 - 0.01*Trunk_m</f>
        <v>-0.52175585671962255</v>
      </c>
      <c r="E23" s="278" t="s">
        <v>849</v>
      </c>
      <c r="F23" s="19">
        <f>'Fractal root'!E13</f>
        <v>462.55127576958245</v>
      </c>
      <c r="H23" s="109" t="s">
        <v>665</v>
      </c>
      <c r="I23" s="46">
        <f>DD32</f>
        <v>21.386396995059897</v>
      </c>
      <c r="J23"/>
      <c r="L23" s="1"/>
      <c r="M23" s="110" t="s">
        <v>184</v>
      </c>
      <c r="N23" s="108">
        <f>3*CQ32*CR32*CR32*3.1416/4*CS32*ED32*1000</f>
        <v>9.4248E-6</v>
      </c>
      <c r="O23" s="1">
        <f>N23*1000000/18</f>
        <v>0.52359999999999995</v>
      </c>
      <c r="P23" s="1"/>
      <c r="Q23" s="1"/>
      <c r="R23" s="1"/>
      <c r="S23" s="1"/>
      <c r="T23" s="1"/>
      <c r="U23" s="1"/>
      <c r="V23" s="46"/>
      <c r="W23" t="s">
        <v>945</v>
      </c>
      <c r="AM23" s="19" t="s">
        <v>890</v>
      </c>
      <c r="AN23" s="297">
        <v>0.39900000000000002</v>
      </c>
      <c r="AO23" s="297">
        <v>6.0999999999999999E-2</v>
      </c>
      <c r="AP23" s="297">
        <v>1.11E-2</v>
      </c>
      <c r="AQ23" s="297">
        <v>1.472</v>
      </c>
      <c r="AR23" s="297">
        <v>12.7</v>
      </c>
      <c r="AS23" s="297">
        <v>0.5</v>
      </c>
      <c r="AT23" s="295">
        <f>AO23+(AN23-AO23)/(1+(AP23*0.033*1000)^AQ23)^(1-1/AQ23)</f>
        <v>0.37745581437094511</v>
      </c>
      <c r="AU23" s="295">
        <f>AO23+(AN23-AO23)/(1+(AP23*1.5*1000)^AQ23)^(1-1/AQ23)</f>
        <v>0.15016799139796325</v>
      </c>
      <c r="AV23" s="296">
        <f>(AN23-AO23)*Soil_Depth*1000</f>
        <v>140.27000000000001</v>
      </c>
      <c r="AW23" s="296">
        <f>(AT23-AO23)*Soil_Depth*1000</f>
        <v>131.3291629639422</v>
      </c>
      <c r="AX23" s="19">
        <f>(AT23-AO23)/(AN23-AO23)</f>
        <v>0.9362598058311985</v>
      </c>
      <c r="AY23" s="296">
        <f>(AT23-AU23)*Soil_Depth*1000</f>
        <v>94.324446533787466</v>
      </c>
      <c r="CH23"/>
      <c r="CI23"/>
      <c r="CJ23"/>
      <c r="CK23"/>
      <c r="FA23" s="8"/>
      <c r="FQ23" s="63"/>
      <c r="FR23" s="106"/>
      <c r="FS23" s="176"/>
      <c r="FT23" s="63"/>
    </row>
    <row r="24" spans="1:225">
      <c r="B24" s="111" t="s">
        <v>81</v>
      </c>
      <c r="C24" s="211">
        <f>1/(1/C25+1/N8)</f>
        <v>11.368645673620737</v>
      </c>
      <c r="D24" s="46"/>
      <c r="E24" s="111" t="s">
        <v>850</v>
      </c>
      <c r="F24" s="19">
        <f>'Fractal root'!E14</f>
        <v>1114.5813873965844</v>
      </c>
      <c r="H24" s="109" t="s">
        <v>928</v>
      </c>
      <c r="I24">
        <f>'Fractal root'!B4*3</f>
        <v>18</v>
      </c>
      <c r="J24"/>
      <c r="K24" s="209"/>
      <c r="L24" s="1"/>
      <c r="N24" s="271"/>
      <c r="P24" s="1"/>
      <c r="Q24" s="1"/>
      <c r="R24" s="1"/>
      <c r="S24" s="1"/>
      <c r="T24" s="1"/>
      <c r="U24" s="1"/>
      <c r="V24" s="209"/>
      <c r="W24" t="s">
        <v>946</v>
      </c>
      <c r="X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19" t="s">
        <v>891</v>
      </c>
      <c r="AN24" s="297">
        <v>0.39</v>
      </c>
      <c r="AO24" s="297">
        <v>4.9000000000000002E-2</v>
      </c>
      <c r="AP24" s="297">
        <v>3.4799999999999998E-2</v>
      </c>
      <c r="AQ24" s="297">
        <v>1.746</v>
      </c>
      <c r="AR24" s="297">
        <v>4.383</v>
      </c>
      <c r="AS24" s="297">
        <v>0.5</v>
      </c>
      <c r="AT24" s="295">
        <f>AO24+(AN24-AO24)/(1+(AP24*0.033*1000)^AQ24)^(1-1/AQ24)</f>
        <v>0.28908792270404382</v>
      </c>
      <c r="AU24" s="295">
        <f>AO24+(AN24-AO24)/(1+(AP24*1.5*1000)^AQ24)^(1-1/AQ24)</f>
        <v>6.6831435789129423E-2</v>
      </c>
      <c r="AV24" s="296">
        <f>(AN24-AO24)*Soil_Depth*1000</f>
        <v>141.51500000000001</v>
      </c>
      <c r="AW24" s="296">
        <f>(AT24-AO24)*Soil_Depth*1000</f>
        <v>99.636487922178191</v>
      </c>
      <c r="AX24" s="19">
        <f>(AT24-AO24)/(AN24-AO24)</f>
        <v>0.70407015455731325</v>
      </c>
      <c r="AY24" s="296">
        <f>(AT24-AU24)*Soil_Depth*1000</f>
        <v>92.23644206968946</v>
      </c>
      <c r="AZ24" s="209"/>
      <c r="BA24" s="209"/>
      <c r="BB24" s="209"/>
      <c r="BC24" s="209"/>
      <c r="BD24" s="209"/>
      <c r="BE24" s="209"/>
      <c r="BF24" s="209"/>
      <c r="BG24" s="209"/>
      <c r="BH24" s="209"/>
      <c r="BJ24" s="209"/>
      <c r="BK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1"/>
      <c r="CG24" s="209"/>
      <c r="CH24" s="271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DJ24" s="209"/>
      <c r="DK24" s="209"/>
      <c r="DL24" s="209"/>
      <c r="DM24" s="209"/>
      <c r="DN24" s="209"/>
      <c r="DO24" s="209"/>
      <c r="DP24" s="209"/>
      <c r="DQ24" s="209"/>
      <c r="DR24" s="209"/>
      <c r="DS24" s="209"/>
      <c r="DT24" s="209"/>
      <c r="DU24" s="209"/>
      <c r="DV24" s="209"/>
      <c r="DW24" s="209"/>
      <c r="DX24" s="209"/>
      <c r="DY24" s="209"/>
      <c r="DZ24" s="209"/>
      <c r="EA24" s="209"/>
      <c r="EB24" s="209"/>
      <c r="EC24" s="209"/>
      <c r="ED24" s="209"/>
      <c r="EE24" s="272" t="s">
        <v>660</v>
      </c>
      <c r="EF24" s="209"/>
      <c r="EG24" s="209"/>
      <c r="EH24" s="209"/>
      <c r="EI24" s="209"/>
      <c r="EJ24" s="272" t="s">
        <v>611</v>
      </c>
      <c r="EK24" s="209"/>
      <c r="EL24" s="209"/>
      <c r="EM24" s="209"/>
      <c r="EN24" s="209"/>
      <c r="EO24" s="209"/>
      <c r="EP24" s="209"/>
      <c r="EQ24" s="209"/>
      <c r="ER24" s="209"/>
      <c r="ES24" s="209"/>
      <c r="ET24" s="309" t="s">
        <v>930</v>
      </c>
      <c r="EU24" s="209"/>
      <c r="EV24" s="209"/>
      <c r="EW24" s="209"/>
      <c r="EX24" s="209"/>
      <c r="EY24" s="209"/>
      <c r="EZ24" s="209"/>
      <c r="FA24" s="8"/>
      <c r="FB24" s="209"/>
      <c r="FC24" s="209"/>
      <c r="FD24" s="8"/>
      <c r="FE24" s="209"/>
      <c r="FF24" s="209"/>
      <c r="FG24" s="209"/>
      <c r="FH24" s="209"/>
      <c r="FI24" s="209"/>
      <c r="FJ24" s="209"/>
      <c r="FK24" s="209"/>
      <c r="FL24" s="209"/>
      <c r="FM24" s="209"/>
      <c r="FN24" s="209"/>
      <c r="FO24" s="209"/>
      <c r="FP24" s="209"/>
      <c r="FQ24" s="63"/>
      <c r="FR24" s="106"/>
      <c r="FS24" s="176"/>
      <c r="FT24" s="63"/>
      <c r="FU24" s="209"/>
      <c r="FV24" s="209"/>
      <c r="FW24" s="209"/>
      <c r="FX24" s="209"/>
      <c r="FZ24" s="209"/>
    </row>
    <row r="25" spans="1:225">
      <c r="B25" s="111" t="s">
        <v>84</v>
      </c>
      <c r="C25" s="211">
        <f>1/(1/N18+1/N13+1/N11+1/N9)</f>
        <v>16.615864431458903</v>
      </c>
      <c r="D25" s="48"/>
      <c r="E25" s="276" t="s">
        <v>851</v>
      </c>
      <c r="F25" s="90">
        <f>2*3.1416*F23/LN((1/SQRT(3.1416*F24)/DG32))</f>
        <v>974.40009280075151</v>
      </c>
      <c r="H25" s="109" t="s">
        <v>660</v>
      </c>
      <c r="I25" s="4">
        <f>BM32/EF32/EF32</f>
        <v>2</v>
      </c>
      <c r="J25"/>
      <c r="L25" s="1"/>
      <c r="N25" s="271"/>
      <c r="P25" s="1"/>
      <c r="Q25" s="1"/>
      <c r="R25" s="1"/>
      <c r="S25" s="1"/>
      <c r="T25" s="1"/>
      <c r="U25" s="1"/>
      <c r="W25" t="s">
        <v>947</v>
      </c>
      <c r="AI25" s="6"/>
      <c r="AT25" s="271"/>
      <c r="AU25" s="271"/>
      <c r="CF25" s="1"/>
      <c r="CH25" s="11" t="s">
        <v>1030</v>
      </c>
      <c r="CI25" s="11"/>
      <c r="CJ25"/>
      <c r="CK25"/>
      <c r="EE25" s="273">
        <f>I25</f>
        <v>2</v>
      </c>
      <c r="EJ25" s="273">
        <f>C21</f>
        <v>-4.2857142857142856</v>
      </c>
      <c r="ET25" s="163" t="s">
        <v>929</v>
      </c>
      <c r="EU25" s="163" t="s">
        <v>832</v>
      </c>
      <c r="EV25" s="163" t="s">
        <v>833</v>
      </c>
      <c r="FA25" s="8"/>
      <c r="FQ25" s="63"/>
      <c r="FR25" s="106"/>
      <c r="FS25" s="176"/>
      <c r="FT25" s="63"/>
    </row>
    <row r="26" spans="1:225">
      <c r="B26" s="111" t="s">
        <v>76</v>
      </c>
      <c r="C26" s="213" t="str">
        <f>IF(W32=0,"P12","P_tlp")</f>
        <v>P_tlp</v>
      </c>
      <c r="D26" s="49"/>
      <c r="F26" s="90">
        <f>2*3.1416*F23/LN(F27/F28)</f>
        <v>974.40009280075151</v>
      </c>
      <c r="H26" s="109" t="s">
        <v>847</v>
      </c>
      <c r="I26">
        <f>Branch_m+Trunk_m</f>
        <v>7</v>
      </c>
      <c r="J26"/>
      <c r="L26" s="1"/>
      <c r="M26" s="1"/>
      <c r="N26" s="1"/>
      <c r="O26" s="1"/>
      <c r="P26" s="1"/>
      <c r="Q26" s="1"/>
      <c r="R26" s="1"/>
      <c r="S26" s="1"/>
      <c r="T26" s="1"/>
      <c r="U26" s="1"/>
      <c r="W26" t="s">
        <v>948</v>
      </c>
      <c r="AT26" s="271"/>
      <c r="AU26" s="272" t="s">
        <v>660</v>
      </c>
      <c r="BW26" s="85"/>
      <c r="BX26" s="85"/>
      <c r="BY26" s="85"/>
      <c r="BZ26" s="85"/>
      <c r="CA26" s="85"/>
      <c r="CB26" s="85"/>
      <c r="CC26" s="85"/>
      <c r="CD26" s="85"/>
      <c r="CF26" s="90"/>
      <c r="CH26" s="358">
        <v>5.0000000000000001E-3</v>
      </c>
      <c r="CI26"/>
      <c r="CJ26"/>
      <c r="CK26"/>
      <c r="EF26" s="123"/>
      <c r="EG26" s="8"/>
      <c r="EK26" s="4"/>
      <c r="ET26" s="310">
        <f>ET32/1000/1000*18</f>
        <v>0.18</v>
      </c>
      <c r="EU26" s="310">
        <f>EU32/1000/1000*18</f>
        <v>0.18</v>
      </c>
      <c r="EV26" s="310">
        <f>EV32/1000/1000*18</f>
        <v>0.36</v>
      </c>
      <c r="FA26" s="8"/>
      <c r="FB26" s="8"/>
      <c r="FC26" s="8"/>
      <c r="FD26" s="8"/>
      <c r="FE26" s="8"/>
      <c r="FF26" s="8"/>
      <c r="FG26" s="8"/>
      <c r="FH26" s="8"/>
      <c r="FI26" s="6"/>
      <c r="FJ26" s="6"/>
      <c r="FK26" s="6"/>
      <c r="FL26" s="6"/>
      <c r="FM26" s="6"/>
      <c r="FN26" s="6"/>
      <c r="FO26" s="6"/>
      <c r="FP26" s="6"/>
      <c r="FQ26" s="186"/>
      <c r="FR26" s="106"/>
      <c r="FS26" s="176"/>
      <c r="FT26" s="63"/>
      <c r="FW26" s="8"/>
      <c r="FX26" s="8"/>
      <c r="FY26" s="8"/>
      <c r="FZ26" s="8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8"/>
      <c r="HD26" s="8"/>
      <c r="HE26" s="8"/>
      <c r="HF26" s="8"/>
      <c r="HG26" s="8"/>
      <c r="HH26" s="8"/>
      <c r="HI26" s="8"/>
      <c r="HJ26" s="8"/>
    </row>
    <row r="27" spans="1:225">
      <c r="B27" s="222" t="s">
        <v>739</v>
      </c>
      <c r="C27" s="222">
        <v>0.4</v>
      </c>
      <c r="E27" s="49" t="s">
        <v>1036</v>
      </c>
      <c r="F27">
        <f>1/SQRT(3.1416*F24)</f>
        <v>1.6899297935661143E-2</v>
      </c>
      <c r="H27" s="49"/>
      <c r="I27" s="49"/>
      <c r="J27" s="49"/>
      <c r="N27" s="271"/>
      <c r="T27"/>
      <c r="U27" s="262"/>
      <c r="V27" s="271"/>
      <c r="W27" t="s">
        <v>949</v>
      </c>
      <c r="Y27"/>
      <c r="AC27" s="263"/>
      <c r="AS27"/>
      <c r="AT27" s="271"/>
      <c r="AU27" s="273">
        <f>I25</f>
        <v>2</v>
      </c>
      <c r="AV27" s="249"/>
      <c r="BB27"/>
      <c r="BD27" s="198"/>
      <c r="BG27"/>
      <c r="BH27" s="204"/>
      <c r="BJ27" s="203"/>
      <c r="CH27" s="11" t="s">
        <v>1031</v>
      </c>
      <c r="CI27" s="11"/>
      <c r="CJ27" s="1"/>
      <c r="CK27"/>
      <c r="CT27"/>
      <c r="DD27" s="250"/>
      <c r="DG27" s="263"/>
      <c r="DJ27" s="250"/>
      <c r="DM27" s="59"/>
      <c r="ED27"/>
      <c r="EE27" s="197"/>
      <c r="EL27" s="4"/>
      <c r="FB27" s="8"/>
      <c r="FC27" s="8"/>
      <c r="FD27" s="8"/>
      <c r="FE27" s="8"/>
      <c r="FF27" s="8"/>
      <c r="FG27" s="8"/>
      <c r="FH27" s="8"/>
      <c r="FI27" s="8"/>
      <c r="FJ27" s="6"/>
      <c r="FK27" s="6"/>
      <c r="FL27" s="6"/>
      <c r="FM27" s="6"/>
      <c r="FN27" s="6"/>
      <c r="FO27" s="6"/>
      <c r="FP27" s="6"/>
      <c r="FQ27" s="6"/>
      <c r="FR27" s="186"/>
      <c r="FS27" s="63"/>
      <c r="FT27" s="63"/>
      <c r="FU27" s="63"/>
      <c r="FV27" s="8"/>
      <c r="FW27" s="8"/>
      <c r="FX27" s="8"/>
      <c r="FY27" s="8"/>
      <c r="FZ27" s="8"/>
      <c r="GA27" s="6"/>
      <c r="GH27" s="90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8"/>
      <c r="HC27" s="8"/>
      <c r="HD27" s="8"/>
      <c r="HE27" s="8"/>
      <c r="HF27" s="8"/>
      <c r="HG27" s="8"/>
      <c r="HH27" s="8"/>
      <c r="HI27" s="8"/>
    </row>
    <row r="28" spans="1:225">
      <c r="C28" s="271"/>
      <c r="E28" s="276" t="s">
        <v>1037</v>
      </c>
      <c r="F28" s="1">
        <f>DG32</f>
        <v>8.5608478174381986E-4</v>
      </c>
      <c r="G28">
        <f>LN(F27/F28)</f>
        <v>2.9826579424492423</v>
      </c>
      <c r="J28"/>
      <c r="N28" s="271"/>
      <c r="T28"/>
      <c r="U28" s="262"/>
      <c r="V28" s="271"/>
      <c r="W28" t="s">
        <v>950</v>
      </c>
      <c r="Y28"/>
      <c r="AC28" s="263"/>
      <c r="AS28"/>
      <c r="AT28" s="271"/>
      <c r="AU28" s="210"/>
      <c r="AV28" s="249"/>
      <c r="BB28"/>
      <c r="BD28" s="198"/>
      <c r="BG28"/>
      <c r="BH28" s="204"/>
      <c r="BJ28" s="203"/>
      <c r="CH28" s="358">
        <v>5.0000000000000001E-3</v>
      </c>
      <c r="CI28"/>
      <c r="CJ28"/>
      <c r="CK28"/>
      <c r="CT28"/>
      <c r="DD28" s="250"/>
      <c r="DG28" s="263"/>
      <c r="DJ28" s="250"/>
      <c r="ED28"/>
      <c r="EE28" s="197"/>
      <c r="FJ28" t="s">
        <v>1032</v>
      </c>
      <c r="FR28" s="63"/>
      <c r="FS28" s="63"/>
      <c r="FT28" s="63"/>
      <c r="FU28" s="63"/>
      <c r="FY28"/>
      <c r="FZ28" s="271"/>
      <c r="GA28"/>
      <c r="GH28" s="90"/>
    </row>
    <row r="29" spans="1:225" s="63" customFormat="1" ht="26" customHeight="1">
      <c r="A29" s="94"/>
      <c r="B29" s="20" t="s">
        <v>0</v>
      </c>
      <c r="C29" s="20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E29" s="62" t="s">
        <v>111</v>
      </c>
      <c r="AF29" s="62" t="s">
        <v>109</v>
      </c>
      <c r="AG29" s="62" t="s">
        <v>110</v>
      </c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217" t="s">
        <v>693</v>
      </c>
      <c r="AU29" s="62"/>
      <c r="AV29" s="62"/>
      <c r="AW29" s="189" t="s">
        <v>565</v>
      </c>
      <c r="AX29" s="62"/>
      <c r="AY29" s="62"/>
      <c r="AZ29" s="62"/>
      <c r="BA29" s="193" t="s">
        <v>591</v>
      </c>
      <c r="BB29" s="193"/>
      <c r="BC29" s="193"/>
      <c r="BD29" s="193"/>
      <c r="BE29" s="193"/>
      <c r="BF29" s="194" t="s">
        <v>609</v>
      </c>
      <c r="BG29" s="194"/>
      <c r="BH29" s="205" t="s">
        <v>632</v>
      </c>
      <c r="BI29" s="320" t="s">
        <v>960</v>
      </c>
      <c r="BJ29" s="220" t="s">
        <v>145</v>
      </c>
      <c r="BK29" s="221"/>
      <c r="BL29" s="221"/>
      <c r="BM29" s="65"/>
      <c r="BN29" s="65"/>
      <c r="BO29" s="65"/>
      <c r="BP29" s="65"/>
      <c r="BQ29" s="65"/>
      <c r="BR29" s="65"/>
      <c r="BS29" s="62"/>
      <c r="BT29" s="62"/>
      <c r="BU29" s="62"/>
      <c r="BV29" s="62"/>
      <c r="BW29" s="62"/>
      <c r="BX29" s="62"/>
      <c r="BY29" s="230" t="s">
        <v>598</v>
      </c>
      <c r="BZ29" s="62"/>
      <c r="CA29" s="62"/>
      <c r="CB29" s="62"/>
      <c r="CC29" s="62"/>
      <c r="CD29" s="62"/>
      <c r="CE29" s="62"/>
      <c r="CF29" s="11" t="s">
        <v>750</v>
      </c>
      <c r="CG29" s="62"/>
      <c r="CH29" s="62"/>
      <c r="CI29" s="62"/>
      <c r="CJ29" s="62"/>
      <c r="CK29" s="62"/>
      <c r="CL29" s="104" t="s">
        <v>30</v>
      </c>
      <c r="CM29" s="62"/>
      <c r="CN29" s="62"/>
      <c r="CO29" s="62"/>
      <c r="CP29" s="62"/>
      <c r="CQ29" s="101" t="s">
        <v>169</v>
      </c>
      <c r="CR29" s="62"/>
      <c r="CS29" s="62"/>
      <c r="CT29" s="62"/>
      <c r="CU29" s="251" t="s">
        <v>752</v>
      </c>
      <c r="CV29" s="251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220" t="s">
        <v>717</v>
      </c>
      <c r="DL29" s="80"/>
      <c r="DM29" s="80"/>
      <c r="DN29" s="80"/>
      <c r="DO29" s="80"/>
      <c r="DP29" s="80"/>
      <c r="DQ29" s="80"/>
      <c r="DR29" s="80"/>
      <c r="DS29" s="80"/>
      <c r="DT29" s="80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11" t="s">
        <v>619</v>
      </c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2"/>
      <c r="FE29" s="62"/>
      <c r="FF29" s="62"/>
      <c r="FG29" s="62"/>
      <c r="FH29" s="62"/>
      <c r="FI29" s="62"/>
      <c r="FJ29" s="62"/>
      <c r="FK29" s="62"/>
      <c r="FL29" s="62"/>
      <c r="FM29" s="62"/>
      <c r="FN29" s="62"/>
      <c r="FO29" s="62"/>
      <c r="FP29" s="62"/>
      <c r="FQ29" s="62"/>
      <c r="FR29" s="64"/>
      <c r="FS29" s="64"/>
      <c r="FT29" s="64"/>
      <c r="FU29" s="64"/>
      <c r="FV29" s="64"/>
      <c r="GB29" s="94"/>
      <c r="GC29" s="94"/>
      <c r="GD29" s="94"/>
      <c r="GE29" s="94"/>
      <c r="GF29" s="94"/>
      <c r="GG29" s="94"/>
      <c r="GH29" s="94"/>
    </row>
    <row r="30" spans="1:225" s="63" customFormat="1">
      <c r="A30" s="94"/>
      <c r="B30" s="207" t="s">
        <v>630</v>
      </c>
      <c r="C30" s="28" t="s">
        <v>14</v>
      </c>
      <c r="D30" s="28"/>
      <c r="E30" s="29"/>
      <c r="F30" s="29"/>
      <c r="G30" s="29"/>
      <c r="H30" s="29"/>
      <c r="I30" s="29"/>
      <c r="J30" s="29"/>
      <c r="K30" s="81" t="s">
        <v>37</v>
      </c>
      <c r="L30" s="81" t="s">
        <v>10</v>
      </c>
      <c r="M30" s="81"/>
      <c r="N30" s="81" t="s">
        <v>12</v>
      </c>
      <c r="O30" s="82" t="s">
        <v>113</v>
      </c>
      <c r="P30" s="82"/>
      <c r="Q30" s="82"/>
      <c r="R30" s="82"/>
      <c r="S30" s="82"/>
      <c r="T30" s="82"/>
      <c r="U30" s="82"/>
      <c r="V30" s="82"/>
      <c r="W30" s="30" t="s">
        <v>132</v>
      </c>
      <c r="X30" s="29"/>
      <c r="Y30" s="29"/>
      <c r="Z30" s="29"/>
      <c r="AA30" s="29"/>
      <c r="AB30" s="266" t="s">
        <v>624</v>
      </c>
      <c r="AC30" s="266" t="s">
        <v>798</v>
      </c>
      <c r="AD30" s="115" t="s">
        <v>91</v>
      </c>
      <c r="AE30" s="89">
        <f>AF32*AF30/100</f>
        <v>1273.537714875687</v>
      </c>
      <c r="AF30" s="89">
        <f>611.21*EXP((18.678-AE32/234.5)*AE32/(257.14+AE32))</f>
        <v>4245.1257162522897</v>
      </c>
      <c r="AG30" s="82">
        <f>(AF30-AE30)/1000</f>
        <v>2.9715880013766029</v>
      </c>
      <c r="AH30" s="82"/>
      <c r="AI30" s="82"/>
      <c r="AJ30" s="82" t="s">
        <v>209</v>
      </c>
      <c r="AK30" s="82"/>
      <c r="AL30" s="82"/>
      <c r="AM30" s="82"/>
      <c r="AN30" s="25" t="s">
        <v>801</v>
      </c>
      <c r="AO30" s="26"/>
      <c r="AP30" s="26"/>
      <c r="AQ30" s="26"/>
      <c r="AR30" s="26"/>
      <c r="AS30" s="27"/>
      <c r="AT30" s="218" t="s">
        <v>693</v>
      </c>
      <c r="AU30" s="218"/>
      <c r="AV30" s="218" t="s">
        <v>748</v>
      </c>
      <c r="AW30" s="187" t="s">
        <v>568</v>
      </c>
      <c r="AX30" s="187" t="s">
        <v>567</v>
      </c>
      <c r="AY30" s="187" t="s">
        <v>570</v>
      </c>
      <c r="AZ30" s="187" t="s">
        <v>569</v>
      </c>
      <c r="BA30" s="191" t="s">
        <v>593</v>
      </c>
      <c r="BB30" s="191" t="s">
        <v>597</v>
      </c>
      <c r="BC30" s="191" t="s">
        <v>618</v>
      </c>
      <c r="BD30" s="191" t="s">
        <v>625</v>
      </c>
      <c r="BE30" s="191" t="s">
        <v>623</v>
      </c>
      <c r="BF30" s="195" t="s">
        <v>608</v>
      </c>
      <c r="BG30" s="195" t="s">
        <v>610</v>
      </c>
      <c r="BH30" s="206" t="s">
        <v>747</v>
      </c>
      <c r="BI30" s="97" t="s">
        <v>961</v>
      </c>
      <c r="BJ30" s="222" t="s">
        <v>146</v>
      </c>
      <c r="BK30" s="222" t="s">
        <v>628</v>
      </c>
      <c r="BL30" s="222" t="s">
        <v>150</v>
      </c>
      <c r="BM30" s="222"/>
      <c r="BN30" s="224"/>
      <c r="BO30" s="224" t="s">
        <v>267</v>
      </c>
      <c r="BP30" s="224"/>
      <c r="BQ30" s="224"/>
      <c r="BR30" s="224"/>
      <c r="BS30" s="224" t="s">
        <v>137</v>
      </c>
      <c r="BT30" s="225"/>
      <c r="BU30" s="226"/>
      <c r="BV30" s="222" t="s">
        <v>141</v>
      </c>
      <c r="BW30" s="222" t="s">
        <v>142</v>
      </c>
      <c r="BX30" s="222" t="s">
        <v>196</v>
      </c>
      <c r="BY30" s="231" t="s">
        <v>602</v>
      </c>
      <c r="BZ30" s="231" t="s">
        <v>603</v>
      </c>
      <c r="CA30" s="231" t="s">
        <v>599</v>
      </c>
      <c r="CB30" s="231" t="s">
        <v>607</v>
      </c>
      <c r="CC30" s="231" t="s">
        <v>604</v>
      </c>
      <c r="CD30" s="231" t="s">
        <v>605</v>
      </c>
      <c r="CE30" s="231" t="s">
        <v>606</v>
      </c>
      <c r="CF30" s="11" t="s">
        <v>152</v>
      </c>
      <c r="CG30" s="11" t="s">
        <v>154</v>
      </c>
      <c r="CH30" s="11" t="s">
        <v>862</v>
      </c>
      <c r="CI30" s="25" t="s">
        <v>158</v>
      </c>
      <c r="CJ30" s="25" t="s">
        <v>159</v>
      </c>
      <c r="CK30" s="25" t="s">
        <v>227</v>
      </c>
      <c r="CL30" s="104" t="s">
        <v>154</v>
      </c>
      <c r="CM30" s="104" t="s">
        <v>751</v>
      </c>
      <c r="CN30" s="105" t="s">
        <v>158</v>
      </c>
      <c r="CO30" s="105" t="s">
        <v>159</v>
      </c>
      <c r="CP30" s="105" t="s">
        <v>782</v>
      </c>
      <c r="CQ30" s="101" t="s">
        <v>154</v>
      </c>
      <c r="CR30" s="101" t="s">
        <v>156</v>
      </c>
      <c r="CS30" s="102" t="s">
        <v>158</v>
      </c>
      <c r="CT30" s="102" t="s">
        <v>159</v>
      </c>
      <c r="CU30" s="105" t="s">
        <v>753</v>
      </c>
      <c r="CV30" s="105" t="s">
        <v>767</v>
      </c>
      <c r="CW30" s="105"/>
      <c r="CX30" s="105"/>
      <c r="CY30" s="105"/>
      <c r="CZ30" s="105"/>
      <c r="DA30" s="105"/>
      <c r="DB30" s="105" t="s">
        <v>41</v>
      </c>
      <c r="DC30" s="105"/>
      <c r="DD30" s="105" t="s">
        <v>31</v>
      </c>
      <c r="DE30" s="105"/>
      <c r="DF30" s="105"/>
      <c r="DG30" s="105"/>
      <c r="DH30" s="105" t="s">
        <v>777</v>
      </c>
      <c r="DI30" s="105"/>
      <c r="DJ30" s="105"/>
      <c r="DK30" s="233" t="s">
        <v>96</v>
      </c>
      <c r="DL30" s="234"/>
      <c r="DM30" s="234"/>
      <c r="DN30" s="234"/>
      <c r="DO30" s="234"/>
      <c r="DP30" s="234"/>
      <c r="DQ30" s="235"/>
      <c r="DR30" s="235"/>
      <c r="DS30" s="235"/>
      <c r="DT30" s="235"/>
      <c r="DU30" s="29"/>
      <c r="DV30" s="29"/>
      <c r="DW30" s="29"/>
      <c r="DX30" s="29"/>
      <c r="DY30" s="51" t="s">
        <v>116</v>
      </c>
      <c r="DZ30" s="51"/>
      <c r="EA30" s="31" t="s">
        <v>204</v>
      </c>
      <c r="EB30" s="32"/>
      <c r="EC30" s="32"/>
      <c r="ED30" s="33"/>
      <c r="EE30" s="25" t="s">
        <v>620</v>
      </c>
      <c r="EF30" s="11">
        <f>EE32*EF32*EF32</f>
        <v>3.7349999999999994</v>
      </c>
      <c r="EG30" s="25" t="s">
        <v>122</v>
      </c>
      <c r="EH30" s="25"/>
      <c r="EI30" s="25"/>
      <c r="EJ30" s="25" t="s">
        <v>126</v>
      </c>
      <c r="EK30" s="34" t="s">
        <v>9</v>
      </c>
      <c r="EL30" s="35"/>
      <c r="EM30" s="35"/>
      <c r="EN30" s="35"/>
      <c r="EO30" s="35" t="s">
        <v>78</v>
      </c>
      <c r="EP30" s="35"/>
      <c r="EQ30" s="35"/>
      <c r="ER30" s="36"/>
      <c r="ES30" s="37" t="s">
        <v>135</v>
      </c>
      <c r="ET30" s="37" t="s">
        <v>931</v>
      </c>
      <c r="EU30" s="38"/>
      <c r="EV30" s="39"/>
      <c r="EW30" s="38" t="s">
        <v>164</v>
      </c>
      <c r="EX30" s="38"/>
      <c r="EY30" s="38"/>
      <c r="EZ30" s="39"/>
      <c r="FA30" s="40" t="s">
        <v>79</v>
      </c>
      <c r="FB30" s="41"/>
      <c r="FC30" s="41"/>
      <c r="FD30" s="42"/>
      <c r="FE30" s="43" t="s">
        <v>80</v>
      </c>
      <c r="FF30" s="44"/>
      <c r="FG30" s="44"/>
      <c r="FH30" s="44"/>
      <c r="FI30" s="200" t="s">
        <v>1029</v>
      </c>
      <c r="FJ30" s="200" t="s">
        <v>232</v>
      </c>
      <c r="FK30" s="200"/>
      <c r="FL30" s="200"/>
      <c r="FM30" s="200"/>
      <c r="FN30" s="200"/>
      <c r="FO30" s="200"/>
      <c r="FP30" s="200"/>
      <c r="FQ30" s="200"/>
      <c r="FR30" s="200" t="s">
        <v>155</v>
      </c>
      <c r="FS30" s="200" t="s">
        <v>229</v>
      </c>
      <c r="FT30" s="200" t="s">
        <v>116</v>
      </c>
      <c r="FU30" s="200"/>
      <c r="FV30" s="183" t="s">
        <v>562</v>
      </c>
      <c r="FW30" s="183"/>
      <c r="FX30" s="183"/>
      <c r="FY30" s="183"/>
      <c r="GB30" s="94"/>
      <c r="GC30" s="94"/>
      <c r="GD30" s="94"/>
      <c r="GE30" s="94"/>
      <c r="GF30" s="94"/>
      <c r="GG30" s="94"/>
      <c r="GH30" s="94"/>
    </row>
    <row r="31" spans="1:225" s="63" customFormat="1">
      <c r="A31" s="95" t="s">
        <v>1033</v>
      </c>
      <c r="B31" s="28" t="s">
        <v>631</v>
      </c>
      <c r="C31" s="207" t="s">
        <v>877</v>
      </c>
      <c r="D31" s="147" t="s">
        <v>13</v>
      </c>
      <c r="E31" s="147" t="s">
        <v>120</v>
      </c>
      <c r="F31" s="147" t="s">
        <v>108</v>
      </c>
      <c r="G31" s="148" t="s">
        <v>136</v>
      </c>
      <c r="H31" s="148" t="s">
        <v>107</v>
      </c>
      <c r="I31" s="147" t="s">
        <v>551</v>
      </c>
      <c r="J31" s="148" t="s">
        <v>552</v>
      </c>
      <c r="K31" s="149" t="s">
        <v>37</v>
      </c>
      <c r="L31" s="149" t="s">
        <v>1</v>
      </c>
      <c r="M31" s="149" t="s">
        <v>590</v>
      </c>
      <c r="N31" s="149" t="s">
        <v>11</v>
      </c>
      <c r="O31" s="150" t="s">
        <v>112</v>
      </c>
      <c r="P31" s="150" t="s">
        <v>119</v>
      </c>
      <c r="Q31" s="150" t="s">
        <v>205</v>
      </c>
      <c r="R31" s="150" t="s">
        <v>206</v>
      </c>
      <c r="S31" s="150" t="s">
        <v>207</v>
      </c>
      <c r="T31" s="150" t="s">
        <v>208</v>
      </c>
      <c r="U31" s="150" t="s">
        <v>797</v>
      </c>
      <c r="V31" s="287" t="s">
        <v>876</v>
      </c>
      <c r="W31" s="147" t="s">
        <v>596</v>
      </c>
      <c r="X31" s="151" t="s">
        <v>130</v>
      </c>
      <c r="Y31" s="318" t="s">
        <v>951</v>
      </c>
      <c r="Z31" s="151" t="s">
        <v>942</v>
      </c>
      <c r="AA31" s="151" t="s">
        <v>943</v>
      </c>
      <c r="AB31" s="265" t="s">
        <v>799</v>
      </c>
      <c r="AC31" s="265" t="s">
        <v>800</v>
      </c>
      <c r="AD31" s="152" t="s">
        <v>92</v>
      </c>
      <c r="AE31" s="152" t="s">
        <v>93</v>
      </c>
      <c r="AF31" s="152" t="s">
        <v>94</v>
      </c>
      <c r="AG31" s="152" t="s">
        <v>95</v>
      </c>
      <c r="AH31" s="152" t="s">
        <v>105</v>
      </c>
      <c r="AI31" s="152" t="s">
        <v>121</v>
      </c>
      <c r="AJ31" s="153" t="s">
        <v>210</v>
      </c>
      <c r="AK31" s="152" t="s">
        <v>211</v>
      </c>
      <c r="AL31" s="152" t="s">
        <v>212</v>
      </c>
      <c r="AM31" s="154" t="s">
        <v>213</v>
      </c>
      <c r="AN31" s="155" t="s">
        <v>3</v>
      </c>
      <c r="AO31" s="155" t="s">
        <v>4</v>
      </c>
      <c r="AP31" s="155" t="s">
        <v>5</v>
      </c>
      <c r="AQ31" s="155" t="s">
        <v>6</v>
      </c>
      <c r="AR31" s="155" t="s">
        <v>802</v>
      </c>
      <c r="AS31" s="155" t="s">
        <v>8</v>
      </c>
      <c r="AT31" s="219" t="s">
        <v>210</v>
      </c>
      <c r="AU31" s="219" t="s">
        <v>694</v>
      </c>
      <c r="AV31" s="219" t="s">
        <v>749</v>
      </c>
      <c r="AW31" s="188" t="s">
        <v>566</v>
      </c>
      <c r="AX31" s="188" t="s">
        <v>143</v>
      </c>
      <c r="AY31" s="188" t="s">
        <v>133</v>
      </c>
      <c r="AZ31" s="188"/>
      <c r="BA31" s="192" t="s">
        <v>592</v>
      </c>
      <c r="BB31" s="192" t="s">
        <v>143</v>
      </c>
      <c r="BC31" s="192" t="s">
        <v>133</v>
      </c>
      <c r="BD31" s="192" t="s">
        <v>624</v>
      </c>
      <c r="BE31" s="192" t="s">
        <v>624</v>
      </c>
      <c r="BF31" s="196" t="s">
        <v>592</v>
      </c>
      <c r="BG31" s="196" t="s">
        <v>143</v>
      </c>
      <c r="BH31" s="159" t="s">
        <v>592</v>
      </c>
      <c r="BI31" s="156" t="s">
        <v>962</v>
      </c>
      <c r="BJ31" s="223" t="s">
        <v>133</v>
      </c>
      <c r="BK31" s="223" t="s">
        <v>629</v>
      </c>
      <c r="BL31" s="223" t="s">
        <v>583</v>
      </c>
      <c r="BM31" s="223" t="s">
        <v>584</v>
      </c>
      <c r="BN31" s="223" t="s">
        <v>585</v>
      </c>
      <c r="BO31" s="227" t="s">
        <v>586</v>
      </c>
      <c r="BP31" s="227" t="s">
        <v>587</v>
      </c>
      <c r="BQ31" s="227" t="s">
        <v>588</v>
      </c>
      <c r="BR31" s="227" t="s">
        <v>589</v>
      </c>
      <c r="BS31" s="228" t="s">
        <v>140</v>
      </c>
      <c r="BT31" s="223" t="s">
        <v>138</v>
      </c>
      <c r="BU31" s="223" t="s">
        <v>139</v>
      </c>
      <c r="BV31" s="223" t="s">
        <v>198</v>
      </c>
      <c r="BW31" s="229" t="s">
        <v>144</v>
      </c>
      <c r="BX31" s="229" t="s">
        <v>197</v>
      </c>
      <c r="BY31" s="232" t="s">
        <v>601</v>
      </c>
      <c r="BZ31" s="232" t="s">
        <v>601</v>
      </c>
      <c r="CA31" s="232" t="s">
        <v>600</v>
      </c>
      <c r="CB31" s="232" t="s">
        <v>601</v>
      </c>
      <c r="CC31" s="232"/>
      <c r="CD31" s="232"/>
      <c r="CE31" s="232"/>
      <c r="CF31" s="155" t="s">
        <v>153</v>
      </c>
      <c r="CG31" s="155" t="s">
        <v>155</v>
      </c>
      <c r="CH31" s="155" t="s">
        <v>157</v>
      </c>
      <c r="CI31" s="155" t="s">
        <v>143</v>
      </c>
      <c r="CJ31" s="155" t="s">
        <v>143</v>
      </c>
      <c r="CK31" s="155" t="s">
        <v>34</v>
      </c>
      <c r="CL31" s="157" t="s">
        <v>155</v>
      </c>
      <c r="CM31" s="157" t="s">
        <v>157</v>
      </c>
      <c r="CN31" s="157" t="s">
        <v>143</v>
      </c>
      <c r="CO31" s="157" t="s">
        <v>143</v>
      </c>
      <c r="CP31" s="157" t="s">
        <v>143</v>
      </c>
      <c r="CQ31" s="158" t="s">
        <v>155</v>
      </c>
      <c r="CR31" s="158" t="s">
        <v>157</v>
      </c>
      <c r="CS31" s="158" t="s">
        <v>143</v>
      </c>
      <c r="CT31" s="158" t="s">
        <v>143</v>
      </c>
      <c r="CU31" s="157" t="s">
        <v>752</v>
      </c>
      <c r="CV31" s="157" t="s">
        <v>783</v>
      </c>
      <c r="CW31" s="157" t="s">
        <v>784</v>
      </c>
      <c r="CX31" s="157" t="s">
        <v>785</v>
      </c>
      <c r="CY31" s="157" t="s">
        <v>786</v>
      </c>
      <c r="CZ31" s="157" t="s">
        <v>787</v>
      </c>
      <c r="DA31" s="157" t="s">
        <v>788</v>
      </c>
      <c r="DB31" s="157" t="s">
        <v>789</v>
      </c>
      <c r="DC31" s="157" t="s">
        <v>790</v>
      </c>
      <c r="DD31" s="157" t="s">
        <v>805</v>
      </c>
      <c r="DE31" s="157" t="s">
        <v>918</v>
      </c>
      <c r="DF31" s="157" t="s">
        <v>806</v>
      </c>
      <c r="DG31" s="157" t="s">
        <v>811</v>
      </c>
      <c r="DH31" s="157" t="s">
        <v>791</v>
      </c>
      <c r="DI31" s="157" t="s">
        <v>792</v>
      </c>
      <c r="DJ31" s="157" t="s">
        <v>793</v>
      </c>
      <c r="DK31" s="219" t="s">
        <v>823</v>
      </c>
      <c r="DL31" s="219" t="s">
        <v>824</v>
      </c>
      <c r="DM31" s="219" t="s">
        <v>825</v>
      </c>
      <c r="DN31" s="219" t="s">
        <v>564</v>
      </c>
      <c r="DO31" s="219" t="s">
        <v>563</v>
      </c>
      <c r="DP31" s="219" t="s">
        <v>561</v>
      </c>
      <c r="DQ31" s="236" t="s">
        <v>1028</v>
      </c>
      <c r="DR31" s="236" t="s">
        <v>201</v>
      </c>
      <c r="DS31" s="236" t="s">
        <v>202</v>
      </c>
      <c r="DT31" s="236" t="s">
        <v>203</v>
      </c>
      <c r="DU31" s="149" t="s">
        <v>708</v>
      </c>
      <c r="DV31" s="149" t="s">
        <v>707</v>
      </c>
      <c r="DW31" s="149" t="s">
        <v>706</v>
      </c>
      <c r="DX31" s="149" t="s">
        <v>705</v>
      </c>
      <c r="DY31" s="159" t="s">
        <v>117</v>
      </c>
      <c r="DZ31" s="159" t="s">
        <v>118</v>
      </c>
      <c r="EA31" s="160" t="s">
        <v>46</v>
      </c>
      <c r="EB31" s="160" t="s">
        <v>47</v>
      </c>
      <c r="EC31" s="160" t="s">
        <v>48</v>
      </c>
      <c r="ED31" s="160" t="s">
        <v>49</v>
      </c>
      <c r="EE31" s="155" t="s">
        <v>621</v>
      </c>
      <c r="EF31" s="155" t="s">
        <v>622</v>
      </c>
      <c r="EG31" s="155" t="s">
        <v>124</v>
      </c>
      <c r="EH31" s="155" t="s">
        <v>123</v>
      </c>
      <c r="EI31" s="155" t="s">
        <v>125</v>
      </c>
      <c r="EJ31" s="155" t="s">
        <v>127</v>
      </c>
      <c r="EK31" s="161" t="s">
        <v>50</v>
      </c>
      <c r="EL31" s="161" t="s">
        <v>51</v>
      </c>
      <c r="EM31" s="161" t="s">
        <v>52</v>
      </c>
      <c r="EN31" s="161" t="s">
        <v>53</v>
      </c>
      <c r="EO31" s="162" t="s">
        <v>826</v>
      </c>
      <c r="EP31" s="162" t="s">
        <v>827</v>
      </c>
      <c r="EQ31" s="162" t="s">
        <v>828</v>
      </c>
      <c r="ER31" s="162" t="s">
        <v>829</v>
      </c>
      <c r="ES31" s="163" t="s">
        <v>830</v>
      </c>
      <c r="ET31" s="163" t="s">
        <v>831</v>
      </c>
      <c r="EU31" s="163" t="s">
        <v>832</v>
      </c>
      <c r="EV31" s="163" t="s">
        <v>833</v>
      </c>
      <c r="EW31" s="156" t="s">
        <v>834</v>
      </c>
      <c r="EX31" s="156" t="s">
        <v>835</v>
      </c>
      <c r="EY31" s="156" t="s">
        <v>836</v>
      </c>
      <c r="EZ31" s="156" t="s">
        <v>837</v>
      </c>
      <c r="FA31" s="164" t="s">
        <v>838</v>
      </c>
      <c r="FB31" s="164" t="s">
        <v>839</v>
      </c>
      <c r="FC31" s="164" t="s">
        <v>840</v>
      </c>
      <c r="FD31" s="164" t="s">
        <v>841</v>
      </c>
      <c r="FE31" s="165" t="s">
        <v>842</v>
      </c>
      <c r="FF31" s="165" t="s">
        <v>843</v>
      </c>
      <c r="FG31" s="165" t="s">
        <v>844</v>
      </c>
      <c r="FH31" s="166" t="s">
        <v>845</v>
      </c>
      <c r="FI31" s="200" t="s">
        <v>231</v>
      </c>
      <c r="FJ31" s="200" t="s">
        <v>220</v>
      </c>
      <c r="FK31" s="201" t="s">
        <v>219</v>
      </c>
      <c r="FL31" s="200" t="s">
        <v>221</v>
      </c>
      <c r="FM31" s="200" t="s">
        <v>222</v>
      </c>
      <c r="FN31" s="200" t="s">
        <v>223</v>
      </c>
      <c r="FO31" s="200" t="s">
        <v>224</v>
      </c>
      <c r="FP31" s="200" t="s">
        <v>225</v>
      </c>
      <c r="FQ31" s="200" t="s">
        <v>226</v>
      </c>
      <c r="FR31" s="200" t="s">
        <v>230</v>
      </c>
      <c r="FS31" s="200" t="s">
        <v>228</v>
      </c>
      <c r="FT31" s="200" t="s">
        <v>117</v>
      </c>
      <c r="FU31" s="200" t="s">
        <v>118</v>
      </c>
      <c r="FV31" s="199" t="s">
        <v>28</v>
      </c>
      <c r="FW31" s="184" t="s">
        <v>29</v>
      </c>
      <c r="FX31" s="184" t="s">
        <v>30</v>
      </c>
      <c r="FY31" s="184" t="s">
        <v>31</v>
      </c>
      <c r="FZ31" s="261"/>
      <c r="GA31" s="184"/>
      <c r="GB31" s="282"/>
      <c r="GC31" s="282"/>
      <c r="GD31" s="283"/>
      <c r="GE31" s="283"/>
      <c r="GF31" s="94"/>
      <c r="GG31" s="94"/>
      <c r="GH31" s="94"/>
    </row>
    <row r="32" spans="1:225" s="75" customFormat="1">
      <c r="A32" s="75" t="s">
        <v>890</v>
      </c>
      <c r="B32" s="354">
        <v>1</v>
      </c>
      <c r="C32" s="354">
        <v>0</v>
      </c>
      <c r="D32" s="354">
        <v>1</v>
      </c>
      <c r="E32" s="354">
        <v>1</v>
      </c>
      <c r="F32" s="354">
        <v>0</v>
      </c>
      <c r="G32" s="354">
        <v>0</v>
      </c>
      <c r="H32" s="354">
        <v>0</v>
      </c>
      <c r="I32" s="354">
        <v>1</v>
      </c>
      <c r="J32" s="354">
        <v>99</v>
      </c>
      <c r="K32" s="354">
        <v>0</v>
      </c>
      <c r="L32" s="354">
        <v>0.01</v>
      </c>
      <c r="M32" s="354">
        <v>1</v>
      </c>
      <c r="N32" s="355">
        <v>12</v>
      </c>
      <c r="O32" s="354">
        <v>0</v>
      </c>
      <c r="P32" s="354">
        <v>1</v>
      </c>
      <c r="Q32" s="354">
        <v>1</v>
      </c>
      <c r="R32" s="354">
        <v>1</v>
      </c>
      <c r="S32" s="354">
        <v>1</v>
      </c>
      <c r="T32" s="354">
        <v>1</v>
      </c>
      <c r="U32" s="354">
        <v>0</v>
      </c>
      <c r="V32" s="354">
        <v>1</v>
      </c>
      <c r="W32" s="354">
        <v>5</v>
      </c>
      <c r="X32" s="354">
        <v>5</v>
      </c>
      <c r="Y32" s="356">
        <v>-4.3</v>
      </c>
      <c r="Z32" s="356">
        <v>-2</v>
      </c>
      <c r="AA32" s="356">
        <v>-3.03</v>
      </c>
      <c r="AB32" s="356">
        <v>180</v>
      </c>
      <c r="AC32" s="356">
        <v>45</v>
      </c>
      <c r="AD32" s="355">
        <v>20</v>
      </c>
      <c r="AE32" s="355">
        <v>30</v>
      </c>
      <c r="AF32" s="355">
        <v>30</v>
      </c>
      <c r="AG32" s="355">
        <v>90</v>
      </c>
      <c r="AH32" s="355">
        <v>1200</v>
      </c>
      <c r="AI32" s="355">
        <v>1</v>
      </c>
      <c r="AJ32" s="357">
        <v>0</v>
      </c>
      <c r="AK32" s="355">
        <v>3</v>
      </c>
      <c r="AL32" s="355">
        <v>3</v>
      </c>
      <c r="AM32" s="355">
        <v>15</v>
      </c>
      <c r="AN32" s="12">
        <v>0.39900000000000002</v>
      </c>
      <c r="AO32" s="12">
        <v>6.0999999999999999E-2</v>
      </c>
      <c r="AP32" s="12">
        <v>1.11E-2</v>
      </c>
      <c r="AQ32" s="12">
        <v>1.472</v>
      </c>
      <c r="AR32" s="12">
        <v>12.7</v>
      </c>
      <c r="AS32" s="12">
        <v>0.5</v>
      </c>
      <c r="AT32" s="354">
        <v>1</v>
      </c>
      <c r="AU32" s="354">
        <v>0</v>
      </c>
      <c r="AV32" s="354">
        <v>100</v>
      </c>
      <c r="AW32" s="354">
        <v>0</v>
      </c>
      <c r="AX32" s="354">
        <v>20</v>
      </c>
      <c r="AY32" s="354">
        <v>2</v>
      </c>
      <c r="AZ32" s="354">
        <v>1</v>
      </c>
      <c r="BA32" s="354">
        <v>0</v>
      </c>
      <c r="BB32" s="354">
        <v>0.99</v>
      </c>
      <c r="BC32" s="354">
        <v>20</v>
      </c>
      <c r="BD32" s="354">
        <v>20</v>
      </c>
      <c r="BE32" s="354">
        <v>30</v>
      </c>
      <c r="BF32" s="354">
        <v>0</v>
      </c>
      <c r="BG32" s="354">
        <v>99</v>
      </c>
      <c r="BH32" s="354">
        <v>0</v>
      </c>
      <c r="BI32" s="354">
        <v>0.5</v>
      </c>
      <c r="BJ32" s="354">
        <v>50</v>
      </c>
      <c r="BK32" s="354">
        <v>45</v>
      </c>
      <c r="BL32" s="354">
        <v>1</v>
      </c>
      <c r="BM32" s="354">
        <v>18</v>
      </c>
      <c r="BN32" s="354">
        <v>0</v>
      </c>
      <c r="BO32" s="354">
        <v>120</v>
      </c>
      <c r="BP32" s="354">
        <v>140</v>
      </c>
      <c r="BQ32" s="354">
        <v>270</v>
      </c>
      <c r="BR32" s="354">
        <v>290</v>
      </c>
      <c r="BS32" s="354">
        <v>0</v>
      </c>
      <c r="BT32" s="354">
        <v>-2.1097120770000002</v>
      </c>
      <c r="BU32" s="354">
        <v>343.56976939999998</v>
      </c>
      <c r="BV32" s="354">
        <v>100</v>
      </c>
      <c r="BW32" s="354">
        <v>0.25</v>
      </c>
      <c r="BX32" s="355">
        <v>45.848999999999997</v>
      </c>
      <c r="BY32" s="355">
        <v>110</v>
      </c>
      <c r="BZ32" s="355">
        <v>180</v>
      </c>
      <c r="CA32" s="357">
        <v>0</v>
      </c>
      <c r="CB32" s="355">
        <v>-0.37</v>
      </c>
      <c r="CC32" s="355">
        <v>0.12</v>
      </c>
      <c r="CD32" s="355">
        <v>40.4</v>
      </c>
      <c r="CE32" s="355">
        <v>24800</v>
      </c>
      <c r="CF32" s="357">
        <v>5</v>
      </c>
      <c r="CG32" s="355">
        <v>2</v>
      </c>
      <c r="CH32" s="367">
        <f>IF(CU32=1,CH26,CH28)</f>
        <v>5.0000000000000001E-3</v>
      </c>
      <c r="CI32" s="355">
        <v>0.4</v>
      </c>
      <c r="CJ32" s="355">
        <v>0.15</v>
      </c>
      <c r="CK32" s="355">
        <v>700</v>
      </c>
      <c r="CL32" s="355">
        <v>5</v>
      </c>
      <c r="CM32" s="358">
        <v>0.2</v>
      </c>
      <c r="CN32" s="355">
        <v>0.4</v>
      </c>
      <c r="CO32" s="355">
        <v>0.15</v>
      </c>
      <c r="CP32" s="355">
        <v>0.3</v>
      </c>
      <c r="CQ32" s="359">
        <v>1</v>
      </c>
      <c r="CR32" s="358">
        <v>1E-3</v>
      </c>
      <c r="CS32" s="355">
        <v>0.4</v>
      </c>
      <c r="CT32" s="355">
        <v>0.15</v>
      </c>
      <c r="CU32" s="357">
        <v>1</v>
      </c>
      <c r="CV32" s="365">
        <f>IF(CU32=1,'Fractal shoot'!M5,CF32*Branch_m*CH32*CH32*3.1416/4*CJ32*1000)</f>
        <v>5.1495532504182151</v>
      </c>
      <c r="CW32" s="365">
        <f>IF(CU32=1,'Fractal shoot'!M4,CF32*Branch_m*CH32*CH32*3.1416/4*CI32*1000)</f>
        <v>13.732142001115243</v>
      </c>
      <c r="CX32" s="365">
        <f>IF(CU32=1,'Fractal shoot'!M3,Trunk_m*dbh*dbh*CO32*3.1416/4*1000*(2-CP32)*CP32)</f>
        <v>11.912634595247509</v>
      </c>
      <c r="CY32" s="365">
        <f>IF(CU32=1,'Fractal shoot'!M2,Trunk_m*dbh*dbh*CN32*3.1416/4*1000*(2-CP32)*CP32)</f>
        <v>31.767025587326692</v>
      </c>
      <c r="CZ32" s="360">
        <f>'Fractal root'!M3</f>
        <v>3.4564156742065451</v>
      </c>
      <c r="DA32" s="360">
        <f>'Fractal root'!M2</f>
        <v>9.2171084645507868</v>
      </c>
      <c r="DB32" s="365">
        <f>IF(CU32=1,'Fractal shoot'!M7,CF32*Branch_m*CH32*3.1416)</f>
        <v>8.5567419750545852</v>
      </c>
      <c r="DC32" s="365">
        <f>IF(CU32=1,'Fractal shoot'!M6,Trunk_m*dbh*3.1416)</f>
        <v>3.1144142732673252</v>
      </c>
      <c r="DD32" s="365">
        <f>'Fractal root'!M4</f>
        <v>21.386396995059897</v>
      </c>
      <c r="DE32" s="365">
        <f>'Fractal root'!B4</f>
        <v>6</v>
      </c>
      <c r="DF32" s="365">
        <f>'Fractal root'!M5</f>
        <v>4162.9614819262424</v>
      </c>
      <c r="DG32" s="365">
        <f>'Fractal root'!M6</f>
        <v>8.5608478174381986E-4</v>
      </c>
      <c r="DH32" s="360">
        <f>IF(CU32=1,1/'Fractal shoot'!E9,CF32*CH32*CH32*3.1416/4/Branch_m*ET32)</f>
        <v>303.41047856943698</v>
      </c>
      <c r="DI32" s="360">
        <f>IF(CU32=1,1/'Fractal shoot'!E10,EU32*dbh*dbh*3.1416/4/Trunk_m*(2-CP32)*CP32)</f>
        <v>923.35912749750116</v>
      </c>
      <c r="DJ32" s="360">
        <f>1/'Fractal root'!E8</f>
        <v>1338.5571831975667</v>
      </c>
      <c r="DK32" s="355">
        <v>200</v>
      </c>
      <c r="DL32" s="355">
        <v>10</v>
      </c>
      <c r="DM32" s="355">
        <v>6.0000000000000001E-3</v>
      </c>
      <c r="DN32" s="357">
        <v>1</v>
      </c>
      <c r="DO32" s="355">
        <v>25</v>
      </c>
      <c r="DP32" s="355">
        <v>17</v>
      </c>
      <c r="DQ32" s="355">
        <v>3</v>
      </c>
      <c r="DR32" s="355">
        <v>35</v>
      </c>
      <c r="DS32" s="355">
        <v>1.2</v>
      </c>
      <c r="DT32" s="355">
        <v>4.8</v>
      </c>
      <c r="DU32" s="355">
        <v>1</v>
      </c>
      <c r="DV32" s="355">
        <v>1</v>
      </c>
      <c r="DW32" s="355">
        <v>0</v>
      </c>
      <c r="DX32" s="355">
        <v>0</v>
      </c>
      <c r="DY32" s="361">
        <v>2.35E-7</v>
      </c>
      <c r="DZ32" s="362">
        <v>0.9</v>
      </c>
      <c r="EA32" s="362">
        <v>0.01</v>
      </c>
      <c r="EB32" s="362">
        <v>0.01</v>
      </c>
      <c r="EC32" s="362">
        <v>0.01</v>
      </c>
      <c r="ED32" s="362">
        <v>0.01</v>
      </c>
      <c r="EE32" s="363">
        <v>0.41499999999999998</v>
      </c>
      <c r="EF32" s="363">
        <v>3</v>
      </c>
      <c r="EG32" s="363">
        <v>1</v>
      </c>
      <c r="EH32" s="363">
        <v>1</v>
      </c>
      <c r="EI32" s="364">
        <v>1</v>
      </c>
      <c r="EJ32" s="363">
        <v>0</v>
      </c>
      <c r="EK32" s="363">
        <v>10</v>
      </c>
      <c r="EL32" s="363">
        <v>10</v>
      </c>
      <c r="EM32" s="363">
        <v>10</v>
      </c>
      <c r="EN32" s="363">
        <v>10</v>
      </c>
      <c r="EO32" s="363">
        <v>-3</v>
      </c>
      <c r="EP32" s="363">
        <v>-3</v>
      </c>
      <c r="EQ32" s="363">
        <v>-3</v>
      </c>
      <c r="ER32" s="363">
        <v>-3</v>
      </c>
      <c r="ES32" s="363">
        <v>2</v>
      </c>
      <c r="ET32" s="361">
        <v>10000</v>
      </c>
      <c r="EU32" s="361">
        <v>10000</v>
      </c>
      <c r="EV32" s="361">
        <v>20000</v>
      </c>
      <c r="EW32" s="363">
        <v>2</v>
      </c>
      <c r="EX32" s="363">
        <v>10</v>
      </c>
      <c r="EY32" s="363">
        <v>10</v>
      </c>
      <c r="EZ32" s="363">
        <v>2</v>
      </c>
      <c r="FA32" s="354">
        <v>-6.5</v>
      </c>
      <c r="FB32" s="354">
        <v>-6.5</v>
      </c>
      <c r="FC32" s="354">
        <v>-6.5</v>
      </c>
      <c r="FD32" s="354">
        <v>-6.5</v>
      </c>
      <c r="FE32" s="354">
        <v>25</v>
      </c>
      <c r="FF32" s="354">
        <v>25</v>
      </c>
      <c r="FG32" s="354">
        <v>25</v>
      </c>
      <c r="FH32" s="354">
        <v>25</v>
      </c>
      <c r="FI32" s="354">
        <v>0</v>
      </c>
      <c r="FJ32" s="360">
        <f>ET32/0.3*CH32*CH32*3.1416/4</f>
        <v>0.65450000000000008</v>
      </c>
      <c r="FK32" s="362">
        <f>2.61*FR32*FR32*3.1416/4</f>
        <v>1.8449045999999998E-3</v>
      </c>
      <c r="FL32" s="362">
        <v>7.55</v>
      </c>
      <c r="FM32" s="358">
        <v>-1.25</v>
      </c>
      <c r="FN32" s="355">
        <v>-3.57</v>
      </c>
      <c r="FO32" s="355">
        <v>75</v>
      </c>
      <c r="FP32" s="355">
        <v>7.48</v>
      </c>
      <c r="FQ32" s="362">
        <v>0.01</v>
      </c>
      <c r="FR32" s="358">
        <v>0.03</v>
      </c>
      <c r="FS32" s="355">
        <v>0.5</v>
      </c>
      <c r="FT32" s="355">
        <v>0</v>
      </c>
      <c r="FU32" s="355">
        <v>0.5</v>
      </c>
      <c r="FV32" s="355">
        <v>0</v>
      </c>
      <c r="FW32" s="355">
        <v>0</v>
      </c>
      <c r="FX32" s="355">
        <v>0</v>
      </c>
      <c r="FY32" s="355">
        <v>0</v>
      </c>
      <c r="FZ32" s="326"/>
      <c r="GA32" s="327"/>
      <c r="GB32" s="95"/>
      <c r="GC32" s="95"/>
      <c r="GD32" s="95"/>
      <c r="GE32" s="95"/>
      <c r="GF32" s="95"/>
      <c r="GG32" s="95"/>
      <c r="GH32" s="284"/>
      <c r="GI32" s="69"/>
      <c r="GJ32" s="71"/>
      <c r="GK32" s="72"/>
      <c r="GL32" s="71"/>
      <c r="GM32" s="71"/>
      <c r="GN32" s="71"/>
      <c r="GO32" s="71"/>
      <c r="GP32" s="72"/>
      <c r="GQ32" s="72"/>
      <c r="GR32" s="72"/>
      <c r="GS32" s="72"/>
      <c r="GT32" s="67"/>
      <c r="GU32" s="67"/>
      <c r="GV32" s="67"/>
      <c r="GW32" s="67"/>
      <c r="GX32" s="67"/>
      <c r="GY32" s="67"/>
      <c r="GZ32" s="67"/>
      <c r="HA32" s="67"/>
      <c r="HB32" s="67"/>
      <c r="HC32" s="67"/>
      <c r="HD32" s="67"/>
      <c r="HE32" s="67"/>
      <c r="HF32" s="71"/>
      <c r="HG32" s="71"/>
      <c r="HH32" s="71"/>
      <c r="HI32" s="71"/>
      <c r="HJ32" s="70"/>
      <c r="HK32" s="70"/>
      <c r="HL32" s="70"/>
      <c r="HM32" s="70"/>
      <c r="HN32" s="70"/>
      <c r="HO32" s="70"/>
      <c r="HP32" s="73"/>
      <c r="HQ32" s="74"/>
    </row>
    <row r="33" spans="1:225" s="75" customFormat="1">
      <c r="A33" s="95" t="s">
        <v>889</v>
      </c>
      <c r="B33" s="354">
        <v>1</v>
      </c>
      <c r="C33" s="354">
        <v>0</v>
      </c>
      <c r="D33" s="354">
        <v>1</v>
      </c>
      <c r="E33" s="354">
        <v>1</v>
      </c>
      <c r="F33" s="354">
        <v>0</v>
      </c>
      <c r="G33" s="354">
        <v>0</v>
      </c>
      <c r="H33" s="354">
        <v>0</v>
      </c>
      <c r="I33" s="354">
        <v>1</v>
      </c>
      <c r="J33" s="354">
        <v>99</v>
      </c>
      <c r="K33" s="354">
        <v>0</v>
      </c>
      <c r="L33" s="354">
        <v>0.01</v>
      </c>
      <c r="M33" s="354">
        <v>1</v>
      </c>
      <c r="N33" s="355">
        <v>12</v>
      </c>
      <c r="O33" s="354">
        <v>0</v>
      </c>
      <c r="P33" s="354">
        <v>1</v>
      </c>
      <c r="Q33" s="354">
        <v>1</v>
      </c>
      <c r="R33" s="354">
        <v>1</v>
      </c>
      <c r="S33" s="354">
        <v>1</v>
      </c>
      <c r="T33" s="354">
        <v>1</v>
      </c>
      <c r="U33" s="354">
        <v>0</v>
      </c>
      <c r="V33" s="354">
        <v>1</v>
      </c>
      <c r="W33" s="354">
        <v>5</v>
      </c>
      <c r="X33" s="354">
        <v>5</v>
      </c>
      <c r="Y33" s="356">
        <v>-4.3</v>
      </c>
      <c r="Z33" s="356">
        <v>-2</v>
      </c>
      <c r="AA33" s="356">
        <v>-3.03</v>
      </c>
      <c r="AB33" s="356">
        <v>180</v>
      </c>
      <c r="AC33" s="356">
        <v>45</v>
      </c>
      <c r="AD33" s="355">
        <v>20</v>
      </c>
      <c r="AE33" s="355">
        <v>30</v>
      </c>
      <c r="AF33" s="355">
        <v>30</v>
      </c>
      <c r="AG33" s="355">
        <v>90</v>
      </c>
      <c r="AH33" s="355">
        <v>1200</v>
      </c>
      <c r="AI33" s="355">
        <v>1</v>
      </c>
      <c r="AJ33" s="357">
        <v>0</v>
      </c>
      <c r="AK33" s="355">
        <v>3</v>
      </c>
      <c r="AL33" s="355">
        <v>3</v>
      </c>
      <c r="AM33" s="355">
        <v>15</v>
      </c>
      <c r="AN33" s="354">
        <v>0.45900000000000002</v>
      </c>
      <c r="AO33" s="354">
        <v>9.8000000000000004E-2</v>
      </c>
      <c r="AP33" s="354">
        <v>1.4999999999999999E-2</v>
      </c>
      <c r="AQ33" s="354">
        <v>1.2529999999999999</v>
      </c>
      <c r="AR33" s="354">
        <v>1.69</v>
      </c>
      <c r="AS33" s="354">
        <v>0.5</v>
      </c>
      <c r="AT33" s="354">
        <v>1</v>
      </c>
      <c r="AU33" s="354">
        <v>0</v>
      </c>
      <c r="AV33" s="354">
        <v>100</v>
      </c>
      <c r="AW33" s="354">
        <v>0</v>
      </c>
      <c r="AX33" s="354">
        <v>20</v>
      </c>
      <c r="AY33" s="354">
        <v>2</v>
      </c>
      <c r="AZ33" s="354">
        <v>1</v>
      </c>
      <c r="BA33" s="354">
        <v>0</v>
      </c>
      <c r="BB33" s="354">
        <v>0.99</v>
      </c>
      <c r="BC33" s="354">
        <v>20</v>
      </c>
      <c r="BD33" s="354">
        <v>20</v>
      </c>
      <c r="BE33" s="354">
        <v>30</v>
      </c>
      <c r="BF33" s="354">
        <v>0</v>
      </c>
      <c r="BG33" s="354">
        <v>99</v>
      </c>
      <c r="BH33" s="354">
        <v>0</v>
      </c>
      <c r="BI33" s="354">
        <v>0.5</v>
      </c>
      <c r="BJ33" s="354">
        <v>50</v>
      </c>
      <c r="BK33" s="354">
        <v>45</v>
      </c>
      <c r="BL33" s="354">
        <v>1</v>
      </c>
      <c r="BM33" s="354">
        <v>18</v>
      </c>
      <c r="BN33" s="354">
        <v>0</v>
      </c>
      <c r="BO33" s="354">
        <v>120</v>
      </c>
      <c r="BP33" s="354">
        <v>140</v>
      </c>
      <c r="BQ33" s="354">
        <v>270</v>
      </c>
      <c r="BR33" s="354">
        <v>290</v>
      </c>
      <c r="BS33" s="354">
        <v>0</v>
      </c>
      <c r="BT33" s="354">
        <v>-2.1097120770000002</v>
      </c>
      <c r="BU33" s="354">
        <v>343.56976939999998</v>
      </c>
      <c r="BV33" s="354">
        <v>100</v>
      </c>
      <c r="BW33" s="354">
        <v>0.25</v>
      </c>
      <c r="BX33" s="355">
        <v>45.848999999999997</v>
      </c>
      <c r="BY33" s="355">
        <v>110</v>
      </c>
      <c r="BZ33" s="355">
        <v>180</v>
      </c>
      <c r="CA33" s="357">
        <v>0</v>
      </c>
      <c r="CB33" s="355">
        <v>-0.37</v>
      </c>
      <c r="CC33" s="355">
        <v>0.12</v>
      </c>
      <c r="CD33" s="355">
        <v>40.4</v>
      </c>
      <c r="CE33" s="355">
        <v>24800</v>
      </c>
      <c r="CF33" s="357">
        <v>5</v>
      </c>
      <c r="CG33" s="355">
        <v>2</v>
      </c>
      <c r="CH33" s="358">
        <f>CH32</f>
        <v>5.0000000000000001E-3</v>
      </c>
      <c r="CI33" s="355">
        <v>0.4</v>
      </c>
      <c r="CJ33" s="355">
        <v>0.15</v>
      </c>
      <c r="CK33" s="355">
        <v>700</v>
      </c>
      <c r="CL33" s="355">
        <v>5</v>
      </c>
      <c r="CM33" s="358">
        <v>0.2</v>
      </c>
      <c r="CN33" s="355">
        <v>0.4</v>
      </c>
      <c r="CO33" s="355">
        <v>0.15</v>
      </c>
      <c r="CP33" s="355">
        <v>0.3</v>
      </c>
      <c r="CQ33" s="359">
        <v>1</v>
      </c>
      <c r="CR33" s="358">
        <v>1E-3</v>
      </c>
      <c r="CS33" s="355">
        <v>0.4</v>
      </c>
      <c r="CT33" s="355">
        <v>0.15</v>
      </c>
      <c r="CU33" s="355">
        <v>1</v>
      </c>
      <c r="CV33" s="365">
        <v>2.9452500000000006E-5</v>
      </c>
      <c r="CW33" s="365">
        <v>7.8540000000000017E-5</v>
      </c>
      <c r="CX33" s="365">
        <v>2.9452500000000003E-5</v>
      </c>
      <c r="CY33" s="365">
        <v>7.8540000000000017E-5</v>
      </c>
      <c r="CZ33" s="365">
        <v>1.362402497224309E-2</v>
      </c>
      <c r="DA33" s="365">
        <v>3.6330733259314914E-2</v>
      </c>
      <c r="DB33" s="365">
        <v>1.5708000000000001E-4</v>
      </c>
      <c r="DC33" s="365">
        <v>1.5708000000000001E-4</v>
      </c>
      <c r="DD33" s="365">
        <v>0.31219666191670598</v>
      </c>
      <c r="DE33" s="365">
        <v>1.6666666666666666E-2</v>
      </c>
      <c r="DF33" s="365">
        <v>86.684334632569588</v>
      </c>
      <c r="DG33" s="365">
        <v>5.397490528809344E-4</v>
      </c>
      <c r="DH33" s="360">
        <v>196.35</v>
      </c>
      <c r="DI33" s="360">
        <v>196.35</v>
      </c>
      <c r="DJ33" s="360">
        <v>318.94744950863196</v>
      </c>
      <c r="DK33" s="355">
        <v>200</v>
      </c>
      <c r="DL33" s="355">
        <v>10</v>
      </c>
      <c r="DM33" s="355">
        <v>6.0000000000000001E-3</v>
      </c>
      <c r="DN33" s="357">
        <v>1</v>
      </c>
      <c r="DO33" s="355">
        <v>25</v>
      </c>
      <c r="DP33" s="355">
        <v>17</v>
      </c>
      <c r="DQ33" s="355">
        <v>3</v>
      </c>
      <c r="DR33" s="355">
        <v>35</v>
      </c>
      <c r="DS33" s="355">
        <v>1.2</v>
      </c>
      <c r="DT33" s="355">
        <v>4.8</v>
      </c>
      <c r="DU33" s="355">
        <v>1</v>
      </c>
      <c r="DV33" s="355">
        <v>1</v>
      </c>
      <c r="DW33" s="355">
        <v>0</v>
      </c>
      <c r="DX33" s="355">
        <v>0</v>
      </c>
      <c r="DY33" s="361">
        <v>2.35E-7</v>
      </c>
      <c r="DZ33" s="362">
        <v>0.9</v>
      </c>
      <c r="EA33" s="362">
        <v>0.01</v>
      </c>
      <c r="EB33" s="362">
        <v>0.01</v>
      </c>
      <c r="EC33" s="362">
        <v>0.01</v>
      </c>
      <c r="ED33" s="362">
        <v>0.01</v>
      </c>
      <c r="EE33" s="363">
        <v>0.41499999999999998</v>
      </c>
      <c r="EF33" s="363">
        <v>3</v>
      </c>
      <c r="EG33" s="363">
        <v>1</v>
      </c>
      <c r="EH33" s="363">
        <v>1</v>
      </c>
      <c r="EI33" s="364">
        <v>1</v>
      </c>
      <c r="EJ33" s="363">
        <v>0</v>
      </c>
      <c r="EK33" s="363">
        <v>10</v>
      </c>
      <c r="EL33" s="363">
        <v>10</v>
      </c>
      <c r="EM33" s="363">
        <v>10</v>
      </c>
      <c r="EN33" s="363">
        <v>10</v>
      </c>
      <c r="EO33" s="363">
        <v>-3</v>
      </c>
      <c r="EP33" s="363">
        <v>-3</v>
      </c>
      <c r="EQ33" s="363">
        <v>-3</v>
      </c>
      <c r="ER33" s="363">
        <v>-3</v>
      </c>
      <c r="ES33" s="363">
        <v>2</v>
      </c>
      <c r="ET33" s="361">
        <v>10000</v>
      </c>
      <c r="EU33" s="361">
        <v>10000</v>
      </c>
      <c r="EV33" s="361">
        <v>20000</v>
      </c>
      <c r="EW33" s="363">
        <v>2</v>
      </c>
      <c r="EX33" s="363">
        <v>10</v>
      </c>
      <c r="EY33" s="363">
        <v>10</v>
      </c>
      <c r="EZ33" s="363">
        <v>2</v>
      </c>
      <c r="FA33" s="354">
        <v>-6.5</v>
      </c>
      <c r="FB33" s="354">
        <v>-6.5</v>
      </c>
      <c r="FC33" s="354">
        <v>-6.5</v>
      </c>
      <c r="FD33" s="354">
        <v>-6.5</v>
      </c>
      <c r="FE33" s="354">
        <v>25</v>
      </c>
      <c r="FF33" s="354">
        <v>25</v>
      </c>
      <c r="FG33" s="354">
        <v>25</v>
      </c>
      <c r="FH33" s="354">
        <v>25</v>
      </c>
      <c r="FI33" s="354">
        <v>0</v>
      </c>
      <c r="FJ33" s="362">
        <v>6.5450000000000017</v>
      </c>
      <c r="FK33" s="362">
        <v>1.8449045999999998E-3</v>
      </c>
      <c r="FL33" s="362">
        <v>7.55</v>
      </c>
      <c r="FM33" s="358">
        <v>-1.25</v>
      </c>
      <c r="FN33" s="355">
        <v>-3.57</v>
      </c>
      <c r="FO33" s="355">
        <v>75</v>
      </c>
      <c r="FP33" s="355">
        <v>7.48</v>
      </c>
      <c r="FQ33" s="362">
        <v>0.01</v>
      </c>
      <c r="FR33" s="358">
        <v>0.03</v>
      </c>
      <c r="FS33" s="355">
        <v>0.5</v>
      </c>
      <c r="FT33" s="355">
        <v>0</v>
      </c>
      <c r="FU33" s="355">
        <v>0.5</v>
      </c>
      <c r="FV33" s="355">
        <v>0</v>
      </c>
      <c r="FW33" s="355">
        <v>0</v>
      </c>
      <c r="FX33" s="355">
        <v>0</v>
      </c>
      <c r="FY33" s="355">
        <v>0</v>
      </c>
      <c r="FZ33" s="185"/>
      <c r="GA33" s="126"/>
      <c r="GB33" s="95"/>
      <c r="GC33" s="95"/>
      <c r="GD33" s="95"/>
      <c r="GE33" s="95"/>
      <c r="GF33" s="95"/>
      <c r="GG33" s="95"/>
      <c r="GH33" s="284"/>
      <c r="GI33" s="71"/>
      <c r="GJ33" s="72"/>
      <c r="GK33" s="71"/>
      <c r="GL33" s="71"/>
      <c r="GM33" s="71"/>
      <c r="GN33" s="71"/>
      <c r="GO33" s="72"/>
      <c r="GP33" s="72"/>
      <c r="GQ33" s="72"/>
      <c r="GR33" s="72"/>
      <c r="GS33" s="67"/>
      <c r="GT33" s="67"/>
      <c r="GU33" s="67"/>
      <c r="GV33" s="67"/>
      <c r="GW33" s="67"/>
      <c r="GX33" s="67"/>
      <c r="GY33" s="67"/>
      <c r="GZ33" s="67"/>
      <c r="HA33" s="67"/>
      <c r="HB33" s="67"/>
      <c r="HC33" s="67"/>
      <c r="HD33" s="67"/>
      <c r="HE33" s="71"/>
      <c r="HF33" s="71"/>
      <c r="HG33" s="71"/>
      <c r="HH33" s="71"/>
      <c r="HI33" s="70"/>
      <c r="HJ33" s="70"/>
      <c r="HK33" s="70"/>
      <c r="HL33" s="70"/>
      <c r="HM33" s="70"/>
      <c r="HN33" s="70"/>
      <c r="HO33" s="73"/>
      <c r="HP33" s="74"/>
    </row>
    <row r="34" spans="1:225" s="75" customFormat="1">
      <c r="A34" s="95"/>
      <c r="B34" s="173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85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328"/>
      <c r="Z34" s="328"/>
      <c r="AA34" s="328"/>
      <c r="AB34" s="328"/>
      <c r="AC34" s="328"/>
      <c r="AD34" s="185"/>
      <c r="AE34" s="185"/>
      <c r="AF34" s="185"/>
      <c r="AG34" s="185"/>
      <c r="AH34" s="185"/>
      <c r="AI34" s="185"/>
      <c r="AJ34" s="329"/>
      <c r="AK34" s="185"/>
      <c r="AL34" s="185"/>
      <c r="AM34" s="185"/>
      <c r="AN34" s="173"/>
      <c r="AO34" s="173"/>
      <c r="AP34" s="173"/>
      <c r="AQ34" s="173"/>
      <c r="AR34" s="173"/>
      <c r="AS34" s="173"/>
      <c r="AT34" s="173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  <c r="BJ34" s="173"/>
      <c r="BK34" s="173"/>
      <c r="BL34" s="173"/>
      <c r="BM34" s="173"/>
      <c r="BN34" s="173"/>
      <c r="BO34" s="173"/>
      <c r="BP34" s="173"/>
      <c r="BQ34" s="173"/>
      <c r="BR34" s="173"/>
      <c r="BS34" s="173"/>
      <c r="BT34" s="173"/>
      <c r="BU34" s="173"/>
      <c r="BV34" s="173"/>
      <c r="BW34" s="173"/>
      <c r="BX34" s="185"/>
      <c r="BY34" s="185"/>
      <c r="BZ34" s="185"/>
      <c r="CA34" s="329"/>
      <c r="CB34" s="185"/>
      <c r="CC34" s="185"/>
      <c r="CD34" s="185"/>
      <c r="CE34" s="185"/>
      <c r="CF34" s="329"/>
      <c r="CG34" s="185"/>
      <c r="CH34" s="330"/>
      <c r="CI34" s="185"/>
      <c r="CJ34" s="185"/>
      <c r="CK34" s="185"/>
      <c r="CL34" s="185"/>
      <c r="CM34" s="330"/>
      <c r="CN34" s="185"/>
      <c r="CO34" s="185"/>
      <c r="CP34" s="185"/>
      <c r="CQ34" s="185"/>
      <c r="CR34" s="330"/>
      <c r="CS34" s="185"/>
      <c r="CT34" s="185"/>
      <c r="CU34" s="185"/>
      <c r="CV34" s="185"/>
      <c r="CW34" s="185"/>
      <c r="CX34" s="185"/>
      <c r="CY34" s="185"/>
      <c r="CZ34" s="185"/>
      <c r="DA34" s="185"/>
      <c r="DB34" s="185"/>
      <c r="DC34" s="185"/>
      <c r="DD34" s="185"/>
      <c r="DE34" s="185"/>
      <c r="DF34" s="185"/>
      <c r="DG34" s="330"/>
      <c r="DH34" s="185"/>
      <c r="DI34" s="185"/>
      <c r="DJ34" s="185"/>
      <c r="DK34" s="185"/>
      <c r="DL34" s="185"/>
      <c r="DM34" s="185"/>
      <c r="DN34" s="329"/>
      <c r="DO34" s="185"/>
      <c r="DP34" s="185"/>
      <c r="DQ34" s="185"/>
      <c r="DR34" s="185"/>
      <c r="DS34" s="185"/>
      <c r="DT34" s="185"/>
      <c r="DU34" s="185"/>
      <c r="DV34" s="185"/>
      <c r="DW34" s="185"/>
      <c r="DX34" s="185"/>
      <c r="DY34" s="331"/>
      <c r="DZ34" s="174"/>
      <c r="EA34" s="174"/>
      <c r="EB34" s="174"/>
      <c r="EC34" s="174"/>
      <c r="ED34" s="174"/>
      <c r="EE34" s="332"/>
      <c r="EF34" s="332"/>
      <c r="EG34" s="332"/>
      <c r="EH34" s="332"/>
      <c r="EI34" s="126"/>
      <c r="EJ34" s="332"/>
      <c r="EK34" s="332"/>
      <c r="EL34" s="332"/>
      <c r="EM34" s="332"/>
      <c r="EN34" s="332"/>
      <c r="EO34" s="332"/>
      <c r="EP34" s="332"/>
      <c r="EQ34" s="332"/>
      <c r="ER34" s="332"/>
      <c r="ES34" s="332"/>
      <c r="ET34" s="331"/>
      <c r="EU34" s="331"/>
      <c r="EV34" s="331"/>
      <c r="EW34" s="332"/>
      <c r="EX34" s="332"/>
      <c r="EY34" s="332"/>
      <c r="EZ34" s="332"/>
      <c r="FA34" s="173"/>
      <c r="FB34" s="173"/>
      <c r="FC34" s="173"/>
      <c r="FD34" s="173"/>
      <c r="FE34" s="173"/>
      <c r="FF34" s="173"/>
      <c r="FG34" s="173"/>
      <c r="FH34" s="173"/>
      <c r="FI34" s="173"/>
      <c r="FJ34" s="174"/>
      <c r="FK34" s="174"/>
      <c r="FL34" s="174"/>
      <c r="FM34" s="330"/>
      <c r="FN34" s="185"/>
      <c r="FO34" s="185"/>
      <c r="FP34" s="185"/>
      <c r="FQ34" s="174"/>
      <c r="FR34" s="330"/>
      <c r="FS34" s="185"/>
      <c r="FT34" s="185"/>
      <c r="FU34" s="185"/>
      <c r="FV34" s="185"/>
      <c r="FW34" s="185"/>
      <c r="FX34" s="185"/>
      <c r="FY34" s="185"/>
      <c r="FZ34" s="185"/>
      <c r="GA34" s="126"/>
      <c r="GB34" s="95"/>
      <c r="GC34" s="95"/>
      <c r="GD34" s="95"/>
      <c r="GE34" s="95"/>
      <c r="GF34" s="95"/>
      <c r="GG34" s="95"/>
      <c r="GH34" s="284"/>
      <c r="GI34" s="71"/>
      <c r="GJ34" s="72"/>
      <c r="GK34" s="71"/>
      <c r="GL34" s="71"/>
      <c r="GM34" s="71"/>
      <c r="GN34" s="71"/>
      <c r="GO34" s="72"/>
      <c r="GP34" s="72"/>
      <c r="GQ34" s="72"/>
      <c r="GR34" s="72"/>
      <c r="GS34" s="67"/>
      <c r="GT34" s="67"/>
      <c r="GU34" s="67"/>
      <c r="GV34" s="67"/>
      <c r="GW34" s="67"/>
      <c r="GX34" s="67"/>
      <c r="GY34" s="67"/>
      <c r="GZ34" s="67"/>
      <c r="HA34" s="67"/>
      <c r="HB34" s="67"/>
      <c r="HC34" s="67"/>
      <c r="HD34" s="67"/>
      <c r="HE34" s="71"/>
      <c r="HF34" s="71"/>
      <c r="HG34" s="71"/>
      <c r="HH34" s="71"/>
      <c r="HI34" s="70"/>
      <c r="HJ34" s="70"/>
      <c r="HK34" s="70"/>
      <c r="HL34" s="70"/>
      <c r="HM34" s="70"/>
      <c r="HN34" s="70"/>
      <c r="HO34" s="73"/>
      <c r="HP34" s="74"/>
    </row>
    <row r="35" spans="1:225" s="75" customFormat="1">
      <c r="A35" s="95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74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333"/>
      <c r="Z35" s="333"/>
      <c r="AA35" s="333"/>
      <c r="AB35" s="333"/>
      <c r="AC35" s="333"/>
      <c r="AD35" s="74"/>
      <c r="AE35" s="74"/>
      <c r="AF35" s="74"/>
      <c r="AG35" s="74"/>
      <c r="AH35" s="74"/>
      <c r="AI35" s="74"/>
      <c r="AJ35" s="329"/>
      <c r="AK35" s="185"/>
      <c r="AL35" s="185"/>
      <c r="AM35" s="185"/>
      <c r="AN35" s="68"/>
      <c r="AO35" s="68"/>
      <c r="AP35" s="68"/>
      <c r="AQ35" s="68"/>
      <c r="AR35" s="68"/>
      <c r="AS35" s="68"/>
      <c r="AT35" s="173"/>
      <c r="AU35" s="173"/>
      <c r="AV35" s="173"/>
      <c r="AW35" s="68"/>
      <c r="AX35" s="68"/>
      <c r="AY35" s="68"/>
      <c r="AZ35" s="68"/>
      <c r="BA35" s="68"/>
      <c r="BB35" s="68"/>
      <c r="BC35" s="68"/>
      <c r="BD35" s="173"/>
      <c r="BE35" s="173"/>
      <c r="BF35" s="68"/>
      <c r="BG35" s="68"/>
      <c r="BH35" s="173"/>
      <c r="BI35" s="173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74"/>
      <c r="BY35" s="74"/>
      <c r="BZ35" s="74"/>
      <c r="CA35" s="74"/>
      <c r="CB35" s="74"/>
      <c r="CC35" s="74"/>
      <c r="CD35" s="74"/>
      <c r="CE35" s="74"/>
      <c r="CF35" s="95"/>
      <c r="CG35" s="74"/>
      <c r="CH35" s="334"/>
      <c r="CI35" s="74"/>
      <c r="CJ35" s="74"/>
      <c r="CK35" s="74"/>
      <c r="CL35" s="74"/>
      <c r="CM35" s="334"/>
      <c r="CN35" s="74"/>
      <c r="CO35" s="74"/>
      <c r="CP35" s="74"/>
      <c r="CQ35" s="74"/>
      <c r="CR35" s="33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95"/>
      <c r="DO35" s="74"/>
      <c r="DP35" s="74"/>
      <c r="DQ35" s="74"/>
      <c r="DR35" s="335"/>
      <c r="DS35" s="74"/>
      <c r="DT35" s="74"/>
      <c r="DU35" s="74"/>
      <c r="DV35" s="74"/>
      <c r="DW35" s="74"/>
      <c r="DX35" s="74"/>
      <c r="DY35" s="69"/>
      <c r="DZ35" s="70"/>
      <c r="EA35" s="70"/>
      <c r="EB35" s="70"/>
      <c r="EC35" s="70"/>
      <c r="ED35" s="70"/>
      <c r="EE35" s="70"/>
      <c r="EF35" s="70"/>
      <c r="EG35" s="71"/>
      <c r="EH35" s="71"/>
      <c r="EI35" s="71"/>
      <c r="EJ35" s="71"/>
      <c r="EK35" s="71"/>
      <c r="EL35" s="71"/>
      <c r="EM35" s="71"/>
      <c r="EN35" s="71"/>
      <c r="EO35" s="332"/>
      <c r="EP35" s="71"/>
      <c r="EQ35" s="71"/>
      <c r="ER35" s="71"/>
      <c r="ES35" s="71"/>
      <c r="ET35" s="70"/>
      <c r="EU35" s="70"/>
      <c r="EV35" s="70"/>
      <c r="EW35" s="71"/>
      <c r="EX35" s="71"/>
      <c r="EY35" s="71"/>
      <c r="EZ35" s="71"/>
      <c r="FA35" s="336"/>
      <c r="FB35" s="336"/>
      <c r="FC35" s="336"/>
      <c r="FD35" s="336"/>
      <c r="FE35" s="68"/>
      <c r="FF35" s="68"/>
      <c r="FG35" s="68"/>
      <c r="FH35" s="68"/>
      <c r="FI35" s="173"/>
      <c r="FJ35" s="174"/>
      <c r="FK35" s="174"/>
      <c r="FL35" s="174"/>
      <c r="FM35" s="330"/>
      <c r="FN35" s="185"/>
      <c r="FO35" s="185"/>
      <c r="FP35" s="185"/>
      <c r="FQ35" s="174"/>
      <c r="FR35" s="330"/>
      <c r="FS35" s="185"/>
      <c r="FT35" s="185"/>
      <c r="FU35" s="185"/>
      <c r="FV35" s="185"/>
      <c r="FW35" s="185"/>
      <c r="FX35" s="185"/>
      <c r="FY35" s="185"/>
      <c r="FZ35" s="66"/>
      <c r="GA35" s="68"/>
      <c r="GB35" s="69"/>
      <c r="GC35" s="70"/>
      <c r="GD35" s="70"/>
      <c r="GE35" s="70"/>
      <c r="GF35" s="70"/>
      <c r="GG35" s="69"/>
      <c r="GH35" s="71"/>
      <c r="GI35" s="72"/>
      <c r="GJ35" s="71"/>
      <c r="GK35" s="71"/>
      <c r="GL35" s="71"/>
      <c r="GM35" s="71"/>
      <c r="GN35" s="72"/>
      <c r="GO35" s="72"/>
      <c r="GP35" s="72"/>
      <c r="GQ35" s="72"/>
      <c r="GR35" s="67"/>
      <c r="GS35" s="67"/>
      <c r="GT35" s="67"/>
      <c r="GU35" s="67"/>
      <c r="GV35" s="67"/>
      <c r="GW35" s="67"/>
      <c r="GX35" s="67"/>
      <c r="GY35" s="67"/>
      <c r="GZ35" s="67"/>
      <c r="HA35" s="67"/>
      <c r="HB35" s="67"/>
      <c r="HC35" s="67"/>
      <c r="HD35" s="71"/>
      <c r="HE35" s="71"/>
      <c r="HF35" s="71"/>
      <c r="HG35" s="71"/>
      <c r="HH35" s="70"/>
      <c r="HI35" s="70"/>
      <c r="HJ35" s="70"/>
      <c r="HK35" s="70"/>
      <c r="HL35" s="70"/>
      <c r="HM35" s="70"/>
      <c r="HN35" s="73"/>
      <c r="HO35" s="74"/>
    </row>
    <row r="36" spans="1:225" s="75" customFormat="1">
      <c r="A36" s="121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8"/>
      <c r="M36" s="68"/>
      <c r="N36" s="186"/>
      <c r="O36" s="63"/>
      <c r="P36" s="173"/>
      <c r="Q36" s="173"/>
      <c r="R36" s="173"/>
      <c r="S36" s="173"/>
      <c r="T36" s="173"/>
      <c r="U36" s="68"/>
      <c r="V36" s="68"/>
      <c r="W36" s="63"/>
      <c r="X36" s="337"/>
      <c r="Y36" s="333"/>
      <c r="Z36" s="333"/>
      <c r="AA36" s="333"/>
      <c r="AB36" s="333"/>
      <c r="AC36" s="333"/>
      <c r="AD36" s="186"/>
      <c r="AE36" s="186"/>
      <c r="AF36" s="186"/>
      <c r="AG36" s="186"/>
      <c r="AH36" s="186"/>
      <c r="AI36" s="186"/>
      <c r="AJ36" s="94"/>
      <c r="AK36" s="186"/>
      <c r="AL36" s="186"/>
      <c r="AM36" s="186"/>
      <c r="AN36" s="63"/>
      <c r="AO36" s="63"/>
      <c r="AP36" s="63"/>
      <c r="AQ36" s="63"/>
      <c r="AR36" s="63"/>
      <c r="AS36" s="63"/>
      <c r="AT36" s="173"/>
      <c r="AU36" s="173"/>
      <c r="AV36" s="173"/>
      <c r="AW36" s="68"/>
      <c r="AX36" s="68"/>
      <c r="AY36" s="68"/>
      <c r="AZ36" s="68"/>
      <c r="BA36" s="68"/>
      <c r="BB36" s="68"/>
      <c r="BC36" s="68"/>
      <c r="BD36" s="173"/>
      <c r="BE36" s="173"/>
      <c r="BF36" s="68"/>
      <c r="BG36" s="68"/>
      <c r="BH36" s="173"/>
      <c r="BI36" s="173"/>
      <c r="BJ36" s="63"/>
      <c r="BK36" s="68"/>
      <c r="BL36" s="68"/>
      <c r="BM36" s="68"/>
      <c r="BN36" s="68"/>
      <c r="BO36" s="68"/>
      <c r="BP36" s="68"/>
      <c r="BQ36" s="68"/>
      <c r="BR36" s="68"/>
      <c r="BS36" s="63"/>
      <c r="BT36" s="63"/>
      <c r="BU36" s="63"/>
      <c r="BV36" s="63"/>
      <c r="BW36" s="63"/>
      <c r="BX36" s="186"/>
      <c r="BY36" s="74"/>
      <c r="BZ36" s="74"/>
      <c r="CA36" s="74"/>
      <c r="CB36" s="74"/>
      <c r="CC36" s="74"/>
      <c r="CD36" s="74"/>
      <c r="CE36" s="74"/>
      <c r="CF36" s="94"/>
      <c r="CG36" s="186"/>
      <c r="CH36" s="175"/>
      <c r="CI36" s="186"/>
      <c r="CJ36" s="186"/>
      <c r="CK36" s="186"/>
      <c r="CL36" s="186"/>
      <c r="CM36" s="175"/>
      <c r="CN36" s="186"/>
      <c r="CO36" s="186"/>
      <c r="CP36" s="186"/>
      <c r="CQ36" s="186"/>
      <c r="CR36" s="175"/>
      <c r="CS36" s="186"/>
      <c r="CT36" s="186"/>
      <c r="CU36" s="186"/>
      <c r="CV36" s="186"/>
      <c r="CW36" s="186"/>
      <c r="CX36" s="186"/>
      <c r="CY36" s="186"/>
      <c r="CZ36" s="186"/>
      <c r="DA36" s="186"/>
      <c r="DB36" s="186"/>
      <c r="DC36" s="186"/>
      <c r="DD36" s="186"/>
      <c r="DE36" s="186"/>
      <c r="DF36" s="186"/>
      <c r="DG36" s="186"/>
      <c r="DH36" s="186"/>
      <c r="DI36" s="186"/>
      <c r="DJ36" s="186"/>
      <c r="DK36" s="186"/>
      <c r="DL36" s="185"/>
      <c r="DM36" s="74"/>
      <c r="DN36" s="95"/>
      <c r="DO36" s="186"/>
      <c r="DP36" s="186"/>
      <c r="DQ36" s="185"/>
      <c r="DR36" s="185"/>
      <c r="DS36" s="185"/>
      <c r="DT36" s="185"/>
      <c r="DU36" s="186"/>
      <c r="DV36" s="186"/>
      <c r="DW36" s="186"/>
      <c r="DX36" s="186"/>
      <c r="DY36" s="106"/>
      <c r="DZ36" s="176"/>
      <c r="EA36" s="70"/>
      <c r="EB36" s="70"/>
      <c r="EC36" s="70"/>
      <c r="ED36" s="70"/>
      <c r="EE36" s="70"/>
      <c r="EF36" s="70"/>
      <c r="EG36" s="338"/>
      <c r="EH36" s="338"/>
      <c r="EI36" s="338"/>
      <c r="EJ36" s="338"/>
      <c r="EK36" s="338"/>
      <c r="EL36" s="338"/>
      <c r="EM36" s="338"/>
      <c r="EN36" s="338"/>
      <c r="EO36" s="332"/>
      <c r="EP36" s="338"/>
      <c r="EQ36" s="338"/>
      <c r="ER36" s="338"/>
      <c r="ES36" s="332"/>
      <c r="ET36" s="331"/>
      <c r="EU36" s="331"/>
      <c r="EV36" s="331"/>
      <c r="EW36" s="332"/>
      <c r="EX36" s="332"/>
      <c r="EY36" s="332"/>
      <c r="EZ36" s="332"/>
      <c r="FA36" s="336"/>
      <c r="FB36" s="336"/>
      <c r="FC36" s="336"/>
      <c r="FD36" s="336"/>
      <c r="FE36" s="173"/>
      <c r="FF36" s="173"/>
      <c r="FG36" s="173"/>
      <c r="FH36" s="173"/>
      <c r="FI36" s="173"/>
      <c r="FJ36" s="174"/>
      <c r="FK36" s="174"/>
      <c r="FL36" s="174"/>
      <c r="FM36" s="175"/>
      <c r="FN36" s="66"/>
      <c r="FO36" s="66"/>
      <c r="FP36" s="66"/>
      <c r="FQ36" s="176"/>
      <c r="FR36" s="136"/>
      <c r="FS36" s="185"/>
      <c r="FT36" s="185"/>
      <c r="FU36" s="185"/>
      <c r="FV36" s="185"/>
      <c r="FW36" s="185"/>
      <c r="FX36" s="185"/>
      <c r="FY36" s="185"/>
      <c r="FZ36" s="68"/>
      <c r="GA36" s="69"/>
      <c r="GB36" s="70"/>
      <c r="GC36" s="70"/>
      <c r="GD36" s="70"/>
      <c r="GE36" s="70"/>
      <c r="GF36" s="69"/>
      <c r="GG36" s="71"/>
      <c r="GH36" s="72"/>
      <c r="GI36" s="71"/>
      <c r="GJ36" s="71"/>
      <c r="GK36" s="71"/>
      <c r="GL36" s="71"/>
      <c r="GM36" s="72"/>
      <c r="GN36" s="72"/>
      <c r="GO36" s="72"/>
      <c r="GP36" s="72"/>
      <c r="GQ36" s="67"/>
      <c r="GR36" s="67"/>
      <c r="GS36" s="67"/>
      <c r="GT36" s="67"/>
      <c r="GU36" s="67"/>
      <c r="GV36" s="67"/>
      <c r="GW36" s="67"/>
      <c r="GX36" s="67"/>
      <c r="GY36" s="67"/>
      <c r="GZ36" s="67"/>
      <c r="HA36" s="67"/>
      <c r="HB36" s="67"/>
      <c r="HC36" s="71"/>
      <c r="HD36" s="71"/>
      <c r="HE36" s="71"/>
      <c r="HF36" s="71"/>
      <c r="HG36" s="70"/>
      <c r="HH36" s="70"/>
      <c r="HI36" s="70"/>
      <c r="HJ36" s="70"/>
      <c r="HK36" s="70"/>
      <c r="HL36" s="70"/>
      <c r="HM36" s="73"/>
      <c r="HN36" s="74"/>
    </row>
    <row r="37" spans="1:225" s="75" customFormat="1">
      <c r="A37" s="121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8"/>
      <c r="M37" s="68"/>
      <c r="N37" s="186"/>
      <c r="O37" s="63"/>
      <c r="P37" s="173"/>
      <c r="Q37" s="173"/>
      <c r="R37" s="173"/>
      <c r="S37" s="173"/>
      <c r="T37" s="173"/>
      <c r="U37" s="68"/>
      <c r="V37" s="68"/>
      <c r="W37" s="63"/>
      <c r="X37" s="337"/>
      <c r="Y37" s="333"/>
      <c r="Z37" s="333"/>
      <c r="AA37" s="333"/>
      <c r="AB37" s="333"/>
      <c r="AC37" s="333"/>
      <c r="AD37" s="186"/>
      <c r="AE37" s="186"/>
      <c r="AF37" s="186"/>
      <c r="AG37" s="186"/>
      <c r="AH37" s="186"/>
      <c r="AI37" s="186"/>
      <c r="AJ37" s="94"/>
      <c r="AK37" s="186"/>
      <c r="AL37" s="186"/>
      <c r="AM37" s="186"/>
      <c r="AN37" s="63"/>
      <c r="AO37" s="63"/>
      <c r="AP37" s="63"/>
      <c r="AQ37" s="63"/>
      <c r="AR37" s="63"/>
      <c r="AS37" s="63"/>
      <c r="AT37" s="173"/>
      <c r="AU37" s="173"/>
      <c r="AV37" s="173"/>
      <c r="AW37" s="68"/>
      <c r="AX37" s="68"/>
      <c r="AY37" s="68"/>
      <c r="AZ37" s="68"/>
      <c r="BA37" s="68"/>
      <c r="BB37" s="68"/>
      <c r="BC37" s="68"/>
      <c r="BD37" s="173"/>
      <c r="BE37" s="173"/>
      <c r="BF37" s="68"/>
      <c r="BG37" s="68"/>
      <c r="BH37" s="173"/>
      <c r="BI37" s="173"/>
      <c r="BJ37" s="63"/>
      <c r="BK37" s="68"/>
      <c r="BL37" s="68"/>
      <c r="BM37" s="68"/>
      <c r="BN37" s="68"/>
      <c r="BO37" s="68"/>
      <c r="BP37" s="68"/>
      <c r="BQ37" s="68"/>
      <c r="BR37" s="68"/>
      <c r="BS37" s="63"/>
      <c r="BT37" s="63"/>
      <c r="BU37" s="63"/>
      <c r="BV37" s="63"/>
      <c r="BW37" s="63"/>
      <c r="BX37" s="186"/>
      <c r="BY37" s="74"/>
      <c r="BZ37" s="74"/>
      <c r="CA37" s="74"/>
      <c r="CB37" s="74"/>
      <c r="CC37" s="74"/>
      <c r="CD37" s="74"/>
      <c r="CE37" s="74"/>
      <c r="CF37" s="94"/>
      <c r="CG37" s="186"/>
      <c r="CH37" s="175"/>
      <c r="CI37" s="186"/>
      <c r="CJ37" s="186"/>
      <c r="CK37" s="186"/>
      <c r="CL37" s="186"/>
      <c r="CM37" s="175"/>
      <c r="CN37" s="186"/>
      <c r="CO37" s="186"/>
      <c r="CP37" s="186"/>
      <c r="CQ37" s="186"/>
      <c r="CR37" s="175"/>
      <c r="CS37" s="186"/>
      <c r="CT37" s="186"/>
      <c r="CU37" s="186"/>
      <c r="CV37" s="186"/>
      <c r="CW37" s="186"/>
      <c r="CX37" s="186"/>
      <c r="CY37" s="186"/>
      <c r="CZ37" s="186"/>
      <c r="DA37" s="186"/>
      <c r="DB37" s="186"/>
      <c r="DC37" s="186"/>
      <c r="DD37" s="186"/>
      <c r="DE37" s="186"/>
      <c r="DF37" s="186"/>
      <c r="DG37" s="186"/>
      <c r="DH37" s="186"/>
      <c r="DI37" s="186"/>
      <c r="DJ37" s="186"/>
      <c r="DK37" s="186"/>
      <c r="DL37" s="185"/>
      <c r="DM37" s="74"/>
      <c r="DN37" s="95"/>
      <c r="DO37" s="186"/>
      <c r="DP37" s="186"/>
      <c r="DQ37" s="185"/>
      <c r="DR37" s="185"/>
      <c r="DS37" s="185"/>
      <c r="DT37" s="185"/>
      <c r="DU37" s="186"/>
      <c r="DV37" s="186"/>
      <c r="DW37" s="186"/>
      <c r="DX37" s="186"/>
      <c r="DY37" s="106"/>
      <c r="DZ37" s="176"/>
      <c r="EA37" s="70"/>
      <c r="EB37" s="70"/>
      <c r="EC37" s="70"/>
      <c r="ED37" s="70"/>
      <c r="EE37" s="70"/>
      <c r="EF37" s="70"/>
      <c r="EG37" s="338"/>
      <c r="EH37" s="338"/>
      <c r="EI37" s="338"/>
      <c r="EJ37" s="338"/>
      <c r="EK37" s="338"/>
      <c r="EL37" s="338"/>
      <c r="EM37" s="338"/>
      <c r="EN37" s="338"/>
      <c r="EO37" s="332"/>
      <c r="EP37" s="338"/>
      <c r="EQ37" s="338"/>
      <c r="ER37" s="338"/>
      <c r="ES37" s="332"/>
      <c r="ET37" s="331"/>
      <c r="EU37" s="331"/>
      <c r="EV37" s="331"/>
      <c r="EW37" s="332"/>
      <c r="EX37" s="332"/>
      <c r="EY37" s="332"/>
      <c r="EZ37" s="332"/>
      <c r="FA37" s="336"/>
      <c r="FB37" s="336"/>
      <c r="FC37" s="336"/>
      <c r="FD37" s="336"/>
      <c r="FE37" s="173"/>
      <c r="FF37" s="173"/>
      <c r="FG37" s="173"/>
      <c r="FH37" s="173"/>
      <c r="FI37" s="173"/>
      <c r="FJ37" s="174"/>
      <c r="FK37" s="174"/>
      <c r="FL37" s="174"/>
      <c r="FM37" s="175"/>
      <c r="FN37" s="66"/>
      <c r="FO37" s="66"/>
      <c r="FP37" s="66"/>
      <c r="FQ37" s="176"/>
      <c r="FR37" s="136"/>
      <c r="FS37" s="185"/>
      <c r="FT37" s="185"/>
      <c r="FU37" s="185"/>
      <c r="FV37" s="185"/>
      <c r="FW37" s="185"/>
      <c r="FX37" s="185"/>
      <c r="FY37" s="185"/>
      <c r="FZ37" s="68"/>
      <c r="GA37" s="69"/>
      <c r="GB37" s="70"/>
      <c r="GC37" s="70"/>
      <c r="GD37" s="70"/>
      <c r="GE37" s="70"/>
      <c r="GF37" s="69"/>
      <c r="GG37" s="71"/>
      <c r="GH37" s="72"/>
      <c r="GI37" s="71"/>
      <c r="GJ37" s="71"/>
      <c r="GK37" s="71"/>
      <c r="GL37" s="71"/>
      <c r="GM37" s="72"/>
      <c r="GN37" s="72"/>
      <c r="GO37" s="72"/>
      <c r="GP37" s="72"/>
      <c r="GQ37" s="67"/>
      <c r="GR37" s="67"/>
      <c r="GS37" s="67"/>
      <c r="GT37" s="67"/>
      <c r="GU37" s="67"/>
      <c r="GV37" s="67"/>
      <c r="GW37" s="67"/>
      <c r="GX37" s="67"/>
      <c r="GY37" s="67"/>
      <c r="GZ37" s="67"/>
      <c r="HA37" s="67"/>
      <c r="HB37" s="67"/>
      <c r="HC37" s="71"/>
      <c r="HD37" s="71"/>
      <c r="HE37" s="71"/>
      <c r="HF37" s="71"/>
      <c r="HG37" s="70"/>
      <c r="HH37" s="70"/>
      <c r="HI37" s="70"/>
      <c r="HJ37" s="70"/>
      <c r="HK37" s="70"/>
      <c r="HL37" s="70"/>
      <c r="HM37" s="73"/>
      <c r="HN37" s="74"/>
    </row>
    <row r="38" spans="1:225" s="75" customFormat="1">
      <c r="A38" s="121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8"/>
      <c r="M38" s="68"/>
      <c r="N38" s="186"/>
      <c r="O38" s="63"/>
      <c r="P38" s="173"/>
      <c r="Q38" s="173"/>
      <c r="R38" s="173"/>
      <c r="S38" s="173"/>
      <c r="T38" s="173"/>
      <c r="U38" s="68"/>
      <c r="V38" s="68"/>
      <c r="W38" s="63"/>
      <c r="X38" s="337"/>
      <c r="Y38" s="333"/>
      <c r="Z38" s="333"/>
      <c r="AA38" s="333"/>
      <c r="AB38" s="333"/>
      <c r="AC38" s="333"/>
      <c r="AD38" s="186"/>
      <c r="AE38" s="186"/>
      <c r="AF38" s="186"/>
      <c r="AG38" s="186"/>
      <c r="AH38" s="186"/>
      <c r="AI38" s="186"/>
      <c r="AJ38" s="94"/>
      <c r="AK38" s="186"/>
      <c r="AL38" s="186"/>
      <c r="AM38" s="186"/>
      <c r="AN38" s="63"/>
      <c r="AO38" s="63"/>
      <c r="AP38" s="63"/>
      <c r="AQ38" s="63"/>
      <c r="AR38" s="63"/>
      <c r="AS38" s="63"/>
      <c r="AT38" s="173"/>
      <c r="AU38" s="173"/>
      <c r="AV38" s="173"/>
      <c r="AW38" s="68"/>
      <c r="AX38" s="68"/>
      <c r="AY38" s="68"/>
      <c r="AZ38" s="68"/>
      <c r="BA38" s="68"/>
      <c r="BB38" s="68"/>
      <c r="BC38" s="68"/>
      <c r="BD38" s="173"/>
      <c r="BE38" s="173"/>
      <c r="BF38" s="68"/>
      <c r="BG38" s="68"/>
      <c r="BH38" s="173"/>
      <c r="BI38" s="173"/>
      <c r="BJ38" s="63"/>
      <c r="BK38" s="68"/>
      <c r="BL38" s="68"/>
      <c r="BM38" s="68"/>
      <c r="BN38" s="68"/>
      <c r="BO38" s="68"/>
      <c r="BP38" s="68"/>
      <c r="BQ38" s="68"/>
      <c r="BR38" s="68"/>
      <c r="BS38" s="63"/>
      <c r="BT38" s="63"/>
      <c r="BU38" s="63"/>
      <c r="BV38" s="63"/>
      <c r="BW38" s="63"/>
      <c r="BX38" s="186"/>
      <c r="BY38" s="74"/>
      <c r="BZ38" s="74"/>
      <c r="CA38" s="74"/>
      <c r="CB38" s="74"/>
      <c r="CC38" s="74"/>
      <c r="CD38" s="74"/>
      <c r="CE38" s="74"/>
      <c r="CF38" s="94"/>
      <c r="CG38" s="186"/>
      <c r="CH38" s="175"/>
      <c r="CI38" s="186"/>
      <c r="CJ38" s="186"/>
      <c r="CK38" s="186"/>
      <c r="CL38" s="186"/>
      <c r="CM38" s="175"/>
      <c r="CN38" s="186"/>
      <c r="CO38" s="186"/>
      <c r="CP38" s="186"/>
      <c r="CQ38" s="186"/>
      <c r="CR38" s="175"/>
      <c r="CS38" s="186"/>
      <c r="CT38" s="186"/>
      <c r="CU38" s="186"/>
      <c r="CV38" s="186"/>
      <c r="CW38" s="186"/>
      <c r="CX38" s="186"/>
      <c r="CY38" s="186"/>
      <c r="CZ38" s="186"/>
      <c r="DA38" s="186"/>
      <c r="DB38" s="186"/>
      <c r="DC38" s="186"/>
      <c r="DD38" s="186"/>
      <c r="DE38" s="186"/>
      <c r="DF38" s="186"/>
      <c r="DG38" s="186"/>
      <c r="DH38" s="186"/>
      <c r="DI38" s="186"/>
      <c r="DJ38" s="186"/>
      <c r="DK38" s="186"/>
      <c r="DL38" s="185"/>
      <c r="DM38" s="74"/>
      <c r="DN38" s="95"/>
      <c r="DO38" s="186"/>
      <c r="DP38" s="186"/>
      <c r="DQ38" s="185"/>
      <c r="DR38" s="185"/>
      <c r="DS38" s="185"/>
      <c r="DT38" s="185"/>
      <c r="DU38" s="186"/>
      <c r="DV38" s="186"/>
      <c r="DW38" s="186"/>
      <c r="DX38" s="186"/>
      <c r="DY38" s="106"/>
      <c r="DZ38" s="176"/>
      <c r="EA38" s="70"/>
      <c r="EB38" s="70"/>
      <c r="EC38" s="70"/>
      <c r="ED38" s="70"/>
      <c r="EE38" s="70"/>
      <c r="EF38" s="70"/>
      <c r="EG38" s="338"/>
      <c r="EH38" s="338"/>
      <c r="EI38" s="338"/>
      <c r="EJ38" s="338"/>
      <c r="EK38" s="338"/>
      <c r="EL38" s="338"/>
      <c r="EM38" s="338"/>
      <c r="EN38" s="338"/>
      <c r="EO38" s="332"/>
      <c r="EP38" s="338"/>
      <c r="EQ38" s="338"/>
      <c r="ER38" s="338"/>
      <c r="ES38" s="126"/>
      <c r="ET38" s="130"/>
      <c r="EU38" s="130"/>
      <c r="EV38" s="130"/>
      <c r="EW38" s="126"/>
      <c r="EX38" s="126"/>
      <c r="EY38" s="126"/>
      <c r="EZ38" s="126"/>
      <c r="FA38" s="336"/>
      <c r="FB38" s="336"/>
      <c r="FC38" s="336"/>
      <c r="FD38" s="336"/>
      <c r="FE38" s="173"/>
      <c r="FF38" s="173"/>
      <c r="FG38" s="173"/>
      <c r="FH38" s="173"/>
      <c r="FI38" s="173"/>
      <c r="FJ38" s="174"/>
      <c r="FK38" s="174"/>
      <c r="FL38" s="174"/>
      <c r="FM38" s="175"/>
      <c r="FN38" s="66"/>
      <c r="FO38" s="66"/>
      <c r="FP38" s="66"/>
      <c r="FQ38" s="176"/>
      <c r="FR38" s="136"/>
      <c r="FS38" s="185"/>
      <c r="FT38" s="185"/>
      <c r="FU38" s="185"/>
      <c r="FV38" s="185"/>
      <c r="FW38" s="185"/>
      <c r="FX38" s="185"/>
      <c r="FY38" s="185"/>
      <c r="FZ38" s="68"/>
      <c r="GA38" s="69"/>
      <c r="GB38" s="70"/>
      <c r="GC38" s="70"/>
      <c r="GD38" s="70"/>
      <c r="GE38" s="70"/>
      <c r="GF38" s="69"/>
      <c r="GG38" s="71"/>
      <c r="GH38" s="72"/>
      <c r="GI38" s="71"/>
      <c r="GJ38" s="71"/>
      <c r="GK38" s="71"/>
      <c r="GL38" s="71"/>
      <c r="GM38" s="72"/>
      <c r="GN38" s="72"/>
      <c r="GO38" s="72"/>
      <c r="GP38" s="72"/>
      <c r="GQ38" s="67"/>
      <c r="GR38" s="67"/>
      <c r="GS38" s="67"/>
      <c r="GT38" s="67"/>
      <c r="GU38" s="67"/>
      <c r="GV38" s="67"/>
      <c r="GW38" s="67"/>
      <c r="GX38" s="67"/>
      <c r="GY38" s="67"/>
      <c r="GZ38" s="67"/>
      <c r="HA38" s="67"/>
      <c r="HB38" s="67"/>
      <c r="HC38" s="71"/>
      <c r="HD38" s="71"/>
      <c r="HE38" s="71"/>
      <c r="HF38" s="71"/>
      <c r="HG38" s="70"/>
      <c r="HH38" s="70"/>
      <c r="HI38" s="70"/>
      <c r="HJ38" s="70"/>
      <c r="HK38" s="70"/>
      <c r="HL38" s="70"/>
      <c r="HM38" s="73"/>
      <c r="HN38" s="74"/>
    </row>
    <row r="39" spans="1:225" s="75" customFormat="1">
      <c r="A39" s="121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8"/>
      <c r="M39" s="68"/>
      <c r="N39" s="186"/>
      <c r="O39" s="63"/>
      <c r="P39" s="173"/>
      <c r="Q39" s="173"/>
      <c r="R39" s="173"/>
      <c r="S39" s="173"/>
      <c r="T39" s="173"/>
      <c r="U39" s="68"/>
      <c r="V39" s="68"/>
      <c r="W39" s="63"/>
      <c r="X39" s="337"/>
      <c r="Y39" s="333"/>
      <c r="Z39" s="333"/>
      <c r="AA39" s="333"/>
      <c r="AB39" s="333"/>
      <c r="AC39" s="333"/>
      <c r="AD39" s="186"/>
      <c r="AE39" s="186"/>
      <c r="AF39" s="186"/>
      <c r="AG39" s="186"/>
      <c r="AH39" s="186"/>
      <c r="AI39" s="186"/>
      <c r="AJ39" s="94"/>
      <c r="AK39" s="186"/>
      <c r="AL39" s="186"/>
      <c r="AM39" s="186"/>
      <c r="AN39" s="63"/>
      <c r="AO39" s="63"/>
      <c r="AP39" s="63"/>
      <c r="AQ39" s="63"/>
      <c r="AR39" s="63"/>
      <c r="AS39" s="63"/>
      <c r="AT39" s="173"/>
      <c r="AU39" s="173"/>
      <c r="AV39" s="173"/>
      <c r="AW39" s="68"/>
      <c r="AX39" s="68"/>
      <c r="AY39" s="68"/>
      <c r="AZ39" s="68"/>
      <c r="BA39" s="68"/>
      <c r="BB39" s="68"/>
      <c r="BC39" s="68"/>
      <c r="BD39" s="173"/>
      <c r="BE39" s="173"/>
      <c r="BF39" s="68"/>
      <c r="BG39" s="68"/>
      <c r="BH39" s="173"/>
      <c r="BI39" s="173"/>
      <c r="BJ39" s="63"/>
      <c r="BK39" s="68"/>
      <c r="BL39" s="68"/>
      <c r="BM39" s="68"/>
      <c r="BN39" s="68"/>
      <c r="BO39" s="68"/>
      <c r="BP39" s="68"/>
      <c r="BQ39" s="68"/>
      <c r="BR39" s="68"/>
      <c r="BS39" s="63"/>
      <c r="BT39" s="63"/>
      <c r="BU39" s="63"/>
      <c r="BV39" s="63"/>
      <c r="BW39" s="63"/>
      <c r="BX39" s="186"/>
      <c r="BY39" s="74"/>
      <c r="BZ39" s="74"/>
      <c r="CA39" s="74"/>
      <c r="CB39" s="74"/>
      <c r="CC39" s="74"/>
      <c r="CD39" s="74"/>
      <c r="CE39" s="74"/>
      <c r="CF39" s="94"/>
      <c r="CG39" s="186"/>
      <c r="CH39" s="175"/>
      <c r="CI39" s="186"/>
      <c r="CJ39" s="186"/>
      <c r="CK39" s="186"/>
      <c r="CL39" s="186"/>
      <c r="CM39" s="175"/>
      <c r="CN39" s="186"/>
      <c r="CO39" s="186"/>
      <c r="CP39" s="186"/>
      <c r="CQ39" s="186"/>
      <c r="CR39" s="175"/>
      <c r="CS39" s="186"/>
      <c r="CT39" s="186"/>
      <c r="CU39" s="186"/>
      <c r="CV39" s="186"/>
      <c r="CW39" s="186"/>
      <c r="CX39" s="186"/>
      <c r="CY39" s="186"/>
      <c r="CZ39" s="186"/>
      <c r="DA39" s="186"/>
      <c r="DB39" s="186"/>
      <c r="DC39" s="186"/>
      <c r="DD39" s="186"/>
      <c r="DE39" s="186"/>
      <c r="DF39" s="186"/>
      <c r="DG39" s="186"/>
      <c r="DH39" s="186"/>
      <c r="DI39" s="186"/>
      <c r="DJ39" s="186"/>
      <c r="DK39" s="186"/>
      <c r="DL39" s="185"/>
      <c r="DM39" s="74"/>
      <c r="DN39" s="95"/>
      <c r="DO39" s="186"/>
      <c r="DP39" s="186"/>
      <c r="DQ39" s="185"/>
      <c r="DR39" s="185"/>
      <c r="DS39" s="185"/>
      <c r="DT39" s="185"/>
      <c r="DU39" s="186"/>
      <c r="DV39" s="186"/>
      <c r="DW39" s="186"/>
      <c r="DX39" s="186"/>
      <c r="DY39" s="106"/>
      <c r="DZ39" s="176"/>
      <c r="EA39" s="70"/>
      <c r="EB39" s="70"/>
      <c r="EC39" s="70"/>
      <c r="ED39" s="70"/>
      <c r="EE39" s="70"/>
      <c r="EF39" s="70"/>
      <c r="EG39" s="338"/>
      <c r="EH39" s="338"/>
      <c r="EI39" s="338"/>
      <c r="EJ39" s="338"/>
      <c r="EK39" s="338"/>
      <c r="EL39" s="338"/>
      <c r="EM39" s="338"/>
      <c r="EN39" s="338"/>
      <c r="EO39" s="332"/>
      <c r="EP39" s="338"/>
      <c r="EQ39" s="338"/>
      <c r="ER39" s="338"/>
      <c r="ES39" s="126"/>
      <c r="ET39" s="130"/>
      <c r="EU39" s="130"/>
      <c r="EV39" s="130"/>
      <c r="EW39" s="126"/>
      <c r="EX39" s="126"/>
      <c r="EY39" s="126"/>
      <c r="EZ39" s="126"/>
      <c r="FA39" s="336"/>
      <c r="FB39" s="336"/>
      <c r="FC39" s="336"/>
      <c r="FD39" s="336"/>
      <c r="FE39" s="173"/>
      <c r="FF39" s="173"/>
      <c r="FG39" s="173"/>
      <c r="FH39" s="173"/>
      <c r="FI39" s="173"/>
      <c r="FJ39" s="174"/>
      <c r="FK39" s="174"/>
      <c r="FL39" s="174"/>
      <c r="FM39" s="175"/>
      <c r="FN39" s="66"/>
      <c r="FO39" s="66"/>
      <c r="FP39" s="66"/>
      <c r="FQ39" s="176"/>
      <c r="FR39" s="136"/>
      <c r="FS39" s="185"/>
      <c r="FT39" s="185"/>
      <c r="FU39" s="185"/>
      <c r="FV39" s="185"/>
      <c r="FW39" s="185"/>
      <c r="FX39" s="185"/>
      <c r="FY39" s="185"/>
      <c r="FZ39" s="68"/>
      <c r="GA39" s="69"/>
      <c r="GB39" s="70"/>
      <c r="GC39" s="70"/>
      <c r="GD39" s="70"/>
      <c r="GE39" s="70"/>
      <c r="GF39" s="69"/>
      <c r="GG39" s="71"/>
      <c r="GH39" s="72"/>
      <c r="GI39" s="71"/>
      <c r="GJ39" s="71"/>
      <c r="GK39" s="71"/>
      <c r="GL39" s="71"/>
      <c r="GM39" s="72"/>
      <c r="GN39" s="72"/>
      <c r="GO39" s="72"/>
      <c r="GP39" s="72"/>
      <c r="GQ39" s="67"/>
      <c r="GR39" s="67"/>
      <c r="GS39" s="67"/>
      <c r="GT39" s="67"/>
      <c r="GU39" s="67"/>
      <c r="GV39" s="67"/>
      <c r="GW39" s="67"/>
      <c r="GX39" s="67"/>
      <c r="GY39" s="67"/>
      <c r="GZ39" s="67"/>
      <c r="HA39" s="67"/>
      <c r="HB39" s="67"/>
      <c r="HC39" s="71"/>
      <c r="HD39" s="71"/>
      <c r="HE39" s="71"/>
      <c r="HF39" s="71"/>
      <c r="HG39" s="70"/>
      <c r="HH39" s="70"/>
      <c r="HI39" s="70"/>
      <c r="HJ39" s="70"/>
      <c r="HK39" s="70"/>
      <c r="HL39" s="70"/>
      <c r="HM39" s="73"/>
      <c r="HN39" s="74"/>
    </row>
    <row r="40" spans="1:225" s="75" customFormat="1">
      <c r="A40" s="95"/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85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328"/>
      <c r="Z40" s="328"/>
      <c r="AA40" s="328"/>
      <c r="AB40" s="328"/>
      <c r="AC40" s="328"/>
      <c r="AD40" s="185"/>
      <c r="AE40" s="185"/>
      <c r="AF40" s="185"/>
      <c r="AG40" s="185"/>
      <c r="AH40" s="185"/>
      <c r="AI40" s="185"/>
      <c r="AJ40" s="329"/>
      <c r="AK40" s="185"/>
      <c r="AL40" s="185"/>
      <c r="AM40" s="185"/>
      <c r="AN40" s="173"/>
      <c r="AO40" s="173"/>
      <c r="AP40" s="173"/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  <c r="BJ40" s="173"/>
      <c r="BK40" s="173"/>
      <c r="BL40" s="173"/>
      <c r="BM40" s="173"/>
      <c r="BN40" s="173"/>
      <c r="BO40" s="173"/>
      <c r="BP40" s="173"/>
      <c r="BQ40" s="173"/>
      <c r="BR40" s="173"/>
      <c r="BS40" s="173"/>
      <c r="BT40" s="173"/>
      <c r="BU40" s="173"/>
      <c r="BV40" s="173"/>
      <c r="BW40" s="173"/>
      <c r="BX40" s="185"/>
      <c r="BY40" s="185"/>
      <c r="BZ40" s="185"/>
      <c r="CA40" s="329"/>
      <c r="CB40" s="185"/>
      <c r="CC40" s="185"/>
      <c r="CD40" s="185"/>
      <c r="CE40" s="185"/>
      <c r="CF40" s="329"/>
      <c r="CG40" s="185"/>
      <c r="CH40" s="330"/>
      <c r="CI40" s="185"/>
      <c r="CJ40" s="185"/>
      <c r="CK40" s="185"/>
      <c r="CL40" s="185"/>
      <c r="CM40" s="330"/>
      <c r="CN40" s="185"/>
      <c r="CO40" s="185"/>
      <c r="CP40" s="185"/>
      <c r="CQ40" s="185"/>
      <c r="CR40" s="330"/>
      <c r="CS40" s="185"/>
      <c r="CT40" s="185"/>
      <c r="CU40" s="185"/>
      <c r="CV40" s="185"/>
      <c r="CW40" s="185"/>
      <c r="CX40" s="185"/>
      <c r="CY40" s="185"/>
      <c r="CZ40" s="185"/>
      <c r="DA40" s="185"/>
      <c r="DB40" s="185"/>
      <c r="DC40" s="185"/>
      <c r="DD40" s="185"/>
      <c r="DE40" s="185"/>
      <c r="DF40" s="185"/>
      <c r="DG40" s="330"/>
      <c r="DH40" s="185"/>
      <c r="DI40" s="185"/>
      <c r="DJ40" s="185"/>
      <c r="DK40" s="185"/>
      <c r="DL40" s="185"/>
      <c r="DM40" s="185"/>
      <c r="DN40" s="329"/>
      <c r="DO40" s="185"/>
      <c r="DP40" s="185"/>
      <c r="DQ40" s="185"/>
      <c r="DR40" s="185"/>
      <c r="DS40" s="185"/>
      <c r="DT40" s="185"/>
      <c r="DU40" s="185"/>
      <c r="DV40" s="185"/>
      <c r="DW40" s="185"/>
      <c r="DX40" s="185"/>
      <c r="DY40" s="331"/>
      <c r="DZ40" s="174"/>
      <c r="EA40" s="174"/>
      <c r="EB40" s="174"/>
      <c r="EC40" s="174"/>
      <c r="ED40" s="174"/>
      <c r="EE40" s="332"/>
      <c r="EF40" s="332"/>
      <c r="EG40" s="332"/>
      <c r="EH40" s="332"/>
      <c r="EI40" s="126"/>
      <c r="EJ40" s="332"/>
      <c r="EK40" s="332"/>
      <c r="EL40" s="332"/>
      <c r="EM40" s="332"/>
      <c r="EN40" s="332"/>
      <c r="EO40" s="332"/>
      <c r="EP40" s="332"/>
      <c r="EQ40" s="332"/>
      <c r="ER40" s="332"/>
      <c r="ES40" s="332"/>
      <c r="ET40" s="331"/>
      <c r="EU40" s="331"/>
      <c r="EV40" s="331"/>
      <c r="EW40" s="332"/>
      <c r="EX40" s="332"/>
      <c r="EY40" s="332"/>
      <c r="EZ40" s="332"/>
      <c r="FA40" s="173"/>
      <c r="FB40" s="173"/>
      <c r="FC40" s="173"/>
      <c r="FD40" s="173"/>
      <c r="FE40" s="173"/>
      <c r="FF40" s="173"/>
      <c r="FG40" s="173"/>
      <c r="FH40" s="173"/>
      <c r="FI40" s="173"/>
      <c r="FJ40" s="174"/>
      <c r="FK40" s="174"/>
      <c r="FL40" s="174"/>
      <c r="FM40" s="330"/>
      <c r="FN40" s="185"/>
      <c r="FO40" s="185"/>
      <c r="FP40" s="185"/>
      <c r="FQ40" s="174"/>
      <c r="FR40" s="330"/>
      <c r="FS40" s="185"/>
      <c r="FT40" s="185"/>
      <c r="FU40" s="185"/>
      <c r="FV40" s="185"/>
      <c r="FW40" s="185"/>
      <c r="FX40" s="185"/>
      <c r="FY40" s="185"/>
      <c r="FZ40" s="185"/>
      <c r="GA40" s="126"/>
      <c r="GB40" s="95"/>
      <c r="GC40" s="284"/>
      <c r="GD40" s="284"/>
      <c r="GE40" s="284"/>
      <c r="GF40" s="95"/>
      <c r="GG40" s="95"/>
      <c r="GH40" s="284"/>
      <c r="GI40" s="67"/>
      <c r="GJ40" s="67"/>
      <c r="GK40" s="67"/>
      <c r="GL40" s="67"/>
      <c r="GM40" s="67"/>
      <c r="GN40" s="67"/>
      <c r="GO40" s="67"/>
      <c r="GP40" s="67"/>
      <c r="GQ40" s="67"/>
      <c r="GR40" s="67"/>
      <c r="GS40" s="67"/>
      <c r="GT40" s="71"/>
      <c r="GU40" s="71"/>
      <c r="GV40" s="71"/>
      <c r="GW40" s="71"/>
      <c r="GX40" s="70"/>
      <c r="GY40" s="70"/>
      <c r="GZ40" s="70"/>
      <c r="HA40" s="70"/>
      <c r="HB40" s="70"/>
      <c r="HC40" s="70"/>
      <c r="HD40" s="73"/>
      <c r="HE40" s="74"/>
    </row>
    <row r="41" spans="1:225" s="75" customFormat="1">
      <c r="A41" s="95"/>
      <c r="B41" s="173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85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328"/>
      <c r="Z41" s="328"/>
      <c r="AA41" s="328"/>
      <c r="AB41" s="328"/>
      <c r="AC41" s="328"/>
      <c r="AD41" s="185"/>
      <c r="AE41" s="185"/>
      <c r="AF41" s="185"/>
      <c r="AG41" s="185"/>
      <c r="AH41" s="185"/>
      <c r="AI41" s="185"/>
      <c r="AJ41" s="329"/>
      <c r="AK41" s="185"/>
      <c r="AL41" s="185"/>
      <c r="AM41" s="185"/>
      <c r="AN41" s="173"/>
      <c r="AO41" s="173"/>
      <c r="AP41" s="173"/>
      <c r="AQ41" s="173"/>
      <c r="AR41" s="173"/>
      <c r="AS41" s="173"/>
      <c r="AT41" s="173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  <c r="BJ41" s="173"/>
      <c r="BK41" s="173"/>
      <c r="BL41" s="173"/>
      <c r="BM41" s="173"/>
      <c r="BN41" s="173"/>
      <c r="BO41" s="173"/>
      <c r="BP41" s="173"/>
      <c r="BQ41" s="173"/>
      <c r="BR41" s="173"/>
      <c r="BS41" s="173"/>
      <c r="BT41" s="173"/>
      <c r="BU41" s="173"/>
      <c r="BV41" s="173"/>
      <c r="BW41" s="173"/>
      <c r="BX41" s="185"/>
      <c r="BY41" s="185"/>
      <c r="BZ41" s="185"/>
      <c r="CA41" s="329"/>
      <c r="CB41" s="185"/>
      <c r="CC41" s="185"/>
      <c r="CD41" s="185"/>
      <c r="CE41" s="185"/>
      <c r="CF41" s="329"/>
      <c r="CG41" s="185"/>
      <c r="CH41" s="330"/>
      <c r="CI41" s="185"/>
      <c r="CJ41" s="185"/>
      <c r="CK41" s="185"/>
      <c r="CL41" s="185"/>
      <c r="CM41" s="330"/>
      <c r="CN41" s="185"/>
      <c r="CO41" s="185"/>
      <c r="CP41" s="185"/>
      <c r="CQ41" s="185"/>
      <c r="CR41" s="330"/>
      <c r="CS41" s="185"/>
      <c r="CT41" s="185"/>
      <c r="CU41" s="185"/>
      <c r="CV41" s="185"/>
      <c r="CW41" s="185"/>
      <c r="CX41" s="185"/>
      <c r="CY41" s="185"/>
      <c r="CZ41" s="185"/>
      <c r="DA41" s="185"/>
      <c r="DB41" s="185"/>
      <c r="DC41" s="185"/>
      <c r="DD41" s="185"/>
      <c r="DE41" s="185"/>
      <c r="DF41" s="185"/>
      <c r="DG41" s="330"/>
      <c r="DH41" s="185"/>
      <c r="DI41" s="185"/>
      <c r="DJ41" s="185"/>
      <c r="DK41" s="185"/>
      <c r="DL41" s="185"/>
      <c r="DM41" s="185"/>
      <c r="DN41" s="329"/>
      <c r="DO41" s="185"/>
      <c r="DP41" s="185"/>
      <c r="DQ41" s="185"/>
      <c r="DR41" s="185"/>
      <c r="DS41" s="185"/>
      <c r="DT41" s="185"/>
      <c r="DU41" s="185"/>
      <c r="DV41" s="185"/>
      <c r="DW41" s="185"/>
      <c r="DX41" s="185"/>
      <c r="DY41" s="331"/>
      <c r="DZ41" s="174"/>
      <c r="EA41" s="174"/>
      <c r="EB41" s="174"/>
      <c r="EC41" s="174"/>
      <c r="ED41" s="174"/>
      <c r="EE41" s="332"/>
      <c r="EF41" s="332"/>
      <c r="EG41" s="332"/>
      <c r="EH41" s="332"/>
      <c r="EI41" s="126"/>
      <c r="EJ41" s="332"/>
      <c r="EK41" s="332"/>
      <c r="EL41" s="332"/>
      <c r="EM41" s="332"/>
      <c r="EN41" s="332"/>
      <c r="EO41" s="332"/>
      <c r="EP41" s="332"/>
      <c r="EQ41" s="332"/>
      <c r="ER41" s="332"/>
      <c r="ES41" s="332"/>
      <c r="ET41" s="331"/>
      <c r="EU41" s="331"/>
      <c r="EV41" s="331"/>
      <c r="EW41" s="332"/>
      <c r="EX41" s="332"/>
      <c r="EY41" s="332"/>
      <c r="EZ41" s="332"/>
      <c r="FA41" s="173"/>
      <c r="FB41" s="173"/>
      <c r="FC41" s="173"/>
      <c r="FD41" s="173"/>
      <c r="FE41" s="173"/>
      <c r="FF41" s="173"/>
      <c r="FG41" s="173"/>
      <c r="FH41" s="173"/>
      <c r="FI41" s="173"/>
      <c r="FJ41" s="174"/>
      <c r="FK41" s="174"/>
      <c r="FL41" s="174"/>
      <c r="FM41" s="330"/>
      <c r="FN41" s="185"/>
      <c r="FO41" s="185"/>
      <c r="FP41" s="185"/>
      <c r="FQ41" s="174"/>
      <c r="FR41" s="330"/>
      <c r="FS41" s="185"/>
      <c r="FT41" s="185"/>
      <c r="FU41" s="185"/>
      <c r="FV41" s="185"/>
      <c r="FW41" s="185"/>
      <c r="FX41" s="185"/>
      <c r="FY41" s="185"/>
      <c r="FZ41" s="185"/>
      <c r="GA41" s="126"/>
      <c r="GB41" s="95"/>
      <c r="GC41" s="95"/>
      <c r="GD41" s="95"/>
      <c r="GE41" s="95"/>
      <c r="GF41" s="95"/>
      <c r="GG41" s="95"/>
      <c r="GH41" s="284"/>
      <c r="GK41" s="71"/>
      <c r="GL41" s="71"/>
      <c r="GM41" s="71"/>
      <c r="GN41" s="71"/>
      <c r="GO41" s="71"/>
      <c r="GP41" s="71"/>
      <c r="GQ41" s="71"/>
      <c r="GR41" s="71"/>
      <c r="GS41" s="71"/>
      <c r="GT41" s="71"/>
      <c r="GU41" s="71"/>
      <c r="GV41" s="71"/>
      <c r="GW41" s="71"/>
      <c r="GX41" s="71"/>
      <c r="GY41" s="71"/>
      <c r="GZ41" s="71"/>
      <c r="HA41" s="70"/>
      <c r="HB41" s="70"/>
      <c r="HC41" s="70"/>
      <c r="HD41" s="70"/>
      <c r="HE41" s="70"/>
      <c r="HF41" s="70"/>
      <c r="HG41" s="70"/>
      <c r="HH41" s="74"/>
    </row>
    <row r="42" spans="1:225" s="75" customFormat="1">
      <c r="A42" s="95"/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85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328"/>
      <c r="Z42" s="328"/>
      <c r="AA42" s="328"/>
      <c r="AB42" s="328"/>
      <c r="AC42" s="328"/>
      <c r="AD42" s="185"/>
      <c r="AE42" s="185"/>
      <c r="AF42" s="185"/>
      <c r="AG42" s="185"/>
      <c r="AH42" s="185"/>
      <c r="AI42" s="185"/>
      <c r="AJ42" s="329"/>
      <c r="AK42" s="185"/>
      <c r="AL42" s="185"/>
      <c r="AM42" s="185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  <c r="BJ42" s="173"/>
      <c r="BK42" s="173"/>
      <c r="BL42" s="173"/>
      <c r="BM42" s="173"/>
      <c r="BN42" s="173"/>
      <c r="BO42" s="173"/>
      <c r="BP42" s="173"/>
      <c r="BQ42" s="173"/>
      <c r="BR42" s="173"/>
      <c r="BS42" s="173"/>
      <c r="BT42" s="173"/>
      <c r="BU42" s="173"/>
      <c r="BV42" s="173"/>
      <c r="BW42" s="173"/>
      <c r="BX42" s="185"/>
      <c r="BY42" s="185"/>
      <c r="BZ42" s="185"/>
      <c r="CA42" s="329"/>
      <c r="CB42" s="185"/>
      <c r="CC42" s="185"/>
      <c r="CD42" s="185"/>
      <c r="CE42" s="185"/>
      <c r="CF42" s="329"/>
      <c r="CG42" s="185"/>
      <c r="CH42" s="330"/>
      <c r="CI42" s="185"/>
      <c r="CJ42" s="185"/>
      <c r="CK42" s="185"/>
      <c r="CL42" s="185"/>
      <c r="CM42" s="330"/>
      <c r="CN42" s="185"/>
      <c r="CO42" s="185"/>
      <c r="CP42" s="185"/>
      <c r="CQ42" s="185"/>
      <c r="CR42" s="330"/>
      <c r="CS42" s="185"/>
      <c r="CT42" s="185"/>
      <c r="CU42" s="185"/>
      <c r="CV42" s="185"/>
      <c r="CW42" s="185"/>
      <c r="CX42" s="185"/>
      <c r="CY42" s="185"/>
      <c r="CZ42" s="185"/>
      <c r="DA42" s="185"/>
      <c r="DB42" s="185"/>
      <c r="DC42" s="185"/>
      <c r="DD42" s="185"/>
      <c r="DE42" s="185"/>
      <c r="DF42" s="185"/>
      <c r="DG42" s="330"/>
      <c r="DH42" s="185"/>
      <c r="DI42" s="185"/>
      <c r="DJ42" s="185"/>
      <c r="DK42" s="185"/>
      <c r="DL42" s="185"/>
      <c r="DM42" s="185"/>
      <c r="DN42" s="329"/>
      <c r="DO42" s="185"/>
      <c r="DP42" s="185"/>
      <c r="DQ42" s="185"/>
      <c r="DR42" s="185"/>
      <c r="DS42" s="185"/>
      <c r="DT42" s="185"/>
      <c r="DU42" s="185"/>
      <c r="DV42" s="185"/>
      <c r="DW42" s="185"/>
      <c r="DX42" s="185"/>
      <c r="DY42" s="331"/>
      <c r="DZ42" s="174"/>
      <c r="EA42" s="174"/>
      <c r="EB42" s="174"/>
      <c r="EC42" s="174"/>
      <c r="ED42" s="174"/>
      <c r="EE42" s="332"/>
      <c r="EF42" s="332"/>
      <c r="EG42" s="332"/>
      <c r="EH42" s="332"/>
      <c r="EI42" s="126"/>
      <c r="EJ42" s="332"/>
      <c r="EK42" s="332"/>
      <c r="EL42" s="332"/>
      <c r="EM42" s="332"/>
      <c r="EN42" s="332"/>
      <c r="EO42" s="332"/>
      <c r="EP42" s="332"/>
      <c r="EQ42" s="332"/>
      <c r="ER42" s="332"/>
      <c r="ES42" s="332"/>
      <c r="ET42" s="331"/>
      <c r="EU42" s="331"/>
      <c r="EV42" s="331"/>
      <c r="EW42" s="332"/>
      <c r="EX42" s="332"/>
      <c r="EY42" s="332"/>
      <c r="EZ42" s="332"/>
      <c r="FA42" s="173"/>
      <c r="FB42" s="173"/>
      <c r="FC42" s="173"/>
      <c r="FD42" s="173"/>
      <c r="FE42" s="173"/>
      <c r="FF42" s="173"/>
      <c r="FG42" s="173"/>
      <c r="FH42" s="173"/>
      <c r="FI42" s="173"/>
      <c r="FJ42" s="174"/>
      <c r="FK42" s="174"/>
      <c r="FL42" s="174"/>
      <c r="FM42" s="330"/>
      <c r="FN42" s="185"/>
      <c r="FO42" s="185"/>
      <c r="FP42" s="185"/>
      <c r="FQ42" s="174"/>
      <c r="FR42" s="330"/>
      <c r="FS42" s="185"/>
      <c r="FT42" s="185"/>
      <c r="FU42" s="185"/>
      <c r="FV42" s="185"/>
      <c r="FW42" s="185"/>
      <c r="FX42" s="185"/>
      <c r="FY42" s="185"/>
      <c r="FZ42" s="185"/>
      <c r="GA42" s="126"/>
      <c r="GB42" s="284"/>
      <c r="GC42" s="284"/>
      <c r="GD42" s="284"/>
      <c r="GE42" s="284"/>
      <c r="GF42" s="95"/>
      <c r="GG42" s="95"/>
      <c r="GH42" s="284"/>
      <c r="GI42" s="67"/>
      <c r="GJ42" s="67"/>
      <c r="GK42" s="67"/>
      <c r="GL42" s="67"/>
      <c r="GM42" s="67"/>
      <c r="GN42" s="71"/>
      <c r="GO42" s="71"/>
      <c r="GP42" s="71"/>
      <c r="GQ42" s="71"/>
      <c r="GR42" s="70"/>
      <c r="GS42" s="70"/>
      <c r="GT42" s="70"/>
      <c r="GU42" s="70"/>
      <c r="GV42" s="70"/>
      <c r="GW42" s="70"/>
      <c r="GX42" s="73"/>
      <c r="GY42" s="74"/>
    </row>
    <row r="43" spans="1:225" s="75" customFormat="1">
      <c r="A43" s="95"/>
      <c r="B43" s="173"/>
      <c r="C43" s="173"/>
      <c r="D43" s="173"/>
      <c r="E43" s="173"/>
      <c r="F43" s="173"/>
      <c r="G43" s="173"/>
      <c r="H43" s="173"/>
      <c r="I43" s="173"/>
      <c r="J43" s="173"/>
      <c r="K43" s="173"/>
      <c r="L43" s="173"/>
      <c r="M43" s="173"/>
      <c r="N43" s="185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328"/>
      <c r="Z43" s="328"/>
      <c r="AA43" s="328"/>
      <c r="AB43" s="328"/>
      <c r="AC43" s="328"/>
      <c r="AD43" s="185"/>
      <c r="AE43" s="185"/>
      <c r="AF43" s="185"/>
      <c r="AG43" s="185"/>
      <c r="AH43" s="185"/>
      <c r="AI43" s="185"/>
      <c r="AJ43" s="329"/>
      <c r="AK43" s="185"/>
      <c r="AL43" s="185"/>
      <c r="AM43" s="185"/>
      <c r="AN43" s="173"/>
      <c r="AO43" s="173"/>
      <c r="AP43" s="173"/>
      <c r="AQ43" s="173"/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  <c r="BF43" s="173"/>
      <c r="BG43" s="173"/>
      <c r="BH43" s="173"/>
      <c r="BI43" s="173"/>
      <c r="BJ43" s="173"/>
      <c r="BK43" s="173"/>
      <c r="BL43" s="173"/>
      <c r="BM43" s="173"/>
      <c r="BN43" s="173"/>
      <c r="BO43" s="173"/>
      <c r="BP43" s="173"/>
      <c r="BQ43" s="173"/>
      <c r="BR43" s="173"/>
      <c r="BS43" s="173"/>
      <c r="BT43" s="173"/>
      <c r="BU43" s="173"/>
      <c r="BV43" s="173"/>
      <c r="BW43" s="173"/>
      <c r="BX43" s="185"/>
      <c r="BY43" s="185"/>
      <c r="BZ43" s="185"/>
      <c r="CA43" s="329"/>
      <c r="CB43" s="185"/>
      <c r="CC43" s="185"/>
      <c r="CD43" s="185"/>
      <c r="CE43" s="185"/>
      <c r="CF43" s="329"/>
      <c r="CG43" s="185"/>
      <c r="CH43" s="330"/>
      <c r="CI43" s="185"/>
      <c r="CJ43" s="185"/>
      <c r="CK43" s="185"/>
      <c r="CL43" s="185"/>
      <c r="CM43" s="330"/>
      <c r="CN43" s="185"/>
      <c r="CO43" s="185"/>
      <c r="CP43" s="185"/>
      <c r="CQ43" s="185"/>
      <c r="CR43" s="330"/>
      <c r="CS43" s="185"/>
      <c r="CT43" s="185"/>
      <c r="CU43" s="185"/>
      <c r="CV43" s="185"/>
      <c r="CW43" s="185"/>
      <c r="CX43" s="185"/>
      <c r="CY43" s="185"/>
      <c r="CZ43" s="185"/>
      <c r="DA43" s="185"/>
      <c r="DB43" s="185"/>
      <c r="DC43" s="185"/>
      <c r="DD43" s="185"/>
      <c r="DE43" s="185"/>
      <c r="DF43" s="185"/>
      <c r="DG43" s="330"/>
      <c r="DH43" s="185"/>
      <c r="DI43" s="185"/>
      <c r="DJ43" s="185"/>
      <c r="DK43" s="185"/>
      <c r="DL43" s="185"/>
      <c r="DM43" s="185"/>
      <c r="DN43" s="329"/>
      <c r="DO43" s="185"/>
      <c r="DP43" s="185"/>
      <c r="DQ43" s="185"/>
      <c r="DR43" s="185"/>
      <c r="DS43" s="185"/>
      <c r="DT43" s="185"/>
      <c r="DU43" s="185"/>
      <c r="DV43" s="185"/>
      <c r="DW43" s="185"/>
      <c r="DX43" s="185"/>
      <c r="DY43" s="331"/>
      <c r="DZ43" s="174"/>
      <c r="EA43" s="174"/>
      <c r="EB43" s="174"/>
      <c r="EC43" s="174"/>
      <c r="ED43" s="174"/>
      <c r="EE43" s="332"/>
      <c r="EF43" s="332"/>
      <c r="EG43" s="332"/>
      <c r="EH43" s="332"/>
      <c r="EI43" s="126"/>
      <c r="EJ43" s="332"/>
      <c r="EK43" s="332"/>
      <c r="EL43" s="332"/>
      <c r="EM43" s="332"/>
      <c r="EN43" s="332"/>
      <c r="EO43" s="332"/>
      <c r="EP43" s="332"/>
      <c r="EQ43" s="332"/>
      <c r="ER43" s="332"/>
      <c r="ES43" s="332"/>
      <c r="ET43" s="331"/>
      <c r="EU43" s="331"/>
      <c r="EV43" s="331"/>
      <c r="EW43" s="332"/>
      <c r="EX43" s="332"/>
      <c r="EY43" s="332"/>
      <c r="EZ43" s="332"/>
      <c r="FA43" s="173"/>
      <c r="FB43" s="173"/>
      <c r="FC43" s="173"/>
      <c r="FD43" s="173"/>
      <c r="FE43" s="173"/>
      <c r="FF43" s="173"/>
      <c r="FG43" s="173"/>
      <c r="FH43" s="173"/>
      <c r="FI43" s="173"/>
      <c r="FJ43" s="174"/>
      <c r="FK43" s="174"/>
      <c r="FL43" s="174"/>
      <c r="FM43" s="330"/>
      <c r="FN43" s="185"/>
      <c r="FO43" s="185"/>
      <c r="FP43" s="185"/>
      <c r="FQ43" s="174"/>
      <c r="FR43" s="330"/>
      <c r="FS43" s="185"/>
      <c r="FT43" s="185"/>
      <c r="FU43" s="185"/>
      <c r="FV43" s="185"/>
      <c r="FW43" s="185"/>
      <c r="FX43" s="185"/>
      <c r="FY43" s="185"/>
      <c r="FZ43" s="185"/>
      <c r="GA43" s="126"/>
      <c r="GB43" s="95"/>
      <c r="GC43" s="95"/>
      <c r="GD43" s="95"/>
      <c r="GE43" s="95"/>
      <c r="GF43" s="95"/>
      <c r="GG43" s="95"/>
      <c r="GH43" s="284"/>
      <c r="GI43" s="69"/>
      <c r="GJ43" s="71"/>
      <c r="GK43" s="72"/>
      <c r="GL43" s="71"/>
      <c r="GM43" s="71"/>
      <c r="GN43" s="71"/>
      <c r="GO43" s="71"/>
      <c r="GP43" s="72"/>
      <c r="GQ43" s="72"/>
      <c r="GR43" s="72"/>
      <c r="GS43" s="72"/>
      <c r="GT43" s="67"/>
      <c r="GU43" s="67"/>
      <c r="GV43" s="67"/>
      <c r="GW43" s="67"/>
      <c r="GX43" s="67"/>
      <c r="GY43" s="67"/>
      <c r="GZ43" s="67"/>
      <c r="HA43" s="67"/>
      <c r="HB43" s="67"/>
      <c r="HC43" s="67"/>
      <c r="HD43" s="67"/>
      <c r="HE43" s="67"/>
      <c r="HF43" s="71"/>
      <c r="HG43" s="71"/>
      <c r="HH43" s="71"/>
      <c r="HI43" s="71"/>
      <c r="HJ43" s="70"/>
      <c r="HK43" s="70"/>
      <c r="HL43" s="70"/>
      <c r="HM43" s="70"/>
      <c r="HN43" s="70"/>
      <c r="HO43" s="70"/>
      <c r="HP43" s="73"/>
      <c r="HQ43" s="74"/>
    </row>
    <row r="44" spans="1:225" s="75" customFormat="1">
      <c r="A44" s="95"/>
      <c r="B44" s="173"/>
      <c r="C44" s="173"/>
      <c r="D44" s="173"/>
      <c r="E44" s="173"/>
      <c r="F44" s="173"/>
      <c r="G44" s="173"/>
      <c r="H44" s="173"/>
      <c r="I44" s="173"/>
      <c r="J44" s="173"/>
      <c r="K44" s="173"/>
      <c r="L44" s="173"/>
      <c r="M44" s="173"/>
      <c r="N44" s="185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328"/>
      <c r="Z44" s="328"/>
      <c r="AA44" s="328"/>
      <c r="AB44" s="328"/>
      <c r="AC44" s="328"/>
      <c r="AD44" s="185"/>
      <c r="AE44" s="185"/>
      <c r="AF44" s="185"/>
      <c r="AG44" s="185"/>
      <c r="AH44" s="185"/>
      <c r="AI44" s="185"/>
      <c r="AJ44" s="329"/>
      <c r="AK44" s="185"/>
      <c r="AL44" s="185"/>
      <c r="AM44" s="185"/>
      <c r="AN44" s="173"/>
      <c r="AO44" s="173"/>
      <c r="AP44" s="173"/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  <c r="BJ44" s="173"/>
      <c r="BK44" s="173"/>
      <c r="BL44" s="173"/>
      <c r="BM44" s="173"/>
      <c r="BN44" s="173"/>
      <c r="BO44" s="173"/>
      <c r="BP44" s="173"/>
      <c r="BQ44" s="173"/>
      <c r="BR44" s="173"/>
      <c r="BS44" s="173"/>
      <c r="BT44" s="173"/>
      <c r="BU44" s="173"/>
      <c r="BV44" s="173"/>
      <c r="BW44" s="173"/>
      <c r="BX44" s="185"/>
      <c r="BY44" s="185"/>
      <c r="BZ44" s="185"/>
      <c r="CA44" s="329"/>
      <c r="CB44" s="185"/>
      <c r="CC44" s="185"/>
      <c r="CD44" s="185"/>
      <c r="CE44" s="185"/>
      <c r="CF44" s="329"/>
      <c r="CG44" s="185"/>
      <c r="CH44" s="366"/>
      <c r="CI44" s="185"/>
      <c r="CJ44" s="185"/>
      <c r="CK44" s="185"/>
      <c r="CL44" s="185"/>
      <c r="CM44" s="330"/>
      <c r="CN44" s="185"/>
      <c r="CO44" s="185"/>
      <c r="CP44" s="185"/>
      <c r="CQ44" s="185"/>
      <c r="CR44" s="330"/>
      <c r="CS44" s="185"/>
      <c r="CT44" s="185"/>
      <c r="CU44" s="185"/>
      <c r="CV44" s="185"/>
      <c r="CW44" s="185"/>
      <c r="CX44" s="185"/>
      <c r="CY44" s="185"/>
      <c r="CZ44" s="185"/>
      <c r="DA44" s="185"/>
      <c r="DB44" s="185"/>
      <c r="DC44" s="185"/>
      <c r="DD44" s="185"/>
      <c r="DE44" s="185"/>
      <c r="DF44" s="185"/>
      <c r="DG44" s="330"/>
      <c r="DH44" s="185"/>
      <c r="DI44" s="185"/>
      <c r="DJ44" s="185"/>
      <c r="DK44" s="185"/>
      <c r="DL44" s="185"/>
      <c r="DM44" s="185"/>
      <c r="DN44" s="329"/>
      <c r="DO44" s="185"/>
      <c r="DP44" s="185"/>
      <c r="DQ44" s="185"/>
      <c r="DR44" s="185"/>
      <c r="DS44" s="185"/>
      <c r="DT44" s="185"/>
      <c r="DU44" s="185"/>
      <c r="DV44" s="185"/>
      <c r="DW44" s="185"/>
      <c r="DX44" s="185"/>
      <c r="DY44" s="331"/>
      <c r="DZ44" s="174"/>
      <c r="EA44" s="174"/>
      <c r="EB44" s="174"/>
      <c r="EC44" s="174"/>
      <c r="ED44" s="174"/>
      <c r="EE44" s="332"/>
      <c r="EF44" s="332"/>
      <c r="EG44" s="332"/>
      <c r="EH44" s="332"/>
      <c r="EI44" s="126"/>
      <c r="EJ44" s="332"/>
      <c r="EK44" s="332"/>
      <c r="EL44" s="332"/>
      <c r="EM44" s="332"/>
      <c r="EN44" s="332"/>
      <c r="EO44" s="332"/>
      <c r="EP44" s="332"/>
      <c r="EQ44" s="332"/>
      <c r="ER44" s="332"/>
      <c r="ES44" s="332"/>
      <c r="ET44" s="331"/>
      <c r="EU44" s="331"/>
      <c r="EV44" s="331"/>
      <c r="EW44" s="332"/>
      <c r="EX44" s="332"/>
      <c r="EY44" s="332"/>
      <c r="EZ44" s="332"/>
      <c r="FA44" s="173"/>
      <c r="FB44" s="173"/>
      <c r="FC44" s="173"/>
      <c r="FD44" s="173"/>
      <c r="FE44" s="173"/>
      <c r="FF44" s="173"/>
      <c r="FG44" s="173"/>
      <c r="FH44" s="173"/>
      <c r="FI44" s="173"/>
      <c r="FJ44" s="174"/>
      <c r="FK44" s="174"/>
      <c r="FL44" s="174"/>
      <c r="FM44" s="330"/>
      <c r="FN44" s="185"/>
      <c r="FO44" s="185"/>
      <c r="FP44" s="185"/>
      <c r="FQ44" s="174"/>
      <c r="FR44" s="330"/>
      <c r="FS44" s="185"/>
      <c r="FT44" s="185"/>
      <c r="FU44" s="185"/>
      <c r="FV44" s="185"/>
      <c r="FW44" s="185"/>
      <c r="FX44" s="185"/>
      <c r="FY44" s="185"/>
      <c r="FZ44" s="185"/>
      <c r="GA44" s="126"/>
      <c r="GB44" s="284"/>
      <c r="GC44" s="284"/>
      <c r="GD44" s="284"/>
      <c r="GE44" s="284"/>
      <c r="GF44" s="95"/>
      <c r="GG44" s="95"/>
      <c r="GH44" s="284"/>
      <c r="GI44" s="67"/>
      <c r="GJ44" s="67"/>
      <c r="GK44" s="67"/>
      <c r="GL44" s="67"/>
      <c r="GM44" s="67"/>
      <c r="GN44" s="71"/>
      <c r="GO44" s="71"/>
      <c r="GP44" s="71"/>
      <c r="GQ44" s="71"/>
      <c r="GR44" s="70"/>
      <c r="GS44" s="70"/>
      <c r="GT44" s="70"/>
      <c r="GU44" s="70"/>
      <c r="GV44" s="70"/>
      <c r="GW44" s="70"/>
      <c r="GX44" s="73"/>
      <c r="GY44" s="74"/>
    </row>
    <row r="45" spans="1:225" s="75" customFormat="1">
      <c r="A45" s="95"/>
      <c r="B45" s="173"/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85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328"/>
      <c r="Z45" s="328"/>
      <c r="AA45" s="328"/>
      <c r="AB45" s="328"/>
      <c r="AC45" s="328"/>
      <c r="AD45" s="185"/>
      <c r="AE45" s="185"/>
      <c r="AF45" s="185"/>
      <c r="AG45" s="185"/>
      <c r="AH45" s="185"/>
      <c r="AI45" s="185"/>
      <c r="AJ45" s="329"/>
      <c r="AK45" s="185"/>
      <c r="AL45" s="185"/>
      <c r="AM45" s="185"/>
      <c r="AN45" s="173"/>
      <c r="AO45" s="173"/>
      <c r="AP45" s="173"/>
      <c r="AQ45" s="173"/>
      <c r="AR45" s="173"/>
      <c r="AS45" s="173"/>
      <c r="AT45" s="173"/>
      <c r="AU45" s="173"/>
      <c r="AV45" s="173"/>
      <c r="AW45" s="173"/>
      <c r="AX45" s="173"/>
      <c r="AY45" s="173"/>
      <c r="AZ45" s="173"/>
      <c r="BA45" s="173"/>
      <c r="BB45" s="173"/>
      <c r="BC45" s="173"/>
      <c r="BD45" s="173"/>
      <c r="BE45" s="173"/>
      <c r="BF45" s="173"/>
      <c r="BG45" s="173"/>
      <c r="BH45" s="173"/>
      <c r="BI45" s="173"/>
      <c r="BJ45" s="173"/>
      <c r="BK45" s="173"/>
      <c r="BL45" s="173"/>
      <c r="BM45" s="173"/>
      <c r="BN45" s="173"/>
      <c r="BO45" s="173"/>
      <c r="BP45" s="173"/>
      <c r="BQ45" s="173"/>
      <c r="BR45" s="173"/>
      <c r="BS45" s="173"/>
      <c r="BT45" s="173"/>
      <c r="BU45" s="173"/>
      <c r="BV45" s="173"/>
      <c r="BW45" s="173"/>
      <c r="BX45" s="185"/>
      <c r="BY45" s="185"/>
      <c r="BZ45" s="185"/>
      <c r="CA45" s="329"/>
      <c r="CB45" s="185"/>
      <c r="CC45" s="185"/>
      <c r="CD45" s="185"/>
      <c r="CE45" s="185"/>
      <c r="CF45" s="329"/>
      <c r="CG45" s="185"/>
      <c r="CH45" s="330"/>
      <c r="CI45" s="185"/>
      <c r="CJ45" s="185"/>
      <c r="CK45" s="185"/>
      <c r="CL45" s="185"/>
      <c r="CM45" s="330"/>
      <c r="CN45" s="185"/>
      <c r="CO45" s="185"/>
      <c r="CP45" s="185"/>
      <c r="CQ45" s="185"/>
      <c r="CR45" s="330"/>
      <c r="CS45" s="185"/>
      <c r="CT45" s="185"/>
      <c r="CU45" s="185"/>
      <c r="CV45" s="185"/>
      <c r="CW45" s="185"/>
      <c r="CX45" s="185"/>
      <c r="CY45" s="185"/>
      <c r="CZ45" s="185"/>
      <c r="DA45" s="185"/>
      <c r="DB45" s="185"/>
      <c r="DC45" s="185"/>
      <c r="DD45" s="185"/>
      <c r="DE45" s="185"/>
      <c r="DF45" s="185"/>
      <c r="DG45" s="330"/>
      <c r="DH45" s="185"/>
      <c r="DI45" s="185"/>
      <c r="DJ45" s="185"/>
      <c r="DK45" s="185"/>
      <c r="DL45" s="185"/>
      <c r="DM45" s="185"/>
      <c r="DN45" s="329"/>
      <c r="DO45" s="185"/>
      <c r="DP45" s="185"/>
      <c r="DQ45" s="185"/>
      <c r="DR45" s="185"/>
      <c r="DS45" s="185"/>
      <c r="DT45" s="185"/>
      <c r="DU45" s="185"/>
      <c r="DV45" s="185"/>
      <c r="DW45" s="185"/>
      <c r="DX45" s="185"/>
      <c r="DY45" s="331"/>
      <c r="DZ45" s="174"/>
      <c r="EA45" s="174"/>
      <c r="EB45" s="174"/>
      <c r="EC45" s="174"/>
      <c r="ED45" s="174"/>
      <c r="EE45" s="332"/>
      <c r="EF45" s="332"/>
      <c r="EG45" s="332"/>
      <c r="EH45" s="332"/>
      <c r="EI45" s="126"/>
      <c r="EJ45" s="332"/>
      <c r="EK45" s="332"/>
      <c r="EL45" s="332"/>
      <c r="EM45" s="332"/>
      <c r="EN45" s="332"/>
      <c r="EO45" s="332"/>
      <c r="EP45" s="332"/>
      <c r="EQ45" s="332"/>
      <c r="ER45" s="332"/>
      <c r="ES45" s="332"/>
      <c r="ET45" s="331"/>
      <c r="EU45" s="331"/>
      <c r="EV45" s="331"/>
      <c r="EW45" s="332"/>
      <c r="EX45" s="332"/>
      <c r="EY45" s="332"/>
      <c r="EZ45" s="332"/>
      <c r="FA45" s="173"/>
      <c r="FB45" s="173"/>
      <c r="FC45" s="173"/>
      <c r="FD45" s="173"/>
      <c r="FE45" s="173"/>
      <c r="FF45" s="173"/>
      <c r="FG45" s="173"/>
      <c r="FH45" s="173"/>
      <c r="FI45" s="173"/>
      <c r="FJ45" s="174"/>
      <c r="FK45" s="174"/>
      <c r="FL45" s="174"/>
      <c r="FM45" s="330"/>
      <c r="FN45" s="185"/>
      <c r="FO45" s="185"/>
      <c r="FP45" s="185"/>
      <c r="FQ45" s="174"/>
      <c r="FR45" s="330"/>
      <c r="FS45" s="185"/>
      <c r="FT45" s="185"/>
      <c r="FU45" s="185"/>
      <c r="FV45" s="185"/>
      <c r="FW45" s="185"/>
      <c r="FX45" s="185"/>
      <c r="FY45" s="185"/>
      <c r="FZ45" s="185"/>
      <c r="GA45" s="126"/>
      <c r="GB45" s="284"/>
      <c r="GC45" s="284"/>
      <c r="GD45" s="284"/>
      <c r="GE45" s="284"/>
      <c r="GF45" s="95"/>
      <c r="GG45" s="95"/>
      <c r="GH45" s="284"/>
      <c r="GI45" s="67"/>
      <c r="GJ45" s="67"/>
      <c r="GK45" s="67"/>
      <c r="GL45" s="67"/>
      <c r="GM45" s="67"/>
      <c r="GN45" s="71"/>
      <c r="GO45" s="71"/>
      <c r="GP45" s="71"/>
      <c r="GQ45" s="71"/>
      <c r="GR45" s="70"/>
      <c r="GS45" s="70"/>
      <c r="GT45" s="70"/>
      <c r="GU45" s="70"/>
      <c r="GV45" s="70"/>
      <c r="GW45" s="70"/>
      <c r="GX45" s="73"/>
      <c r="GY45" s="74"/>
    </row>
    <row r="46" spans="1:225" s="75" customFormat="1">
      <c r="A46" s="95"/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173"/>
      <c r="M46" s="173"/>
      <c r="N46" s="185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328"/>
      <c r="Z46" s="328"/>
      <c r="AA46" s="328"/>
      <c r="AB46" s="328"/>
      <c r="AC46" s="328"/>
      <c r="AD46" s="185"/>
      <c r="AE46" s="185"/>
      <c r="AF46" s="185"/>
      <c r="AG46" s="185"/>
      <c r="AH46" s="185"/>
      <c r="AI46" s="185"/>
      <c r="AJ46" s="329"/>
      <c r="AK46" s="185"/>
      <c r="AL46" s="185"/>
      <c r="AM46" s="185"/>
      <c r="AN46" s="173"/>
      <c r="AO46" s="173"/>
      <c r="AP46" s="173"/>
      <c r="AQ46" s="173"/>
      <c r="AR46" s="173"/>
      <c r="AS46" s="173"/>
      <c r="AT46" s="173"/>
      <c r="AU46" s="173"/>
      <c r="AV46" s="173"/>
      <c r="AW46" s="173"/>
      <c r="AX46" s="173"/>
      <c r="AY46" s="173"/>
      <c r="AZ46" s="173"/>
      <c r="BA46" s="173"/>
      <c r="BB46" s="173"/>
      <c r="BC46" s="173"/>
      <c r="BD46" s="173"/>
      <c r="BE46" s="173"/>
      <c r="BF46" s="173"/>
      <c r="BG46" s="173"/>
      <c r="BH46" s="173"/>
      <c r="BI46" s="173"/>
      <c r="BJ46" s="173"/>
      <c r="BK46" s="173"/>
      <c r="BL46" s="173"/>
      <c r="BM46" s="173"/>
      <c r="BN46" s="173"/>
      <c r="BO46" s="173"/>
      <c r="BP46" s="173"/>
      <c r="BQ46" s="173"/>
      <c r="BR46" s="173"/>
      <c r="BS46" s="173"/>
      <c r="BT46" s="173"/>
      <c r="BU46" s="173"/>
      <c r="BV46" s="173"/>
      <c r="BW46" s="173"/>
      <c r="BX46" s="185"/>
      <c r="BY46" s="185"/>
      <c r="BZ46" s="185"/>
      <c r="CA46" s="329"/>
      <c r="CB46" s="185"/>
      <c r="CC46" s="185"/>
      <c r="CD46" s="185"/>
      <c r="CE46" s="185"/>
      <c r="CF46" s="329"/>
      <c r="CG46" s="185"/>
      <c r="CH46" s="330"/>
      <c r="CI46" s="185"/>
      <c r="CJ46" s="185"/>
      <c r="CK46" s="185"/>
      <c r="CL46" s="185"/>
      <c r="CM46" s="330"/>
      <c r="CN46" s="185"/>
      <c r="CO46" s="185"/>
      <c r="CP46" s="185"/>
      <c r="CQ46" s="185"/>
      <c r="CR46" s="330"/>
      <c r="CS46" s="185"/>
      <c r="CT46" s="185"/>
      <c r="CU46" s="185"/>
      <c r="CV46" s="185"/>
      <c r="CW46" s="185"/>
      <c r="CX46" s="185"/>
      <c r="CY46" s="185"/>
      <c r="CZ46" s="185"/>
      <c r="DA46" s="185"/>
      <c r="DB46" s="185"/>
      <c r="DC46" s="185"/>
      <c r="DD46" s="185"/>
      <c r="DE46" s="185"/>
      <c r="DF46" s="185"/>
      <c r="DG46" s="330"/>
      <c r="DH46" s="185"/>
      <c r="DI46" s="185"/>
      <c r="DJ46" s="185"/>
      <c r="DK46" s="185"/>
      <c r="DL46" s="185"/>
      <c r="DM46" s="185"/>
      <c r="DN46" s="329"/>
      <c r="DO46" s="185"/>
      <c r="DP46" s="185"/>
      <c r="DQ46" s="185"/>
      <c r="DR46" s="185"/>
      <c r="DS46" s="185"/>
      <c r="DT46" s="185"/>
      <c r="DU46" s="185"/>
      <c r="DV46" s="185"/>
      <c r="DW46" s="185"/>
      <c r="DX46" s="185"/>
      <c r="DY46" s="331"/>
      <c r="DZ46" s="174"/>
      <c r="EA46" s="174"/>
      <c r="EB46" s="174"/>
      <c r="EC46" s="174"/>
      <c r="ED46" s="174"/>
      <c r="EE46" s="332"/>
      <c r="EF46" s="332"/>
      <c r="EG46" s="332"/>
      <c r="EH46" s="332"/>
      <c r="EI46" s="126"/>
      <c r="EJ46" s="332"/>
      <c r="EK46" s="332"/>
      <c r="EL46" s="332"/>
      <c r="EM46" s="332"/>
      <c r="EN46" s="332"/>
      <c r="EO46" s="332"/>
      <c r="EP46" s="332"/>
      <c r="EQ46" s="332"/>
      <c r="ER46" s="332"/>
      <c r="ES46" s="332"/>
      <c r="ET46" s="331"/>
      <c r="EU46" s="331"/>
      <c r="EV46" s="331"/>
      <c r="EW46" s="332"/>
      <c r="EX46" s="332"/>
      <c r="EY46" s="332"/>
      <c r="EZ46" s="332"/>
      <c r="FA46" s="173"/>
      <c r="FB46" s="173"/>
      <c r="FC46" s="173"/>
      <c r="FD46" s="173"/>
      <c r="FE46" s="173"/>
      <c r="FF46" s="173"/>
      <c r="FG46" s="173"/>
      <c r="FH46" s="173"/>
      <c r="FI46" s="173"/>
      <c r="FJ46" s="174"/>
      <c r="FK46" s="174"/>
      <c r="FL46" s="174"/>
      <c r="FM46" s="330"/>
      <c r="FN46" s="185"/>
      <c r="FO46" s="185"/>
      <c r="FP46" s="185"/>
      <c r="FQ46" s="174"/>
      <c r="FR46" s="330"/>
      <c r="FS46" s="185"/>
      <c r="FT46" s="185"/>
      <c r="FU46" s="185"/>
      <c r="FV46" s="185"/>
      <c r="FW46" s="185"/>
      <c r="FX46" s="185"/>
      <c r="FY46" s="185"/>
      <c r="FZ46" s="185"/>
      <c r="GA46" s="126"/>
      <c r="GB46" s="284"/>
      <c r="GC46" s="284"/>
      <c r="GD46" s="284"/>
      <c r="GE46" s="284"/>
      <c r="GF46" s="95"/>
      <c r="GG46" s="95"/>
      <c r="GH46" s="284"/>
      <c r="GI46" s="67"/>
      <c r="GJ46" s="67"/>
      <c r="GK46" s="67"/>
      <c r="GL46" s="67"/>
      <c r="GM46" s="67"/>
      <c r="GN46" s="71"/>
      <c r="GO46" s="71"/>
      <c r="GP46" s="71"/>
      <c r="GQ46" s="71"/>
      <c r="GR46" s="70"/>
      <c r="GS46" s="70"/>
      <c r="GT46" s="70"/>
      <c r="GU46" s="70"/>
      <c r="GV46" s="70"/>
      <c r="GW46" s="70"/>
      <c r="GX46" s="73"/>
      <c r="GY46" s="74"/>
    </row>
    <row r="47" spans="1:225" s="75" customFormat="1">
      <c r="A47" s="95"/>
      <c r="B47" s="173"/>
      <c r="C47" s="173"/>
      <c r="D47" s="173"/>
      <c r="E47" s="173"/>
      <c r="F47" s="173"/>
      <c r="G47" s="173"/>
      <c r="H47" s="173"/>
      <c r="I47" s="173"/>
      <c r="J47" s="173"/>
      <c r="K47" s="173"/>
      <c r="L47" s="173"/>
      <c r="M47" s="173"/>
      <c r="N47" s="185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328"/>
      <c r="Z47" s="328"/>
      <c r="AA47" s="328"/>
      <c r="AB47" s="328"/>
      <c r="AC47" s="328"/>
      <c r="AD47" s="185"/>
      <c r="AE47" s="185"/>
      <c r="AF47" s="185"/>
      <c r="AG47" s="185"/>
      <c r="AH47" s="185"/>
      <c r="AI47" s="185"/>
      <c r="AJ47" s="329"/>
      <c r="AK47" s="185"/>
      <c r="AL47" s="185"/>
      <c r="AM47" s="185"/>
      <c r="AN47" s="173"/>
      <c r="AO47" s="173"/>
      <c r="AP47" s="173"/>
      <c r="AQ47" s="173"/>
      <c r="AR47" s="173"/>
      <c r="AS47" s="173"/>
      <c r="AT47" s="173"/>
      <c r="AU47" s="173"/>
      <c r="AV47" s="173"/>
      <c r="AW47" s="173"/>
      <c r="AX47" s="173"/>
      <c r="AY47" s="173"/>
      <c r="AZ47" s="173"/>
      <c r="BA47" s="173"/>
      <c r="BB47" s="173"/>
      <c r="BC47" s="173"/>
      <c r="BD47" s="173"/>
      <c r="BE47" s="173"/>
      <c r="BF47" s="173"/>
      <c r="BG47" s="173"/>
      <c r="BH47" s="173"/>
      <c r="BI47" s="173"/>
      <c r="BJ47" s="173"/>
      <c r="BK47" s="173"/>
      <c r="BL47" s="173"/>
      <c r="BM47" s="173"/>
      <c r="BN47" s="173"/>
      <c r="BO47" s="173"/>
      <c r="BP47" s="173"/>
      <c r="BQ47" s="173"/>
      <c r="BR47" s="173"/>
      <c r="BS47" s="173"/>
      <c r="BT47" s="173"/>
      <c r="BU47" s="173"/>
      <c r="BV47" s="173"/>
      <c r="BW47" s="173"/>
      <c r="BX47" s="185"/>
      <c r="BY47" s="185"/>
      <c r="BZ47" s="185"/>
      <c r="CA47" s="329"/>
      <c r="CB47" s="185"/>
      <c r="CC47" s="185"/>
      <c r="CD47" s="185"/>
      <c r="CE47" s="185"/>
      <c r="CF47" s="329"/>
      <c r="CG47" s="185"/>
      <c r="CH47" s="330"/>
      <c r="CI47" s="185"/>
      <c r="CJ47" s="185"/>
      <c r="CK47" s="185"/>
      <c r="CL47" s="185"/>
      <c r="CM47" s="330"/>
      <c r="CN47" s="185"/>
      <c r="CO47" s="185"/>
      <c r="CP47" s="185"/>
      <c r="CQ47" s="185"/>
      <c r="CR47" s="330"/>
      <c r="CS47" s="185"/>
      <c r="CT47" s="185"/>
      <c r="CU47" s="185"/>
      <c r="CV47" s="185"/>
      <c r="CW47" s="185"/>
      <c r="CX47" s="185"/>
      <c r="CY47" s="185"/>
      <c r="CZ47" s="185"/>
      <c r="DA47" s="185"/>
      <c r="DB47" s="185"/>
      <c r="DC47" s="185"/>
      <c r="DD47" s="185"/>
      <c r="DE47" s="185"/>
      <c r="DF47" s="185"/>
      <c r="DG47" s="330"/>
      <c r="DH47" s="185"/>
      <c r="DI47" s="185"/>
      <c r="DJ47" s="185"/>
      <c r="DK47" s="185"/>
      <c r="DL47" s="185"/>
      <c r="DM47" s="185"/>
      <c r="DN47" s="329"/>
      <c r="DO47" s="185"/>
      <c r="DP47" s="185"/>
      <c r="DQ47" s="185"/>
      <c r="DR47" s="185"/>
      <c r="DS47" s="185"/>
      <c r="DT47" s="185"/>
      <c r="DU47" s="185"/>
      <c r="DV47" s="185"/>
      <c r="DW47" s="185"/>
      <c r="DX47" s="185"/>
      <c r="DY47" s="331"/>
      <c r="DZ47" s="174"/>
      <c r="EA47" s="174"/>
      <c r="EB47" s="174"/>
      <c r="EC47" s="174"/>
      <c r="ED47" s="174"/>
      <c r="EE47" s="332"/>
      <c r="EF47" s="332"/>
      <c r="EG47" s="332"/>
      <c r="EH47" s="332"/>
      <c r="EI47" s="126"/>
      <c r="EJ47" s="332"/>
      <c r="EK47" s="332"/>
      <c r="EL47" s="332"/>
      <c r="EM47" s="332"/>
      <c r="EN47" s="332"/>
      <c r="EO47" s="332"/>
      <c r="EP47" s="332"/>
      <c r="EQ47" s="332"/>
      <c r="ER47" s="332"/>
      <c r="ES47" s="332"/>
      <c r="ET47" s="331"/>
      <c r="EU47" s="331"/>
      <c r="EV47" s="331"/>
      <c r="EW47" s="332"/>
      <c r="EX47" s="332"/>
      <c r="EY47" s="332"/>
      <c r="EZ47" s="332"/>
      <c r="FA47" s="173"/>
      <c r="FB47" s="173"/>
      <c r="FC47" s="173"/>
      <c r="FD47" s="173"/>
      <c r="FE47" s="173"/>
      <c r="FF47" s="173"/>
      <c r="FG47" s="173"/>
      <c r="FH47" s="173"/>
      <c r="FI47" s="173"/>
      <c r="FJ47" s="174"/>
      <c r="FK47" s="174"/>
      <c r="FL47" s="174"/>
      <c r="FM47" s="330"/>
      <c r="FN47" s="185"/>
      <c r="FO47" s="185"/>
      <c r="FP47" s="185"/>
      <c r="FQ47" s="174"/>
      <c r="FR47" s="330"/>
      <c r="FS47" s="185"/>
      <c r="FT47" s="185"/>
      <c r="FU47" s="185"/>
      <c r="FV47" s="185"/>
      <c r="FW47" s="185"/>
      <c r="FX47" s="185"/>
      <c r="FY47" s="185"/>
      <c r="FZ47" s="185"/>
      <c r="GA47" s="126"/>
      <c r="GB47" s="284"/>
      <c r="GC47" s="284"/>
      <c r="GD47" s="284"/>
      <c r="GE47" s="284"/>
      <c r="GF47" s="95"/>
      <c r="GG47" s="95"/>
      <c r="GH47" s="284"/>
      <c r="GI47" s="67"/>
      <c r="GJ47" s="67"/>
      <c r="GK47" s="67"/>
      <c r="GL47" s="67"/>
      <c r="GM47" s="67"/>
      <c r="GN47" s="71"/>
      <c r="GO47" s="71"/>
      <c r="GP47" s="71"/>
      <c r="GQ47" s="71"/>
      <c r="GR47" s="70"/>
      <c r="GS47" s="70"/>
      <c r="GT47" s="70"/>
      <c r="GU47" s="70"/>
      <c r="GV47" s="70"/>
      <c r="GW47" s="70"/>
      <c r="GX47" s="73"/>
      <c r="GY47" s="74"/>
    </row>
    <row r="48" spans="1:225" s="75" customFormat="1">
      <c r="A48" s="95"/>
      <c r="B48" s="173"/>
      <c r="C48" s="173"/>
      <c r="D48" s="173"/>
      <c r="E48" s="173"/>
      <c r="F48" s="173"/>
      <c r="G48" s="173"/>
      <c r="H48" s="173"/>
      <c r="I48" s="173"/>
      <c r="J48" s="173"/>
      <c r="K48" s="173"/>
      <c r="L48" s="173"/>
      <c r="M48" s="173"/>
      <c r="N48" s="185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328"/>
      <c r="Z48" s="328"/>
      <c r="AA48" s="328"/>
      <c r="AB48" s="328"/>
      <c r="AC48" s="328"/>
      <c r="AD48" s="185"/>
      <c r="AE48" s="185"/>
      <c r="AF48" s="185"/>
      <c r="AG48" s="185"/>
      <c r="AH48" s="185"/>
      <c r="AI48" s="185"/>
      <c r="AJ48" s="329"/>
      <c r="AK48" s="185"/>
      <c r="AL48" s="185"/>
      <c r="AM48" s="185"/>
      <c r="AN48" s="173"/>
      <c r="AO48" s="173"/>
      <c r="AP48" s="173"/>
      <c r="AQ48" s="173"/>
      <c r="AR48" s="173"/>
      <c r="AS48" s="173"/>
      <c r="AT48" s="173"/>
      <c r="AU48" s="173"/>
      <c r="AV48" s="173"/>
      <c r="AW48" s="173"/>
      <c r="AX48" s="173"/>
      <c r="AY48" s="173"/>
      <c r="AZ48" s="173"/>
      <c r="BA48" s="173"/>
      <c r="BB48" s="173"/>
      <c r="BC48" s="173"/>
      <c r="BD48" s="173"/>
      <c r="BE48" s="173"/>
      <c r="BF48" s="173"/>
      <c r="BG48" s="173"/>
      <c r="BH48" s="173"/>
      <c r="BI48" s="173"/>
      <c r="BJ48" s="173"/>
      <c r="BK48" s="173"/>
      <c r="BL48" s="173"/>
      <c r="BM48" s="173"/>
      <c r="BN48" s="173"/>
      <c r="BO48" s="173"/>
      <c r="BP48" s="173"/>
      <c r="BQ48" s="173"/>
      <c r="BR48" s="173"/>
      <c r="BS48" s="173"/>
      <c r="BT48" s="173"/>
      <c r="BU48" s="173"/>
      <c r="BV48" s="173"/>
      <c r="BW48" s="173"/>
      <c r="BX48" s="185"/>
      <c r="BY48" s="185"/>
      <c r="BZ48" s="185"/>
      <c r="CA48" s="329"/>
      <c r="CB48" s="185"/>
      <c r="CC48" s="185"/>
      <c r="CD48" s="185"/>
      <c r="CE48" s="185"/>
      <c r="CF48" s="329"/>
      <c r="CG48" s="185"/>
      <c r="CH48" s="330"/>
      <c r="CI48" s="185"/>
      <c r="CJ48" s="185"/>
      <c r="CK48" s="185"/>
      <c r="CL48" s="185"/>
      <c r="CM48" s="330"/>
      <c r="CN48" s="185"/>
      <c r="CO48" s="185"/>
      <c r="CP48" s="185"/>
      <c r="CQ48" s="185"/>
      <c r="CR48" s="330"/>
      <c r="CS48" s="185"/>
      <c r="CT48" s="185"/>
      <c r="CU48" s="185"/>
      <c r="CV48" s="185"/>
      <c r="CW48" s="185"/>
      <c r="CX48" s="185"/>
      <c r="CY48" s="185"/>
      <c r="CZ48" s="185"/>
      <c r="DA48" s="185"/>
      <c r="DB48" s="185"/>
      <c r="DC48" s="185"/>
      <c r="DD48" s="185"/>
      <c r="DE48" s="185"/>
      <c r="DF48" s="185"/>
      <c r="DG48" s="330"/>
      <c r="DH48" s="185"/>
      <c r="DI48" s="185"/>
      <c r="DJ48" s="185"/>
      <c r="DK48" s="185"/>
      <c r="DL48" s="185"/>
      <c r="DM48" s="185"/>
      <c r="DN48" s="329"/>
      <c r="DO48" s="185"/>
      <c r="DP48" s="185"/>
      <c r="DQ48" s="185"/>
      <c r="DR48" s="185"/>
      <c r="DS48" s="185"/>
      <c r="DT48" s="185"/>
      <c r="DU48" s="185"/>
      <c r="DV48" s="185"/>
      <c r="DW48" s="185"/>
      <c r="DX48" s="185"/>
      <c r="DY48" s="331"/>
      <c r="DZ48" s="174"/>
      <c r="EA48" s="174"/>
      <c r="EB48" s="174"/>
      <c r="EC48" s="174"/>
      <c r="ED48" s="174"/>
      <c r="EE48" s="332"/>
      <c r="EF48" s="332"/>
      <c r="EG48" s="332"/>
      <c r="EH48" s="332"/>
      <c r="EI48" s="126"/>
      <c r="EJ48" s="332"/>
      <c r="EK48" s="332"/>
      <c r="EL48" s="332"/>
      <c r="EM48" s="332"/>
      <c r="EN48" s="332"/>
      <c r="EO48" s="332"/>
      <c r="EP48" s="332"/>
      <c r="EQ48" s="332"/>
      <c r="ER48" s="332"/>
      <c r="ES48" s="332"/>
      <c r="ET48" s="331"/>
      <c r="EU48" s="331"/>
      <c r="EV48" s="331"/>
      <c r="EW48" s="332"/>
      <c r="EX48" s="332"/>
      <c r="EY48" s="332"/>
      <c r="EZ48" s="332"/>
      <c r="FA48" s="173"/>
      <c r="FB48" s="173"/>
      <c r="FC48" s="173"/>
      <c r="FD48" s="173"/>
      <c r="FE48" s="173"/>
      <c r="FF48" s="173"/>
      <c r="FG48" s="173"/>
      <c r="FH48" s="173"/>
      <c r="FI48" s="173"/>
      <c r="FJ48" s="174"/>
      <c r="FK48" s="174"/>
      <c r="FL48" s="174"/>
      <c r="FM48" s="330"/>
      <c r="FN48" s="185"/>
      <c r="FO48" s="185"/>
      <c r="FP48" s="185"/>
      <c r="FQ48" s="174"/>
      <c r="FR48" s="330"/>
      <c r="FS48" s="185"/>
      <c r="FT48" s="185"/>
      <c r="FU48" s="185"/>
      <c r="FV48" s="185"/>
      <c r="FW48" s="185"/>
      <c r="FX48" s="185"/>
      <c r="FY48" s="185"/>
      <c r="FZ48" s="185"/>
      <c r="GA48" s="126"/>
      <c r="GB48" s="284"/>
      <c r="GC48" s="284"/>
      <c r="GD48" s="284"/>
      <c r="GE48" s="284"/>
      <c r="GF48" s="95"/>
      <c r="GG48" s="95"/>
      <c r="GH48" s="284"/>
      <c r="GI48" s="67"/>
      <c r="GJ48" s="67"/>
      <c r="GK48" s="67"/>
      <c r="GL48" s="67"/>
      <c r="GM48" s="67"/>
      <c r="GN48" s="71"/>
      <c r="GO48" s="71"/>
      <c r="GP48" s="71"/>
      <c r="GQ48" s="71"/>
      <c r="GR48" s="70"/>
      <c r="GS48" s="70"/>
      <c r="GT48" s="70"/>
      <c r="GU48" s="70"/>
      <c r="GV48" s="70"/>
      <c r="GW48" s="70"/>
      <c r="GX48" s="73"/>
      <c r="GY48" s="74"/>
    </row>
    <row r="49" spans="1:207" s="75" customFormat="1">
      <c r="A49" s="95"/>
      <c r="B49" s="173"/>
      <c r="C49" s="173"/>
      <c r="D49" s="173"/>
      <c r="E49" s="173"/>
      <c r="F49" s="173"/>
      <c r="G49" s="173"/>
      <c r="H49" s="173"/>
      <c r="I49" s="173"/>
      <c r="J49" s="173"/>
      <c r="K49" s="173"/>
      <c r="L49" s="173"/>
      <c r="M49" s="173"/>
      <c r="N49" s="185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328"/>
      <c r="Z49" s="328"/>
      <c r="AA49" s="328"/>
      <c r="AB49" s="328"/>
      <c r="AC49" s="328"/>
      <c r="AD49" s="185"/>
      <c r="AE49" s="185"/>
      <c r="AF49" s="185"/>
      <c r="AG49" s="185"/>
      <c r="AH49" s="185"/>
      <c r="AI49" s="185"/>
      <c r="AJ49" s="329"/>
      <c r="AK49" s="185"/>
      <c r="AL49" s="185"/>
      <c r="AM49" s="185"/>
      <c r="AN49" s="173"/>
      <c r="AO49" s="173"/>
      <c r="AP49" s="173"/>
      <c r="AQ49" s="173"/>
      <c r="AR49" s="173"/>
      <c r="AS49" s="173"/>
      <c r="AT49" s="173"/>
      <c r="AU49" s="173"/>
      <c r="AV49" s="173"/>
      <c r="AW49" s="173"/>
      <c r="AX49" s="173"/>
      <c r="AY49" s="173"/>
      <c r="AZ49" s="173"/>
      <c r="BA49" s="173"/>
      <c r="BB49" s="173"/>
      <c r="BC49" s="173"/>
      <c r="BD49" s="173"/>
      <c r="BE49" s="173"/>
      <c r="BF49" s="173"/>
      <c r="BG49" s="173"/>
      <c r="BH49" s="173"/>
      <c r="BI49" s="173"/>
      <c r="BJ49" s="173"/>
      <c r="BK49" s="173"/>
      <c r="BL49" s="173"/>
      <c r="BM49" s="173"/>
      <c r="BN49" s="173"/>
      <c r="BO49" s="173"/>
      <c r="BP49" s="173"/>
      <c r="BQ49" s="173"/>
      <c r="BR49" s="173"/>
      <c r="BS49" s="173"/>
      <c r="BT49" s="173"/>
      <c r="BU49" s="173"/>
      <c r="BV49" s="173"/>
      <c r="BW49" s="173"/>
      <c r="BX49" s="185"/>
      <c r="BY49" s="185"/>
      <c r="BZ49" s="185"/>
      <c r="CA49" s="329"/>
      <c r="CB49" s="185"/>
      <c r="CC49" s="185"/>
      <c r="CD49" s="185"/>
      <c r="CE49" s="185"/>
      <c r="CF49" s="329"/>
      <c r="CG49" s="185"/>
      <c r="CH49" s="330"/>
      <c r="CI49" s="185"/>
      <c r="CJ49" s="185"/>
      <c r="CK49" s="185"/>
      <c r="CL49" s="185"/>
      <c r="CM49" s="330"/>
      <c r="CN49" s="185"/>
      <c r="CO49" s="185"/>
      <c r="CP49" s="185"/>
      <c r="CQ49" s="185"/>
      <c r="CR49" s="330"/>
      <c r="CS49" s="185"/>
      <c r="CT49" s="185"/>
      <c r="CU49" s="185"/>
      <c r="CV49" s="185"/>
      <c r="CW49" s="185"/>
      <c r="CX49" s="185"/>
      <c r="CY49" s="185"/>
      <c r="CZ49" s="185"/>
      <c r="DA49" s="185"/>
      <c r="DB49" s="185"/>
      <c r="DC49" s="185"/>
      <c r="DD49" s="185"/>
      <c r="DE49" s="185"/>
      <c r="DF49" s="185"/>
      <c r="DG49" s="330"/>
      <c r="DH49" s="185"/>
      <c r="DI49" s="185"/>
      <c r="DJ49" s="185"/>
      <c r="DK49" s="185"/>
      <c r="DL49" s="185"/>
      <c r="DM49" s="185"/>
      <c r="DN49" s="329"/>
      <c r="DO49" s="185"/>
      <c r="DP49" s="185"/>
      <c r="DQ49" s="185"/>
      <c r="DR49" s="185"/>
      <c r="DS49" s="185"/>
      <c r="DT49" s="185"/>
      <c r="DU49" s="185"/>
      <c r="DV49" s="185"/>
      <c r="DW49" s="185"/>
      <c r="DX49" s="185"/>
      <c r="DY49" s="331"/>
      <c r="DZ49" s="174"/>
      <c r="EA49" s="174"/>
      <c r="EB49" s="174"/>
      <c r="EC49" s="174"/>
      <c r="ED49" s="174"/>
      <c r="EE49" s="332"/>
      <c r="EF49" s="332"/>
      <c r="EG49" s="332"/>
      <c r="EH49" s="332"/>
      <c r="EI49" s="126"/>
      <c r="EJ49" s="332"/>
      <c r="EK49" s="332"/>
      <c r="EL49" s="332"/>
      <c r="EM49" s="332"/>
      <c r="EN49" s="332"/>
      <c r="EO49" s="332"/>
      <c r="EP49" s="332"/>
      <c r="EQ49" s="332"/>
      <c r="ER49" s="332"/>
      <c r="ES49" s="332"/>
      <c r="ET49" s="331"/>
      <c r="EU49" s="331"/>
      <c r="EV49" s="331"/>
      <c r="EW49" s="332"/>
      <c r="EX49" s="332"/>
      <c r="EY49" s="332"/>
      <c r="EZ49" s="332"/>
      <c r="FA49" s="173"/>
      <c r="FB49" s="173"/>
      <c r="FC49" s="173"/>
      <c r="FD49" s="173"/>
      <c r="FE49" s="173"/>
      <c r="FF49" s="173"/>
      <c r="FG49" s="173"/>
      <c r="FH49" s="173"/>
      <c r="FI49" s="173"/>
      <c r="FJ49" s="174"/>
      <c r="FK49" s="174"/>
      <c r="FL49" s="174"/>
      <c r="FM49" s="330"/>
      <c r="FN49" s="185"/>
      <c r="FO49" s="185"/>
      <c r="FP49" s="185"/>
      <c r="FQ49" s="174"/>
      <c r="FR49" s="330"/>
      <c r="FS49" s="185"/>
      <c r="FT49" s="185"/>
      <c r="FU49" s="185"/>
      <c r="FV49" s="185"/>
      <c r="FW49" s="185"/>
      <c r="FX49" s="185"/>
      <c r="FY49" s="185"/>
      <c r="FZ49" s="185"/>
      <c r="GA49" s="126"/>
      <c r="GB49" s="284"/>
      <c r="GC49" s="284"/>
      <c r="GD49" s="284"/>
      <c r="GE49" s="284"/>
      <c r="GF49" s="95"/>
      <c r="GG49" s="95"/>
      <c r="GH49" s="284"/>
      <c r="GI49" s="67"/>
      <c r="GJ49" s="67"/>
      <c r="GK49" s="67"/>
      <c r="GL49" s="67"/>
      <c r="GM49" s="67"/>
      <c r="GN49" s="71"/>
      <c r="GO49" s="71"/>
      <c r="GP49" s="71"/>
      <c r="GQ49" s="71"/>
      <c r="GR49" s="70"/>
      <c r="GS49" s="70"/>
      <c r="GT49" s="70"/>
      <c r="GU49" s="70"/>
      <c r="GV49" s="70"/>
      <c r="GW49" s="70"/>
      <c r="GX49" s="73"/>
      <c r="GY49" s="74"/>
    </row>
    <row r="50" spans="1:207" s="75" customFormat="1">
      <c r="A50" s="95"/>
      <c r="B50" s="173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85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328"/>
      <c r="Z50" s="328"/>
      <c r="AA50" s="328"/>
      <c r="AB50" s="328"/>
      <c r="AC50" s="328"/>
      <c r="AD50" s="185"/>
      <c r="AE50" s="185"/>
      <c r="AF50" s="185"/>
      <c r="AG50" s="185"/>
      <c r="AH50" s="185"/>
      <c r="AI50" s="185"/>
      <c r="AJ50" s="329"/>
      <c r="AK50" s="185"/>
      <c r="AL50" s="185"/>
      <c r="AM50" s="185"/>
      <c r="AN50" s="173"/>
      <c r="AO50" s="173"/>
      <c r="AP50" s="173"/>
      <c r="AQ50" s="173"/>
      <c r="AR50" s="173"/>
      <c r="AS50" s="173"/>
      <c r="AT50" s="173"/>
      <c r="AU50" s="173"/>
      <c r="AV50" s="173"/>
      <c r="AW50" s="173"/>
      <c r="AX50" s="173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  <c r="BJ50" s="173"/>
      <c r="BK50" s="173"/>
      <c r="BL50" s="173"/>
      <c r="BM50" s="173"/>
      <c r="BN50" s="173"/>
      <c r="BO50" s="173"/>
      <c r="BP50" s="173"/>
      <c r="BQ50" s="173"/>
      <c r="BR50" s="173"/>
      <c r="BS50" s="173"/>
      <c r="BT50" s="173"/>
      <c r="BU50" s="173"/>
      <c r="BV50" s="173"/>
      <c r="BW50" s="173"/>
      <c r="BX50" s="185"/>
      <c r="BY50" s="185"/>
      <c r="BZ50" s="185"/>
      <c r="CA50" s="329"/>
      <c r="CB50" s="185"/>
      <c r="CC50" s="185"/>
      <c r="CD50" s="185"/>
      <c r="CE50" s="185"/>
      <c r="CF50" s="329"/>
      <c r="CG50" s="185"/>
      <c r="CH50" s="330"/>
      <c r="CI50" s="185"/>
      <c r="CJ50" s="185"/>
      <c r="CK50" s="185"/>
      <c r="CL50" s="185"/>
      <c r="CM50" s="330"/>
      <c r="CN50" s="185"/>
      <c r="CO50" s="185"/>
      <c r="CP50" s="185"/>
      <c r="CQ50" s="185"/>
      <c r="CR50" s="330"/>
      <c r="CS50" s="185"/>
      <c r="CT50" s="185"/>
      <c r="CU50" s="185"/>
      <c r="CV50" s="185"/>
      <c r="CW50" s="185"/>
      <c r="CX50" s="185"/>
      <c r="CY50" s="185"/>
      <c r="CZ50" s="185"/>
      <c r="DA50" s="185"/>
      <c r="DB50" s="185"/>
      <c r="DC50" s="185"/>
      <c r="DD50" s="185"/>
      <c r="DE50" s="185"/>
      <c r="DF50" s="185"/>
      <c r="DG50" s="330"/>
      <c r="DH50" s="185"/>
      <c r="DI50" s="185"/>
      <c r="DJ50" s="185"/>
      <c r="DK50" s="185"/>
      <c r="DL50" s="185"/>
      <c r="DM50" s="185"/>
      <c r="DN50" s="329"/>
      <c r="DO50" s="185"/>
      <c r="DP50" s="185"/>
      <c r="DQ50" s="185"/>
      <c r="DR50" s="185"/>
      <c r="DS50" s="185"/>
      <c r="DT50" s="185"/>
      <c r="DU50" s="185"/>
      <c r="DV50" s="185"/>
      <c r="DW50" s="185"/>
      <c r="DX50" s="185"/>
      <c r="DY50" s="331"/>
      <c r="DZ50" s="174"/>
      <c r="EA50" s="174"/>
      <c r="EB50" s="174"/>
      <c r="EC50" s="174"/>
      <c r="ED50" s="174"/>
      <c r="EE50" s="332"/>
      <c r="EF50" s="332"/>
      <c r="EG50" s="332"/>
      <c r="EH50" s="332"/>
      <c r="EI50" s="126"/>
      <c r="EJ50" s="332"/>
      <c r="EK50" s="332"/>
      <c r="EL50" s="332"/>
      <c r="EM50" s="332"/>
      <c r="EN50" s="332"/>
      <c r="EO50" s="332"/>
      <c r="EP50" s="332"/>
      <c r="EQ50" s="332"/>
      <c r="ER50" s="332"/>
      <c r="ES50" s="332"/>
      <c r="ET50" s="331"/>
      <c r="EU50" s="331"/>
      <c r="EV50" s="331"/>
      <c r="EW50" s="332"/>
      <c r="EX50" s="332"/>
      <c r="EY50" s="332"/>
      <c r="EZ50" s="332"/>
      <c r="FA50" s="173"/>
      <c r="FB50" s="173"/>
      <c r="FC50" s="173"/>
      <c r="FD50" s="173"/>
      <c r="FE50" s="173"/>
      <c r="FF50" s="173"/>
      <c r="FG50" s="173"/>
      <c r="FH50" s="173"/>
      <c r="FI50" s="173"/>
      <c r="FJ50" s="174"/>
      <c r="FK50" s="174"/>
      <c r="FL50" s="174"/>
      <c r="FM50" s="330"/>
      <c r="FN50" s="185"/>
      <c r="FO50" s="185"/>
      <c r="FP50" s="185"/>
      <c r="FQ50" s="174"/>
      <c r="FR50" s="330"/>
      <c r="FS50" s="185"/>
      <c r="FT50" s="185"/>
      <c r="FU50" s="185"/>
      <c r="FV50" s="185"/>
      <c r="FW50" s="185"/>
      <c r="FX50" s="185"/>
      <c r="FY50" s="185"/>
      <c r="FZ50" s="185"/>
      <c r="GA50" s="126"/>
      <c r="GB50" s="284"/>
      <c r="GC50" s="284"/>
      <c r="GD50" s="284"/>
      <c r="GE50" s="284"/>
      <c r="GF50" s="95"/>
      <c r="GG50" s="95"/>
      <c r="GH50" s="284"/>
      <c r="GI50" s="67"/>
      <c r="GJ50" s="67"/>
      <c r="GK50" s="67"/>
      <c r="GL50" s="67"/>
      <c r="GM50" s="67"/>
      <c r="GN50" s="71"/>
      <c r="GO50" s="71"/>
      <c r="GP50" s="71"/>
      <c r="GQ50" s="71"/>
      <c r="GR50" s="70"/>
      <c r="GS50" s="70"/>
      <c r="GT50" s="70"/>
      <c r="GU50" s="70"/>
      <c r="GV50" s="70"/>
      <c r="GW50" s="70"/>
      <c r="GX50" s="73"/>
      <c r="GY50" s="74"/>
    </row>
    <row r="51" spans="1:207" s="75" customFormat="1">
      <c r="A51" s="95"/>
      <c r="B51" s="173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85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328"/>
      <c r="Z51" s="328"/>
      <c r="AA51" s="328"/>
      <c r="AB51" s="328"/>
      <c r="AC51" s="328"/>
      <c r="AD51" s="185"/>
      <c r="AE51" s="185"/>
      <c r="AF51" s="185"/>
      <c r="AG51" s="185"/>
      <c r="AH51" s="185"/>
      <c r="AI51" s="185"/>
      <c r="AJ51" s="329"/>
      <c r="AK51" s="185"/>
      <c r="AL51" s="185"/>
      <c r="AM51" s="185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  <c r="BJ51" s="173"/>
      <c r="BK51" s="173"/>
      <c r="BL51" s="173"/>
      <c r="BM51" s="173"/>
      <c r="BN51" s="173"/>
      <c r="BO51" s="173"/>
      <c r="BP51" s="173"/>
      <c r="BQ51" s="173"/>
      <c r="BR51" s="173"/>
      <c r="BS51" s="173"/>
      <c r="BT51" s="173"/>
      <c r="BU51" s="173"/>
      <c r="BV51" s="173"/>
      <c r="BW51" s="173"/>
      <c r="BX51" s="185"/>
      <c r="BY51" s="185"/>
      <c r="BZ51" s="185"/>
      <c r="CA51" s="329"/>
      <c r="CB51" s="185"/>
      <c r="CC51" s="185"/>
      <c r="CD51" s="185"/>
      <c r="CE51" s="185"/>
      <c r="CF51" s="329"/>
      <c r="CG51" s="185"/>
      <c r="CH51" s="330"/>
      <c r="CI51" s="185"/>
      <c r="CJ51" s="185"/>
      <c r="CK51" s="185"/>
      <c r="CL51" s="185"/>
      <c r="CM51" s="330"/>
      <c r="CN51" s="185"/>
      <c r="CO51" s="185"/>
      <c r="CP51" s="185"/>
      <c r="CQ51" s="185"/>
      <c r="CR51" s="330"/>
      <c r="CS51" s="185"/>
      <c r="CT51" s="185"/>
      <c r="CU51" s="185"/>
      <c r="CV51" s="185"/>
      <c r="CW51" s="185"/>
      <c r="CX51" s="185"/>
      <c r="CY51" s="185"/>
      <c r="CZ51" s="185"/>
      <c r="DA51" s="185"/>
      <c r="DB51" s="185"/>
      <c r="DC51" s="185"/>
      <c r="DD51" s="185"/>
      <c r="DE51" s="185"/>
      <c r="DF51" s="185"/>
      <c r="DG51" s="330"/>
      <c r="DH51" s="185"/>
      <c r="DI51" s="185"/>
      <c r="DJ51" s="185"/>
      <c r="DK51" s="185"/>
      <c r="DL51" s="185"/>
      <c r="DM51" s="185"/>
      <c r="DN51" s="329"/>
      <c r="DO51" s="185"/>
      <c r="DP51" s="185"/>
      <c r="DQ51" s="185"/>
      <c r="DR51" s="185"/>
      <c r="DS51" s="185"/>
      <c r="DT51" s="185"/>
      <c r="DU51" s="185"/>
      <c r="DV51" s="185"/>
      <c r="DW51" s="185"/>
      <c r="DX51" s="185"/>
      <c r="DY51" s="331"/>
      <c r="DZ51" s="174"/>
      <c r="EA51" s="174"/>
      <c r="EB51" s="174"/>
      <c r="EC51" s="174"/>
      <c r="ED51" s="174"/>
      <c r="EE51" s="332"/>
      <c r="EF51" s="332"/>
      <c r="EG51" s="332"/>
      <c r="EH51" s="332"/>
      <c r="EI51" s="126"/>
      <c r="EJ51" s="332"/>
      <c r="EK51" s="332"/>
      <c r="EL51" s="332"/>
      <c r="EM51" s="332"/>
      <c r="EN51" s="332"/>
      <c r="EO51" s="332"/>
      <c r="EP51" s="332"/>
      <c r="EQ51" s="332"/>
      <c r="ER51" s="332"/>
      <c r="ES51" s="332"/>
      <c r="ET51" s="331"/>
      <c r="EU51" s="331"/>
      <c r="EV51" s="331"/>
      <c r="EW51" s="332"/>
      <c r="EX51" s="332"/>
      <c r="EY51" s="332"/>
      <c r="EZ51" s="332"/>
      <c r="FA51" s="173"/>
      <c r="FB51" s="173"/>
      <c r="FC51" s="173"/>
      <c r="FD51" s="173"/>
      <c r="FE51" s="173"/>
      <c r="FF51" s="173"/>
      <c r="FG51" s="173"/>
      <c r="FH51" s="173"/>
      <c r="FI51" s="173"/>
      <c r="FJ51" s="174"/>
      <c r="FK51" s="174"/>
      <c r="FL51" s="174"/>
      <c r="FM51" s="330"/>
      <c r="FN51" s="185"/>
      <c r="FO51" s="185"/>
      <c r="FP51" s="185"/>
      <c r="FQ51" s="174"/>
      <c r="FR51" s="330"/>
      <c r="FS51" s="185"/>
      <c r="FT51" s="185"/>
      <c r="FU51" s="185"/>
      <c r="FV51" s="185"/>
      <c r="FW51" s="185"/>
      <c r="FX51" s="185"/>
      <c r="FY51" s="185"/>
      <c r="FZ51" s="185"/>
      <c r="GA51" s="126"/>
      <c r="GB51" s="284"/>
      <c r="GC51" s="284"/>
      <c r="GD51" s="284"/>
      <c r="GE51" s="284"/>
      <c r="GF51" s="95"/>
      <c r="GG51" s="95"/>
      <c r="GH51" s="284"/>
      <c r="GI51" s="67"/>
      <c r="GJ51" s="67"/>
      <c r="GK51" s="67"/>
      <c r="GL51" s="67"/>
      <c r="GM51" s="67"/>
      <c r="GN51" s="71"/>
      <c r="GO51" s="71"/>
      <c r="GP51" s="71"/>
      <c r="GQ51" s="71"/>
      <c r="GR51" s="70"/>
      <c r="GS51" s="70"/>
      <c r="GT51" s="70"/>
      <c r="GU51" s="70"/>
      <c r="GV51" s="70"/>
      <c r="GW51" s="70"/>
      <c r="GX51" s="73"/>
      <c r="GY51" s="74"/>
    </row>
    <row r="52" spans="1:207" s="75" customFormat="1">
      <c r="A52" s="95"/>
      <c r="B52" s="173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85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328"/>
      <c r="Z52" s="328"/>
      <c r="AA52" s="328"/>
      <c r="AB52" s="328"/>
      <c r="AC52" s="328"/>
      <c r="AD52" s="185"/>
      <c r="AE52" s="185"/>
      <c r="AF52" s="185"/>
      <c r="AG52" s="185"/>
      <c r="AH52" s="185"/>
      <c r="AI52" s="185"/>
      <c r="AJ52" s="329"/>
      <c r="AK52" s="185"/>
      <c r="AL52" s="185"/>
      <c r="AM52" s="185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  <c r="BJ52" s="173"/>
      <c r="BK52" s="173"/>
      <c r="BL52" s="173"/>
      <c r="BM52" s="173"/>
      <c r="BN52" s="173"/>
      <c r="BO52" s="173"/>
      <c r="BP52" s="173"/>
      <c r="BQ52" s="173"/>
      <c r="BR52" s="173"/>
      <c r="BS52" s="173"/>
      <c r="BT52" s="173"/>
      <c r="BU52" s="173"/>
      <c r="BV52" s="173"/>
      <c r="BW52" s="173"/>
      <c r="BX52" s="185"/>
      <c r="BY52" s="185"/>
      <c r="BZ52" s="185"/>
      <c r="CA52" s="329"/>
      <c r="CB52" s="185"/>
      <c r="CC52" s="185"/>
      <c r="CD52" s="185"/>
      <c r="CE52" s="185"/>
      <c r="CF52" s="329"/>
      <c r="CG52" s="185"/>
      <c r="CH52" s="330"/>
      <c r="CI52" s="185"/>
      <c r="CJ52" s="185"/>
      <c r="CK52" s="185"/>
      <c r="CL52" s="185"/>
      <c r="CM52" s="330"/>
      <c r="CN52" s="185"/>
      <c r="CO52" s="185"/>
      <c r="CP52" s="185"/>
      <c r="CQ52" s="185"/>
      <c r="CR52" s="330"/>
      <c r="CS52" s="185"/>
      <c r="CT52" s="185"/>
      <c r="CU52" s="185"/>
      <c r="CV52" s="185"/>
      <c r="CW52" s="185"/>
      <c r="CX52" s="185"/>
      <c r="CY52" s="185"/>
      <c r="CZ52" s="185"/>
      <c r="DA52" s="185"/>
      <c r="DB52" s="185"/>
      <c r="DC52" s="185"/>
      <c r="DD52" s="185"/>
      <c r="DE52" s="185"/>
      <c r="DF52" s="185"/>
      <c r="DG52" s="330"/>
      <c r="DH52" s="185"/>
      <c r="DI52" s="185"/>
      <c r="DJ52" s="185"/>
      <c r="DK52" s="185"/>
      <c r="DL52" s="185"/>
      <c r="DM52" s="185"/>
      <c r="DN52" s="329"/>
      <c r="DO52" s="185"/>
      <c r="DP52" s="185"/>
      <c r="DQ52" s="185"/>
      <c r="DR52" s="185"/>
      <c r="DS52" s="185"/>
      <c r="DT52" s="185"/>
      <c r="DU52" s="185"/>
      <c r="DV52" s="185"/>
      <c r="DW52" s="185"/>
      <c r="DX52" s="185"/>
      <c r="DY52" s="331"/>
      <c r="DZ52" s="174"/>
      <c r="EA52" s="174"/>
      <c r="EB52" s="174"/>
      <c r="EC52" s="174"/>
      <c r="ED52" s="174"/>
      <c r="EE52" s="332"/>
      <c r="EF52" s="332"/>
      <c r="EG52" s="332"/>
      <c r="EH52" s="332"/>
      <c r="EI52" s="126"/>
      <c r="EJ52" s="332"/>
      <c r="EK52" s="332"/>
      <c r="EL52" s="332"/>
      <c r="EM52" s="332"/>
      <c r="EN52" s="332"/>
      <c r="EO52" s="332"/>
      <c r="EP52" s="332"/>
      <c r="EQ52" s="332"/>
      <c r="ER52" s="332"/>
      <c r="ES52" s="332"/>
      <c r="ET52" s="331"/>
      <c r="EU52" s="331"/>
      <c r="EV52" s="331"/>
      <c r="EW52" s="332"/>
      <c r="EX52" s="332"/>
      <c r="EY52" s="332"/>
      <c r="EZ52" s="332"/>
      <c r="FA52" s="173"/>
      <c r="FB52" s="173"/>
      <c r="FC52" s="173"/>
      <c r="FD52" s="173"/>
      <c r="FE52" s="173"/>
      <c r="FF52" s="173"/>
      <c r="FG52" s="173"/>
      <c r="FH52" s="173"/>
      <c r="FI52" s="173"/>
      <c r="FJ52" s="174"/>
      <c r="FK52" s="174"/>
      <c r="FL52" s="174"/>
      <c r="FM52" s="330"/>
      <c r="FN52" s="185"/>
      <c r="FO52" s="185"/>
      <c r="FP52" s="185"/>
      <c r="FQ52" s="174"/>
      <c r="FR52" s="330"/>
      <c r="FS52" s="185"/>
      <c r="FT52" s="185"/>
      <c r="FU52" s="185"/>
      <c r="FV52" s="185"/>
      <c r="FW52" s="185"/>
      <c r="FX52" s="185"/>
      <c r="FY52" s="185"/>
      <c r="FZ52" s="185"/>
      <c r="GA52" s="126"/>
      <c r="GB52" s="284"/>
      <c r="GC52" s="284"/>
      <c r="GD52" s="284"/>
      <c r="GE52" s="284"/>
      <c r="GF52" s="95"/>
      <c r="GG52" s="95"/>
      <c r="GH52" s="284"/>
      <c r="GI52" s="67"/>
      <c r="GJ52" s="67"/>
      <c r="GK52" s="67"/>
      <c r="GL52" s="67"/>
      <c r="GM52" s="67"/>
      <c r="GN52" s="71"/>
      <c r="GO52" s="71"/>
      <c r="GP52" s="71"/>
      <c r="GQ52" s="71"/>
      <c r="GR52" s="70"/>
      <c r="GS52" s="70"/>
      <c r="GT52" s="70"/>
      <c r="GU52" s="70"/>
      <c r="GV52" s="70"/>
      <c r="GW52" s="70"/>
      <c r="GX52" s="73"/>
      <c r="GY52" s="74"/>
    </row>
    <row r="53" spans="1:207" s="75" customFormat="1">
      <c r="A53" s="95"/>
      <c r="B53" s="173"/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73"/>
      <c r="N53" s="185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328"/>
      <c r="Z53" s="328"/>
      <c r="AA53" s="328"/>
      <c r="AB53" s="328"/>
      <c r="AC53" s="328"/>
      <c r="AD53" s="185"/>
      <c r="AE53" s="185"/>
      <c r="AF53" s="185"/>
      <c r="AG53" s="185"/>
      <c r="AH53" s="185"/>
      <c r="AI53" s="185"/>
      <c r="AJ53" s="329"/>
      <c r="AK53" s="185"/>
      <c r="AL53" s="185"/>
      <c r="AM53" s="185"/>
      <c r="AN53" s="173"/>
      <c r="AO53" s="173"/>
      <c r="AP53" s="173"/>
      <c r="AQ53" s="173"/>
      <c r="AR53" s="173"/>
      <c r="AS53" s="173"/>
      <c r="AT53" s="173"/>
      <c r="AU53" s="173"/>
      <c r="AV53" s="173"/>
      <c r="AW53" s="173"/>
      <c r="AX53" s="173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  <c r="BJ53" s="173"/>
      <c r="BK53" s="173"/>
      <c r="BL53" s="173"/>
      <c r="BM53" s="173"/>
      <c r="BN53" s="173"/>
      <c r="BO53" s="173"/>
      <c r="BP53" s="173"/>
      <c r="BQ53" s="173"/>
      <c r="BR53" s="173"/>
      <c r="BS53" s="173"/>
      <c r="BT53" s="173"/>
      <c r="BU53" s="173"/>
      <c r="BV53" s="173"/>
      <c r="BW53" s="173"/>
      <c r="BX53" s="185"/>
      <c r="BY53" s="185"/>
      <c r="BZ53" s="185"/>
      <c r="CA53" s="329"/>
      <c r="CB53" s="185"/>
      <c r="CC53" s="185"/>
      <c r="CD53" s="185"/>
      <c r="CE53" s="185"/>
      <c r="CF53" s="329"/>
      <c r="CG53" s="185"/>
      <c r="CH53" s="330"/>
      <c r="CI53" s="185"/>
      <c r="CJ53" s="185"/>
      <c r="CK53" s="185"/>
      <c r="CL53" s="185"/>
      <c r="CM53" s="330"/>
      <c r="CN53" s="185"/>
      <c r="CO53" s="185"/>
      <c r="CP53" s="185"/>
      <c r="CQ53" s="185"/>
      <c r="CR53" s="330"/>
      <c r="CS53" s="185"/>
      <c r="CT53" s="185"/>
      <c r="CU53" s="185"/>
      <c r="CV53" s="185"/>
      <c r="CW53" s="185"/>
      <c r="CX53" s="185"/>
      <c r="CY53" s="185"/>
      <c r="CZ53" s="185"/>
      <c r="DA53" s="185"/>
      <c r="DB53" s="185"/>
      <c r="DC53" s="185"/>
      <c r="DD53" s="185"/>
      <c r="DE53" s="185"/>
      <c r="DF53" s="185"/>
      <c r="DG53" s="330"/>
      <c r="DH53" s="185"/>
      <c r="DI53" s="185"/>
      <c r="DJ53" s="185"/>
      <c r="DK53" s="185"/>
      <c r="DL53" s="185"/>
      <c r="DM53" s="185"/>
      <c r="DN53" s="329"/>
      <c r="DO53" s="185"/>
      <c r="DP53" s="185"/>
      <c r="DQ53" s="185"/>
      <c r="DR53" s="185"/>
      <c r="DS53" s="185"/>
      <c r="DT53" s="185"/>
      <c r="DU53" s="185"/>
      <c r="DV53" s="185"/>
      <c r="DW53" s="185"/>
      <c r="DX53" s="185"/>
      <c r="DY53" s="331"/>
      <c r="DZ53" s="174"/>
      <c r="EA53" s="174"/>
      <c r="EB53" s="174"/>
      <c r="EC53" s="174"/>
      <c r="ED53" s="174"/>
      <c r="EE53" s="332"/>
      <c r="EF53" s="332"/>
      <c r="EG53" s="332"/>
      <c r="EH53" s="332"/>
      <c r="EI53" s="126"/>
      <c r="EJ53" s="332"/>
      <c r="EK53" s="332"/>
      <c r="EL53" s="332"/>
      <c r="EM53" s="332"/>
      <c r="EN53" s="332"/>
      <c r="EO53" s="332"/>
      <c r="EP53" s="332"/>
      <c r="EQ53" s="332"/>
      <c r="ER53" s="332"/>
      <c r="ES53" s="332"/>
      <c r="ET53" s="331"/>
      <c r="EU53" s="331"/>
      <c r="EV53" s="331"/>
      <c r="EW53" s="332"/>
      <c r="EX53" s="332"/>
      <c r="EY53" s="332"/>
      <c r="EZ53" s="332"/>
      <c r="FA53" s="173"/>
      <c r="FB53" s="173"/>
      <c r="FC53" s="173"/>
      <c r="FD53" s="173"/>
      <c r="FE53" s="173"/>
      <c r="FF53" s="173"/>
      <c r="FG53" s="173"/>
      <c r="FH53" s="173"/>
      <c r="FI53" s="173"/>
      <c r="FJ53" s="174"/>
      <c r="FK53" s="174"/>
      <c r="FL53" s="174"/>
      <c r="FM53" s="330"/>
      <c r="FN53" s="185"/>
      <c r="FO53" s="185"/>
      <c r="FP53" s="185"/>
      <c r="FQ53" s="174"/>
      <c r="FR53" s="330"/>
      <c r="FS53" s="185"/>
      <c r="FT53" s="185"/>
      <c r="FU53" s="185"/>
      <c r="FV53" s="185"/>
      <c r="FW53" s="185"/>
      <c r="FX53" s="185"/>
      <c r="FY53" s="185"/>
      <c r="FZ53" s="185"/>
      <c r="GA53" s="126"/>
      <c r="GB53" s="284"/>
      <c r="GC53" s="284"/>
      <c r="GD53" s="284"/>
      <c r="GE53" s="284"/>
      <c r="GF53" s="95"/>
      <c r="GG53" s="95"/>
      <c r="GH53" s="284"/>
      <c r="GI53" s="67"/>
      <c r="GJ53" s="67"/>
      <c r="GK53" s="67"/>
      <c r="GL53" s="67"/>
      <c r="GM53" s="67"/>
      <c r="GN53" s="71"/>
      <c r="GO53" s="71"/>
      <c r="GP53" s="71"/>
      <c r="GQ53" s="71"/>
      <c r="GR53" s="70"/>
      <c r="GS53" s="70"/>
      <c r="GT53" s="70"/>
      <c r="GU53" s="70"/>
      <c r="GV53" s="70"/>
      <c r="GW53" s="70"/>
      <c r="GX53" s="73"/>
      <c r="GY53" s="74"/>
    </row>
    <row r="54" spans="1:207" s="75" customFormat="1">
      <c r="A54" s="95"/>
      <c r="B54" s="173"/>
      <c r="C54" s="173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85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328"/>
      <c r="Z54" s="328"/>
      <c r="AA54" s="328"/>
      <c r="AB54" s="328"/>
      <c r="AC54" s="328"/>
      <c r="AD54" s="185"/>
      <c r="AE54" s="185"/>
      <c r="AF54" s="185"/>
      <c r="AG54" s="185"/>
      <c r="AH54" s="185"/>
      <c r="AI54" s="185"/>
      <c r="AJ54" s="329"/>
      <c r="AK54" s="185"/>
      <c r="AL54" s="185"/>
      <c r="AM54" s="185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  <c r="BJ54" s="173"/>
      <c r="BK54" s="173"/>
      <c r="BL54" s="173"/>
      <c r="BM54" s="173"/>
      <c r="BN54" s="173"/>
      <c r="BO54" s="173"/>
      <c r="BP54" s="173"/>
      <c r="BQ54" s="173"/>
      <c r="BR54" s="173"/>
      <c r="BS54" s="173"/>
      <c r="BT54" s="173"/>
      <c r="BU54" s="173"/>
      <c r="BV54" s="173"/>
      <c r="BW54" s="173"/>
      <c r="BX54" s="185"/>
      <c r="BY54" s="185"/>
      <c r="BZ54" s="185"/>
      <c r="CA54" s="329"/>
      <c r="CB54" s="185"/>
      <c r="CC54" s="185"/>
      <c r="CD54" s="185"/>
      <c r="CE54" s="185"/>
      <c r="CF54" s="329"/>
      <c r="CG54" s="185"/>
      <c r="CH54" s="330"/>
      <c r="CI54" s="185"/>
      <c r="CJ54" s="185"/>
      <c r="CK54" s="185"/>
      <c r="CL54" s="185"/>
      <c r="CM54" s="330"/>
      <c r="CN54" s="185"/>
      <c r="CO54" s="185"/>
      <c r="CP54" s="185"/>
      <c r="CQ54" s="185"/>
      <c r="CR54" s="330"/>
      <c r="CS54" s="185"/>
      <c r="CT54" s="185"/>
      <c r="CU54" s="185"/>
      <c r="CV54" s="185"/>
      <c r="CW54" s="185"/>
      <c r="CX54" s="185"/>
      <c r="CY54" s="185"/>
      <c r="CZ54" s="185"/>
      <c r="DA54" s="185"/>
      <c r="DB54" s="185"/>
      <c r="DC54" s="185"/>
      <c r="DD54" s="185"/>
      <c r="DE54" s="185"/>
      <c r="DF54" s="185"/>
      <c r="DG54" s="330"/>
      <c r="DH54" s="185"/>
      <c r="DI54" s="185"/>
      <c r="DJ54" s="185"/>
      <c r="DK54" s="185"/>
      <c r="DL54" s="185"/>
      <c r="DM54" s="185"/>
      <c r="DN54" s="329"/>
      <c r="DO54" s="185"/>
      <c r="DP54" s="185"/>
      <c r="DQ54" s="185"/>
      <c r="DR54" s="185"/>
      <c r="DS54" s="185"/>
      <c r="DT54" s="185"/>
      <c r="DU54" s="185"/>
      <c r="DV54" s="185"/>
      <c r="DW54" s="185"/>
      <c r="DX54" s="185"/>
      <c r="DY54" s="331"/>
      <c r="DZ54" s="174"/>
      <c r="EA54" s="174"/>
      <c r="EB54" s="174"/>
      <c r="EC54" s="174"/>
      <c r="ED54" s="174"/>
      <c r="EE54" s="332"/>
      <c r="EF54" s="332"/>
      <c r="EG54" s="332"/>
      <c r="EH54" s="332"/>
      <c r="EI54" s="126"/>
      <c r="EJ54" s="332"/>
      <c r="EK54" s="332"/>
      <c r="EL54" s="332"/>
      <c r="EM54" s="332"/>
      <c r="EN54" s="332"/>
      <c r="EO54" s="332"/>
      <c r="EP54" s="332"/>
      <c r="EQ54" s="332"/>
      <c r="ER54" s="332"/>
      <c r="ES54" s="332"/>
      <c r="ET54" s="331"/>
      <c r="EU54" s="331"/>
      <c r="EV54" s="331"/>
      <c r="EW54" s="332"/>
      <c r="EX54" s="332"/>
      <c r="EY54" s="332"/>
      <c r="EZ54" s="332"/>
      <c r="FA54" s="173"/>
      <c r="FB54" s="173"/>
      <c r="FC54" s="173"/>
      <c r="FD54" s="173"/>
      <c r="FE54" s="173"/>
      <c r="FF54" s="173"/>
      <c r="FG54" s="173"/>
      <c r="FH54" s="173"/>
      <c r="FI54" s="173"/>
      <c r="FJ54" s="174"/>
      <c r="FK54" s="174"/>
      <c r="FL54" s="174"/>
      <c r="FM54" s="330"/>
      <c r="FN54" s="185"/>
      <c r="FO54" s="185"/>
      <c r="FP54" s="185"/>
      <c r="FQ54" s="174"/>
      <c r="FR54" s="330"/>
      <c r="FS54" s="185"/>
      <c r="FT54" s="185"/>
      <c r="FU54" s="185"/>
      <c r="FV54" s="185"/>
      <c r="FW54" s="185"/>
      <c r="FX54" s="185"/>
      <c r="FY54" s="185"/>
      <c r="FZ54" s="185"/>
      <c r="GA54" s="126"/>
      <c r="GB54" s="284"/>
      <c r="GC54" s="284"/>
      <c r="GD54" s="284"/>
      <c r="GE54" s="284"/>
      <c r="GF54" s="95"/>
      <c r="GG54" s="95"/>
      <c r="GH54" s="284"/>
      <c r="GI54" s="67"/>
      <c r="GJ54" s="67"/>
      <c r="GK54" s="67"/>
      <c r="GL54" s="67"/>
      <c r="GM54" s="67"/>
      <c r="GN54" s="71"/>
      <c r="GO54" s="71"/>
      <c r="GP54" s="71"/>
      <c r="GQ54" s="71"/>
      <c r="GR54" s="70"/>
      <c r="GS54" s="70"/>
      <c r="GT54" s="70"/>
      <c r="GU54" s="70"/>
      <c r="GV54" s="70"/>
      <c r="GW54" s="70"/>
      <c r="GX54" s="73"/>
      <c r="GY54" s="74"/>
    </row>
    <row r="55" spans="1:207" s="75" customFormat="1">
      <c r="A55" s="95"/>
      <c r="B55" s="173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85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328"/>
      <c r="Z55" s="328"/>
      <c r="AA55" s="328"/>
      <c r="AB55" s="328"/>
      <c r="AC55" s="328"/>
      <c r="AD55" s="185"/>
      <c r="AE55" s="185"/>
      <c r="AF55" s="185"/>
      <c r="AG55" s="185"/>
      <c r="AH55" s="185"/>
      <c r="AI55" s="185"/>
      <c r="AJ55" s="329"/>
      <c r="AK55" s="185"/>
      <c r="AL55" s="185"/>
      <c r="AM55" s="185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  <c r="BJ55" s="173"/>
      <c r="BK55" s="173"/>
      <c r="BL55" s="173"/>
      <c r="BM55" s="173"/>
      <c r="BN55" s="173"/>
      <c r="BO55" s="173"/>
      <c r="BP55" s="173"/>
      <c r="BQ55" s="173"/>
      <c r="BR55" s="173"/>
      <c r="BS55" s="173"/>
      <c r="BT55" s="173"/>
      <c r="BU55" s="173"/>
      <c r="BV55" s="173"/>
      <c r="BW55" s="173"/>
      <c r="BX55" s="185"/>
      <c r="BY55" s="185"/>
      <c r="BZ55" s="185"/>
      <c r="CA55" s="329"/>
      <c r="CB55" s="185"/>
      <c r="CC55" s="185"/>
      <c r="CD55" s="185"/>
      <c r="CE55" s="185"/>
      <c r="CF55" s="329"/>
      <c r="CG55" s="185"/>
      <c r="CH55" s="330"/>
      <c r="CI55" s="185"/>
      <c r="CJ55" s="185"/>
      <c r="CK55" s="185"/>
      <c r="CL55" s="185"/>
      <c r="CM55" s="330"/>
      <c r="CN55" s="185"/>
      <c r="CO55" s="185"/>
      <c r="CP55" s="185"/>
      <c r="CQ55" s="185"/>
      <c r="CR55" s="330"/>
      <c r="CS55" s="185"/>
      <c r="CT55" s="185"/>
      <c r="CU55" s="185"/>
      <c r="CV55" s="185"/>
      <c r="CW55" s="185"/>
      <c r="CX55" s="185"/>
      <c r="CY55" s="185"/>
      <c r="CZ55" s="185"/>
      <c r="DA55" s="185"/>
      <c r="DB55" s="185"/>
      <c r="DC55" s="185"/>
      <c r="DD55" s="185"/>
      <c r="DE55" s="185"/>
      <c r="DF55" s="185"/>
      <c r="DG55" s="330"/>
      <c r="DH55" s="185"/>
      <c r="DI55" s="185"/>
      <c r="DJ55" s="185"/>
      <c r="DK55" s="185"/>
      <c r="DL55" s="185"/>
      <c r="DM55" s="185"/>
      <c r="DN55" s="329"/>
      <c r="DO55" s="185"/>
      <c r="DP55" s="185"/>
      <c r="DQ55" s="185"/>
      <c r="DR55" s="185"/>
      <c r="DS55" s="185"/>
      <c r="DT55" s="185"/>
      <c r="DU55" s="185"/>
      <c r="DV55" s="185"/>
      <c r="DW55" s="185"/>
      <c r="DX55" s="185"/>
      <c r="DY55" s="331"/>
      <c r="DZ55" s="174"/>
      <c r="EA55" s="174"/>
      <c r="EB55" s="174"/>
      <c r="EC55" s="174"/>
      <c r="ED55" s="174"/>
      <c r="EE55" s="332"/>
      <c r="EF55" s="332"/>
      <c r="EG55" s="332"/>
      <c r="EH55" s="332"/>
      <c r="EI55" s="126"/>
      <c r="EJ55" s="332"/>
      <c r="EK55" s="332"/>
      <c r="EL55" s="332"/>
      <c r="EM55" s="332"/>
      <c r="EN55" s="332"/>
      <c r="EO55" s="332"/>
      <c r="EP55" s="332"/>
      <c r="EQ55" s="332"/>
      <c r="ER55" s="332"/>
      <c r="ES55" s="332"/>
      <c r="ET55" s="331"/>
      <c r="EU55" s="331"/>
      <c r="EV55" s="331"/>
      <c r="EW55" s="332"/>
      <c r="EX55" s="332"/>
      <c r="EY55" s="332"/>
      <c r="EZ55" s="332"/>
      <c r="FA55" s="173"/>
      <c r="FB55" s="173"/>
      <c r="FC55" s="173"/>
      <c r="FD55" s="173"/>
      <c r="FE55" s="173"/>
      <c r="FF55" s="173"/>
      <c r="FG55" s="173"/>
      <c r="FH55" s="173"/>
      <c r="FI55" s="173"/>
      <c r="FJ55" s="174"/>
      <c r="FK55" s="174"/>
      <c r="FL55" s="174"/>
      <c r="FM55" s="330"/>
      <c r="FN55" s="185"/>
      <c r="FO55" s="185"/>
      <c r="FP55" s="185"/>
      <c r="FQ55" s="174"/>
      <c r="FR55" s="330"/>
      <c r="FS55" s="185"/>
      <c r="FT55" s="185"/>
      <c r="FU55" s="185"/>
      <c r="FV55" s="185"/>
      <c r="FW55" s="185"/>
      <c r="FX55" s="185"/>
      <c r="FY55" s="185"/>
      <c r="FZ55" s="185"/>
      <c r="GA55" s="126"/>
      <c r="GB55" s="284"/>
      <c r="GC55" s="284"/>
      <c r="GD55" s="284"/>
      <c r="GE55" s="284"/>
      <c r="GF55" s="95"/>
      <c r="GG55" s="95"/>
      <c r="GH55" s="284"/>
      <c r="GI55" s="67"/>
      <c r="GJ55" s="67"/>
      <c r="GK55" s="67"/>
      <c r="GL55" s="67"/>
      <c r="GM55" s="67"/>
      <c r="GN55" s="71"/>
      <c r="GO55" s="71"/>
      <c r="GP55" s="71"/>
      <c r="GQ55" s="71"/>
      <c r="GR55" s="70"/>
      <c r="GS55" s="70"/>
      <c r="GT55" s="70"/>
      <c r="GU55" s="70"/>
      <c r="GV55" s="70"/>
      <c r="GW55" s="70"/>
      <c r="GX55" s="73"/>
      <c r="GY55" s="74"/>
    </row>
    <row r="56" spans="1:207" s="75" customFormat="1">
      <c r="A56" s="95"/>
      <c r="B56" s="173"/>
      <c r="C56" s="173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85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328"/>
      <c r="Z56" s="328"/>
      <c r="AA56" s="328"/>
      <c r="AB56" s="328"/>
      <c r="AC56" s="328"/>
      <c r="AD56" s="185"/>
      <c r="AE56" s="185"/>
      <c r="AF56" s="185"/>
      <c r="AG56" s="185"/>
      <c r="AH56" s="185"/>
      <c r="AI56" s="185"/>
      <c r="AJ56" s="329"/>
      <c r="AK56" s="185"/>
      <c r="AL56" s="185"/>
      <c r="AM56" s="185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  <c r="BS56" s="173"/>
      <c r="BT56" s="173"/>
      <c r="BU56" s="173"/>
      <c r="BV56" s="173"/>
      <c r="BW56" s="173"/>
      <c r="BX56" s="185"/>
      <c r="BY56" s="185"/>
      <c r="BZ56" s="185"/>
      <c r="CA56" s="329"/>
      <c r="CB56" s="185"/>
      <c r="CC56" s="185"/>
      <c r="CD56" s="185"/>
      <c r="CE56" s="185"/>
      <c r="CF56" s="329"/>
      <c r="CG56" s="185"/>
      <c r="CH56" s="330"/>
      <c r="CI56" s="185"/>
      <c r="CJ56" s="185"/>
      <c r="CK56" s="185"/>
      <c r="CL56" s="185"/>
      <c r="CM56" s="330"/>
      <c r="CN56" s="185"/>
      <c r="CO56" s="185"/>
      <c r="CP56" s="185"/>
      <c r="CQ56" s="185"/>
      <c r="CR56" s="330"/>
      <c r="CS56" s="185"/>
      <c r="CT56" s="185"/>
      <c r="CU56" s="185"/>
      <c r="CV56" s="185"/>
      <c r="CW56" s="185"/>
      <c r="CX56" s="185"/>
      <c r="CY56" s="185"/>
      <c r="CZ56" s="185"/>
      <c r="DA56" s="185"/>
      <c r="DB56" s="185"/>
      <c r="DC56" s="185"/>
      <c r="DD56" s="185"/>
      <c r="DE56" s="185"/>
      <c r="DF56" s="185"/>
      <c r="DG56" s="330"/>
      <c r="DH56" s="185"/>
      <c r="DI56" s="185"/>
      <c r="DJ56" s="185"/>
      <c r="DK56" s="185"/>
      <c r="DL56" s="185"/>
      <c r="DM56" s="185"/>
      <c r="DN56" s="329"/>
      <c r="DO56" s="185"/>
      <c r="DP56" s="185"/>
      <c r="DQ56" s="185"/>
      <c r="DR56" s="185"/>
      <c r="DS56" s="185"/>
      <c r="DT56" s="185"/>
      <c r="DU56" s="185"/>
      <c r="DV56" s="185"/>
      <c r="DW56" s="185"/>
      <c r="DX56" s="185"/>
      <c r="DY56" s="331"/>
      <c r="DZ56" s="174"/>
      <c r="EA56" s="174"/>
      <c r="EB56" s="174"/>
      <c r="EC56" s="174"/>
      <c r="ED56" s="174"/>
      <c r="EE56" s="332"/>
      <c r="EF56" s="332"/>
      <c r="EG56" s="332"/>
      <c r="EH56" s="332"/>
      <c r="EI56" s="126"/>
      <c r="EJ56" s="332"/>
      <c r="EK56" s="332"/>
      <c r="EL56" s="332"/>
      <c r="EM56" s="332"/>
      <c r="EN56" s="332"/>
      <c r="EO56" s="332"/>
      <c r="EP56" s="332"/>
      <c r="EQ56" s="332"/>
      <c r="ER56" s="332"/>
      <c r="ES56" s="332"/>
      <c r="ET56" s="331"/>
      <c r="EU56" s="331"/>
      <c r="EV56" s="331"/>
      <c r="EW56" s="332"/>
      <c r="EX56" s="332"/>
      <c r="EY56" s="332"/>
      <c r="EZ56" s="332"/>
      <c r="FA56" s="173"/>
      <c r="FB56" s="173"/>
      <c r="FC56" s="173"/>
      <c r="FD56" s="173"/>
      <c r="FE56" s="173"/>
      <c r="FF56" s="173"/>
      <c r="FG56" s="173"/>
      <c r="FH56" s="173"/>
      <c r="FI56" s="173"/>
      <c r="FJ56" s="174"/>
      <c r="FK56" s="174"/>
      <c r="FL56" s="174"/>
      <c r="FM56" s="330"/>
      <c r="FN56" s="185"/>
      <c r="FO56" s="185"/>
      <c r="FP56" s="185"/>
      <c r="FQ56" s="174"/>
      <c r="FR56" s="330"/>
      <c r="FS56" s="185"/>
      <c r="FT56" s="185"/>
      <c r="FU56" s="185"/>
      <c r="FV56" s="185"/>
      <c r="FW56" s="185"/>
      <c r="FX56" s="185"/>
      <c r="FY56" s="185"/>
      <c r="FZ56" s="185"/>
      <c r="GA56" s="126"/>
      <c r="GB56" s="284"/>
      <c r="GC56" s="284"/>
      <c r="GD56" s="284"/>
      <c r="GE56" s="284"/>
      <c r="GF56" s="95"/>
      <c r="GG56" s="95"/>
      <c r="GH56" s="284"/>
      <c r="GI56" s="67"/>
      <c r="GJ56" s="67"/>
      <c r="GK56" s="67"/>
      <c r="GL56" s="67"/>
      <c r="GM56" s="67"/>
      <c r="GN56" s="71"/>
      <c r="GO56" s="71"/>
      <c r="GP56" s="71"/>
      <c r="GQ56" s="71"/>
      <c r="GR56" s="70"/>
      <c r="GS56" s="70"/>
      <c r="GT56" s="70"/>
      <c r="GU56" s="70"/>
      <c r="GV56" s="70"/>
      <c r="GW56" s="70"/>
      <c r="GX56" s="73"/>
      <c r="GY56" s="74"/>
    </row>
    <row r="57" spans="1:207" s="75" customFormat="1">
      <c r="A57" s="95"/>
      <c r="B57" s="173"/>
      <c r="C57" s="173"/>
      <c r="D57" s="173"/>
      <c r="E57" s="173"/>
      <c r="F57" s="173"/>
      <c r="G57" s="173"/>
      <c r="H57" s="173"/>
      <c r="I57" s="173"/>
      <c r="J57" s="173"/>
      <c r="K57" s="173"/>
      <c r="L57" s="173"/>
      <c r="M57" s="173"/>
      <c r="N57" s="185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328"/>
      <c r="Z57" s="328"/>
      <c r="AA57" s="328"/>
      <c r="AB57" s="328"/>
      <c r="AC57" s="328"/>
      <c r="AD57" s="185"/>
      <c r="AE57" s="185"/>
      <c r="AF57" s="185"/>
      <c r="AG57" s="185"/>
      <c r="AH57" s="185"/>
      <c r="AI57" s="185"/>
      <c r="AJ57" s="329"/>
      <c r="AK57" s="185"/>
      <c r="AL57" s="185"/>
      <c r="AM57" s="185"/>
      <c r="AN57" s="173"/>
      <c r="AO57" s="173"/>
      <c r="AP57" s="173"/>
      <c r="AQ57" s="173"/>
      <c r="AR57" s="173"/>
      <c r="AS57" s="173"/>
      <c r="AT57" s="173"/>
      <c r="AU57" s="173"/>
      <c r="AV57" s="173"/>
      <c r="AW57" s="173"/>
      <c r="AX57" s="173"/>
      <c r="AY57" s="173"/>
      <c r="AZ57" s="173"/>
      <c r="BA57" s="173"/>
      <c r="BB57" s="173"/>
      <c r="BC57" s="173"/>
      <c r="BD57" s="173"/>
      <c r="BE57" s="173"/>
      <c r="BF57" s="173"/>
      <c r="BG57" s="173"/>
      <c r="BH57" s="173"/>
      <c r="BI57" s="173"/>
      <c r="BJ57" s="173"/>
      <c r="BK57" s="173"/>
      <c r="BL57" s="173"/>
      <c r="BM57" s="173"/>
      <c r="BN57" s="173"/>
      <c r="BO57" s="173"/>
      <c r="BP57" s="173"/>
      <c r="BQ57" s="173"/>
      <c r="BR57" s="173"/>
      <c r="BS57" s="173"/>
      <c r="BT57" s="173"/>
      <c r="BU57" s="173"/>
      <c r="BV57" s="173"/>
      <c r="BW57" s="173"/>
      <c r="BX57" s="185"/>
      <c r="BY57" s="185"/>
      <c r="BZ57" s="185"/>
      <c r="CA57" s="329"/>
      <c r="CB57" s="185"/>
      <c r="CC57" s="185"/>
      <c r="CD57" s="185"/>
      <c r="CE57" s="185"/>
      <c r="CF57" s="329"/>
      <c r="CG57" s="185"/>
      <c r="CH57" s="330"/>
      <c r="CI57" s="185"/>
      <c r="CJ57" s="185"/>
      <c r="CK57" s="185"/>
      <c r="CL57" s="185"/>
      <c r="CM57" s="330"/>
      <c r="CN57" s="185"/>
      <c r="CO57" s="185"/>
      <c r="CP57" s="185"/>
      <c r="CQ57" s="185"/>
      <c r="CR57" s="330"/>
      <c r="CS57" s="185"/>
      <c r="CT57" s="185"/>
      <c r="CU57" s="185"/>
      <c r="CV57" s="185"/>
      <c r="CW57" s="185"/>
      <c r="CX57" s="185"/>
      <c r="CY57" s="185"/>
      <c r="CZ57" s="185"/>
      <c r="DA57" s="185"/>
      <c r="DB57" s="185"/>
      <c r="DC57" s="185"/>
      <c r="DD57" s="185"/>
      <c r="DE57" s="185"/>
      <c r="DF57" s="185"/>
      <c r="DG57" s="330"/>
      <c r="DH57" s="185"/>
      <c r="DI57" s="185"/>
      <c r="DJ57" s="185"/>
      <c r="DK57" s="185"/>
      <c r="DL57" s="185"/>
      <c r="DM57" s="185"/>
      <c r="DN57" s="329"/>
      <c r="DO57" s="185"/>
      <c r="DP57" s="185"/>
      <c r="DQ57" s="185"/>
      <c r="DR57" s="185"/>
      <c r="DS57" s="185"/>
      <c r="DT57" s="185"/>
      <c r="DU57" s="185"/>
      <c r="DV57" s="185"/>
      <c r="DW57" s="185"/>
      <c r="DX57" s="185"/>
      <c r="DY57" s="331"/>
      <c r="DZ57" s="174"/>
      <c r="EA57" s="174"/>
      <c r="EB57" s="174"/>
      <c r="EC57" s="174"/>
      <c r="ED57" s="174"/>
      <c r="EE57" s="332"/>
      <c r="EF57" s="332"/>
      <c r="EG57" s="332"/>
      <c r="EH57" s="332"/>
      <c r="EI57" s="126"/>
      <c r="EJ57" s="332"/>
      <c r="EK57" s="332"/>
      <c r="EL57" s="332"/>
      <c r="EM57" s="332"/>
      <c r="EN57" s="332"/>
      <c r="EO57" s="332"/>
      <c r="EP57" s="332"/>
      <c r="EQ57" s="332"/>
      <c r="ER57" s="332"/>
      <c r="ES57" s="332"/>
      <c r="ET57" s="331"/>
      <c r="EU57" s="331"/>
      <c r="EV57" s="331"/>
      <c r="EW57" s="332"/>
      <c r="EX57" s="332"/>
      <c r="EY57" s="332"/>
      <c r="EZ57" s="332"/>
      <c r="FA57" s="173"/>
      <c r="FB57" s="173"/>
      <c r="FC57" s="173"/>
      <c r="FD57" s="173"/>
      <c r="FE57" s="173"/>
      <c r="FF57" s="173"/>
      <c r="FG57" s="173"/>
      <c r="FH57" s="173"/>
      <c r="FI57" s="173"/>
      <c r="FJ57" s="174"/>
      <c r="FK57" s="174"/>
      <c r="FL57" s="174"/>
      <c r="FM57" s="330"/>
      <c r="FN57" s="185"/>
      <c r="FO57" s="185"/>
      <c r="FP57" s="185"/>
      <c r="FQ57" s="174"/>
      <c r="FR57" s="330"/>
      <c r="FS57" s="185"/>
      <c r="FT57" s="185"/>
      <c r="FU57" s="185"/>
      <c r="FV57" s="185"/>
      <c r="FW57" s="185"/>
      <c r="FX57" s="185"/>
      <c r="FY57" s="185"/>
      <c r="FZ57" s="185"/>
      <c r="GA57" s="126"/>
      <c r="GB57" s="284"/>
      <c r="GC57" s="284"/>
      <c r="GD57" s="284"/>
      <c r="GE57" s="284"/>
      <c r="GF57" s="95"/>
      <c r="GG57" s="95"/>
      <c r="GH57" s="284"/>
      <c r="GI57" s="67"/>
      <c r="GJ57" s="67"/>
      <c r="GK57" s="67"/>
      <c r="GL57" s="67"/>
      <c r="GM57" s="67"/>
      <c r="GN57" s="71"/>
      <c r="GO57" s="71"/>
      <c r="GP57" s="71"/>
      <c r="GQ57" s="71"/>
      <c r="GR57" s="70"/>
      <c r="GS57" s="70"/>
      <c r="GT57" s="70"/>
      <c r="GU57" s="70"/>
      <c r="GV57" s="70"/>
      <c r="GW57" s="70"/>
      <c r="GX57" s="73"/>
      <c r="GY57" s="74"/>
    </row>
    <row r="58" spans="1:207" s="75" customFormat="1">
      <c r="A58" s="95"/>
      <c r="B58" s="173"/>
      <c r="C58" s="173"/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85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328"/>
      <c r="Z58" s="328"/>
      <c r="AA58" s="328"/>
      <c r="AB58" s="328"/>
      <c r="AC58" s="328"/>
      <c r="AD58" s="185"/>
      <c r="AE58" s="185"/>
      <c r="AF58" s="185"/>
      <c r="AG58" s="185"/>
      <c r="AH58" s="185"/>
      <c r="AI58" s="185"/>
      <c r="AJ58" s="329"/>
      <c r="AK58" s="185"/>
      <c r="AL58" s="185"/>
      <c r="AM58" s="185"/>
      <c r="AN58" s="173"/>
      <c r="AO58" s="173"/>
      <c r="AP58" s="173"/>
      <c r="AQ58" s="173"/>
      <c r="AR58" s="173"/>
      <c r="AS58" s="173"/>
      <c r="AT58" s="173"/>
      <c r="AU58" s="173"/>
      <c r="AV58" s="173"/>
      <c r="AW58" s="173"/>
      <c r="AX58" s="173"/>
      <c r="AY58" s="173"/>
      <c r="AZ58" s="173"/>
      <c r="BA58" s="173"/>
      <c r="BB58" s="173"/>
      <c r="BC58" s="173"/>
      <c r="BD58" s="173"/>
      <c r="BE58" s="173"/>
      <c r="BF58" s="173"/>
      <c r="BG58" s="173"/>
      <c r="BH58" s="173"/>
      <c r="BI58" s="173"/>
      <c r="BJ58" s="173"/>
      <c r="BK58" s="173"/>
      <c r="BL58" s="173"/>
      <c r="BM58" s="173"/>
      <c r="BN58" s="173"/>
      <c r="BO58" s="173"/>
      <c r="BP58" s="173"/>
      <c r="BQ58" s="173"/>
      <c r="BR58" s="173"/>
      <c r="BS58" s="173"/>
      <c r="BT58" s="173"/>
      <c r="BU58" s="173"/>
      <c r="BV58" s="173"/>
      <c r="BW58" s="173"/>
      <c r="BX58" s="185"/>
      <c r="BY58" s="185"/>
      <c r="BZ58" s="185"/>
      <c r="CA58" s="329"/>
      <c r="CB58" s="185"/>
      <c r="CC58" s="185"/>
      <c r="CD58" s="185"/>
      <c r="CE58" s="185"/>
      <c r="CF58" s="329"/>
      <c r="CG58" s="185"/>
      <c r="CH58" s="330"/>
      <c r="CI58" s="185"/>
      <c r="CJ58" s="185"/>
      <c r="CK58" s="185"/>
      <c r="CL58" s="185"/>
      <c r="CM58" s="330"/>
      <c r="CN58" s="185"/>
      <c r="CO58" s="185"/>
      <c r="CP58" s="185"/>
      <c r="CQ58" s="185"/>
      <c r="CR58" s="330"/>
      <c r="CS58" s="185"/>
      <c r="CT58" s="185"/>
      <c r="CU58" s="185"/>
      <c r="CV58" s="185"/>
      <c r="CW58" s="185"/>
      <c r="CX58" s="185"/>
      <c r="CY58" s="185"/>
      <c r="CZ58" s="185"/>
      <c r="DA58" s="185"/>
      <c r="DB58" s="185"/>
      <c r="DC58" s="185"/>
      <c r="DD58" s="185"/>
      <c r="DE58" s="185"/>
      <c r="DF58" s="185"/>
      <c r="DG58" s="330"/>
      <c r="DH58" s="185"/>
      <c r="DI58" s="185"/>
      <c r="DJ58" s="185"/>
      <c r="DK58" s="185"/>
      <c r="DL58" s="185"/>
      <c r="DM58" s="185"/>
      <c r="DN58" s="329"/>
      <c r="DO58" s="185"/>
      <c r="DP58" s="185"/>
      <c r="DQ58" s="185"/>
      <c r="DR58" s="185"/>
      <c r="DS58" s="185"/>
      <c r="DT58" s="185"/>
      <c r="DU58" s="185"/>
      <c r="DV58" s="185"/>
      <c r="DW58" s="185"/>
      <c r="DX58" s="185"/>
      <c r="DY58" s="331"/>
      <c r="DZ58" s="174"/>
      <c r="EA58" s="174"/>
      <c r="EB58" s="174"/>
      <c r="EC58" s="174"/>
      <c r="ED58" s="174"/>
      <c r="EE58" s="332"/>
      <c r="EF58" s="332"/>
      <c r="EG58" s="332"/>
      <c r="EH58" s="332"/>
      <c r="EI58" s="126"/>
      <c r="EJ58" s="332"/>
      <c r="EK58" s="332"/>
      <c r="EL58" s="332"/>
      <c r="EM58" s="332"/>
      <c r="EN58" s="332"/>
      <c r="EO58" s="332"/>
      <c r="EP58" s="332"/>
      <c r="EQ58" s="332"/>
      <c r="ER58" s="332"/>
      <c r="ES58" s="332"/>
      <c r="ET58" s="331"/>
      <c r="EU58" s="331"/>
      <c r="EV58" s="331"/>
      <c r="EW58" s="332"/>
      <c r="EX58" s="332"/>
      <c r="EY58" s="332"/>
      <c r="EZ58" s="332"/>
      <c r="FA58" s="173"/>
      <c r="FB58" s="173"/>
      <c r="FC58" s="173"/>
      <c r="FD58" s="173"/>
      <c r="FE58" s="173"/>
      <c r="FF58" s="173"/>
      <c r="FG58" s="173"/>
      <c r="FH58" s="173"/>
      <c r="FI58" s="173"/>
      <c r="FJ58" s="174"/>
      <c r="FK58" s="174"/>
      <c r="FL58" s="174"/>
      <c r="FM58" s="330"/>
      <c r="FN58" s="185"/>
      <c r="FO58" s="185"/>
      <c r="FP58" s="185"/>
      <c r="FQ58" s="174"/>
      <c r="FR58" s="330"/>
      <c r="FS58" s="185"/>
      <c r="FT58" s="185"/>
      <c r="FU58" s="185"/>
      <c r="FV58" s="185"/>
      <c r="FW58" s="185"/>
      <c r="FX58" s="185"/>
      <c r="FY58" s="185"/>
      <c r="FZ58" s="185"/>
      <c r="GA58" s="126"/>
      <c r="GB58" s="284"/>
      <c r="GC58" s="284"/>
      <c r="GD58" s="284"/>
      <c r="GE58" s="284"/>
      <c r="GF58" s="95"/>
      <c r="GG58" s="95"/>
      <c r="GH58" s="284"/>
      <c r="GI58" s="67"/>
      <c r="GJ58" s="67"/>
      <c r="GK58" s="67"/>
      <c r="GL58" s="67"/>
      <c r="GM58" s="67"/>
      <c r="GN58" s="71"/>
      <c r="GO58" s="71"/>
      <c r="GP58" s="71"/>
      <c r="GQ58" s="71"/>
      <c r="GR58" s="70"/>
      <c r="GS58" s="70"/>
      <c r="GT58" s="70"/>
      <c r="GU58" s="70"/>
      <c r="GV58" s="70"/>
      <c r="GW58" s="70"/>
      <c r="GX58" s="73"/>
      <c r="GY58" s="74"/>
    </row>
    <row r="59" spans="1:207" s="75" customFormat="1">
      <c r="A59" s="95"/>
      <c r="B59" s="173"/>
      <c r="C59" s="173"/>
      <c r="D59" s="173"/>
      <c r="E59" s="173"/>
      <c r="F59" s="173"/>
      <c r="G59" s="173"/>
      <c r="H59" s="173"/>
      <c r="I59" s="173"/>
      <c r="J59" s="173"/>
      <c r="K59" s="173"/>
      <c r="L59" s="173"/>
      <c r="M59" s="173"/>
      <c r="N59" s="185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328"/>
      <c r="Z59" s="328"/>
      <c r="AA59" s="328"/>
      <c r="AB59" s="328"/>
      <c r="AC59" s="328"/>
      <c r="AD59" s="185"/>
      <c r="AE59" s="185"/>
      <c r="AF59" s="185"/>
      <c r="AG59" s="185"/>
      <c r="AH59" s="185"/>
      <c r="AI59" s="185"/>
      <c r="AJ59" s="329"/>
      <c r="AK59" s="185"/>
      <c r="AL59" s="185"/>
      <c r="AM59" s="185"/>
      <c r="AN59" s="173"/>
      <c r="AO59" s="173"/>
      <c r="AP59" s="173"/>
      <c r="AQ59" s="173"/>
      <c r="AR59" s="173"/>
      <c r="AS59" s="173"/>
      <c r="AT59" s="173"/>
      <c r="AU59" s="173"/>
      <c r="AV59" s="173"/>
      <c r="AW59" s="173"/>
      <c r="AX59" s="173"/>
      <c r="AY59" s="173"/>
      <c r="AZ59" s="173"/>
      <c r="BA59" s="173"/>
      <c r="BB59" s="173"/>
      <c r="BC59" s="173"/>
      <c r="BD59" s="173"/>
      <c r="BE59" s="173"/>
      <c r="BF59" s="173"/>
      <c r="BG59" s="173"/>
      <c r="BH59" s="173"/>
      <c r="BI59" s="173"/>
      <c r="BJ59" s="173"/>
      <c r="BK59" s="173"/>
      <c r="BL59" s="173"/>
      <c r="BM59" s="173"/>
      <c r="BN59" s="173"/>
      <c r="BO59" s="173"/>
      <c r="BP59" s="173"/>
      <c r="BQ59" s="173"/>
      <c r="BR59" s="173"/>
      <c r="BS59" s="173"/>
      <c r="BT59" s="173"/>
      <c r="BU59" s="173"/>
      <c r="BV59" s="173"/>
      <c r="BW59" s="173"/>
      <c r="BX59" s="185"/>
      <c r="BY59" s="185"/>
      <c r="BZ59" s="185"/>
      <c r="CA59" s="329"/>
      <c r="CB59" s="185"/>
      <c r="CC59" s="185"/>
      <c r="CD59" s="185"/>
      <c r="CE59" s="185"/>
      <c r="CF59" s="329"/>
      <c r="CG59" s="185"/>
      <c r="CH59" s="330"/>
      <c r="CI59" s="185"/>
      <c r="CJ59" s="185"/>
      <c r="CK59" s="185"/>
      <c r="CL59" s="185"/>
      <c r="CM59" s="330"/>
      <c r="CN59" s="185"/>
      <c r="CO59" s="185"/>
      <c r="CP59" s="185"/>
      <c r="CQ59" s="185"/>
      <c r="CR59" s="330"/>
      <c r="CS59" s="185"/>
      <c r="CT59" s="185"/>
      <c r="CU59" s="185"/>
      <c r="CV59" s="185"/>
      <c r="CW59" s="185"/>
      <c r="CX59" s="185"/>
      <c r="CY59" s="185"/>
      <c r="CZ59" s="185"/>
      <c r="DA59" s="185"/>
      <c r="DB59" s="185"/>
      <c r="DC59" s="185"/>
      <c r="DD59" s="185"/>
      <c r="DE59" s="185"/>
      <c r="DF59" s="185"/>
      <c r="DG59" s="330"/>
      <c r="DH59" s="185"/>
      <c r="DI59" s="185"/>
      <c r="DJ59" s="185"/>
      <c r="DK59" s="185"/>
      <c r="DL59" s="185"/>
      <c r="DM59" s="185"/>
      <c r="DN59" s="329"/>
      <c r="DO59" s="185"/>
      <c r="DP59" s="185"/>
      <c r="DQ59" s="185"/>
      <c r="DR59" s="185"/>
      <c r="DS59" s="185"/>
      <c r="DT59" s="185"/>
      <c r="DU59" s="185"/>
      <c r="DV59" s="185"/>
      <c r="DW59" s="185"/>
      <c r="DX59" s="185"/>
      <c r="DY59" s="331"/>
      <c r="DZ59" s="174"/>
      <c r="EA59" s="174"/>
      <c r="EB59" s="174"/>
      <c r="EC59" s="174"/>
      <c r="ED59" s="174"/>
      <c r="EE59" s="332"/>
      <c r="EF59" s="332"/>
      <c r="EG59" s="332"/>
      <c r="EH59" s="332"/>
      <c r="EI59" s="126"/>
      <c r="EJ59" s="332"/>
      <c r="EK59" s="332"/>
      <c r="EL59" s="332"/>
      <c r="EM59" s="332"/>
      <c r="EN59" s="332"/>
      <c r="EO59" s="332"/>
      <c r="EP59" s="332"/>
      <c r="EQ59" s="332"/>
      <c r="ER59" s="332"/>
      <c r="ES59" s="332"/>
      <c r="ET59" s="331"/>
      <c r="EU59" s="331"/>
      <c r="EV59" s="331"/>
      <c r="EW59" s="332"/>
      <c r="EX59" s="332"/>
      <c r="EY59" s="332"/>
      <c r="EZ59" s="332"/>
      <c r="FA59" s="173"/>
      <c r="FB59" s="173"/>
      <c r="FC59" s="173"/>
      <c r="FD59" s="173"/>
      <c r="FE59" s="173"/>
      <c r="FF59" s="173"/>
      <c r="FG59" s="173"/>
      <c r="FH59" s="173"/>
      <c r="FI59" s="173"/>
      <c r="FJ59" s="174"/>
      <c r="FK59" s="174"/>
      <c r="FL59" s="174"/>
      <c r="FM59" s="330"/>
      <c r="FN59" s="185"/>
      <c r="FO59" s="185"/>
      <c r="FP59" s="185"/>
      <c r="FQ59" s="174"/>
      <c r="FR59" s="330"/>
      <c r="FS59" s="185"/>
      <c r="FT59" s="185"/>
      <c r="FU59" s="185"/>
      <c r="FV59" s="185"/>
      <c r="FW59" s="185"/>
      <c r="FX59" s="185"/>
      <c r="FY59" s="185"/>
      <c r="FZ59" s="185"/>
      <c r="GA59" s="126"/>
      <c r="GB59" s="284"/>
      <c r="GC59" s="284"/>
      <c r="GD59" s="284"/>
      <c r="GE59" s="284"/>
      <c r="GF59" s="95"/>
      <c r="GG59" s="95"/>
      <c r="GH59" s="284"/>
      <c r="GI59" s="67"/>
      <c r="GJ59" s="67"/>
      <c r="GK59" s="67"/>
      <c r="GL59" s="67"/>
      <c r="GM59" s="67"/>
      <c r="GN59" s="71"/>
      <c r="GO59" s="71"/>
      <c r="GP59" s="71"/>
      <c r="GQ59" s="71"/>
      <c r="GR59" s="70"/>
      <c r="GS59" s="70"/>
      <c r="GT59" s="70"/>
      <c r="GU59" s="70"/>
      <c r="GV59" s="70"/>
      <c r="GW59" s="70"/>
      <c r="GX59" s="73"/>
      <c r="GY59" s="74"/>
    </row>
    <row r="60" spans="1:207" s="75" customFormat="1">
      <c r="A60" s="95"/>
      <c r="B60" s="173"/>
      <c r="C60" s="173"/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85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328"/>
      <c r="Z60" s="328"/>
      <c r="AA60" s="328"/>
      <c r="AB60" s="328"/>
      <c r="AC60" s="328"/>
      <c r="AD60" s="185"/>
      <c r="AE60" s="185"/>
      <c r="AF60" s="185"/>
      <c r="AG60" s="185"/>
      <c r="AH60" s="185"/>
      <c r="AI60" s="185"/>
      <c r="AJ60" s="329"/>
      <c r="AK60" s="185"/>
      <c r="AL60" s="185"/>
      <c r="AM60" s="185"/>
      <c r="AN60" s="173"/>
      <c r="AO60" s="173"/>
      <c r="AP60" s="173"/>
      <c r="AQ60" s="173"/>
      <c r="AR60" s="173"/>
      <c r="AS60" s="173"/>
      <c r="AT60" s="173"/>
      <c r="AU60" s="173"/>
      <c r="AV60" s="173"/>
      <c r="AW60" s="173"/>
      <c r="AX60" s="173"/>
      <c r="AY60" s="173"/>
      <c r="AZ60" s="173"/>
      <c r="BA60" s="173"/>
      <c r="BB60" s="173"/>
      <c r="BC60" s="173"/>
      <c r="BD60" s="173"/>
      <c r="BE60" s="173"/>
      <c r="BF60" s="173"/>
      <c r="BG60" s="173"/>
      <c r="BH60" s="173"/>
      <c r="BI60" s="173"/>
      <c r="BJ60" s="173"/>
      <c r="BK60" s="173"/>
      <c r="BL60" s="173"/>
      <c r="BM60" s="173"/>
      <c r="BN60" s="173"/>
      <c r="BO60" s="173"/>
      <c r="BP60" s="173"/>
      <c r="BQ60" s="173"/>
      <c r="BR60" s="173"/>
      <c r="BS60" s="173"/>
      <c r="BT60" s="173"/>
      <c r="BU60" s="173"/>
      <c r="BV60" s="173"/>
      <c r="BW60" s="173"/>
      <c r="BX60" s="185"/>
      <c r="BY60" s="185"/>
      <c r="BZ60" s="185"/>
      <c r="CA60" s="329"/>
      <c r="CB60" s="185"/>
      <c r="CC60" s="185"/>
      <c r="CD60" s="185"/>
      <c r="CE60" s="185"/>
      <c r="CF60" s="329"/>
      <c r="CG60" s="185"/>
      <c r="CH60" s="330"/>
      <c r="CI60" s="185"/>
      <c r="CJ60" s="185"/>
      <c r="CK60" s="185"/>
      <c r="CL60" s="185"/>
      <c r="CM60" s="330"/>
      <c r="CN60" s="185"/>
      <c r="CO60" s="185"/>
      <c r="CP60" s="185"/>
      <c r="CQ60" s="185"/>
      <c r="CR60" s="330"/>
      <c r="CS60" s="185"/>
      <c r="CT60" s="185"/>
      <c r="CU60" s="185"/>
      <c r="CV60" s="185"/>
      <c r="CW60" s="185"/>
      <c r="CX60" s="185"/>
      <c r="CY60" s="185"/>
      <c r="CZ60" s="185"/>
      <c r="DA60" s="185"/>
      <c r="DB60" s="185"/>
      <c r="DC60" s="185"/>
      <c r="DD60" s="185"/>
      <c r="DE60" s="185"/>
      <c r="DF60" s="185"/>
      <c r="DG60" s="330"/>
      <c r="DH60" s="185"/>
      <c r="DI60" s="185"/>
      <c r="DJ60" s="185"/>
      <c r="DK60" s="185"/>
      <c r="DL60" s="185"/>
      <c r="DM60" s="185"/>
      <c r="DN60" s="329"/>
      <c r="DO60" s="185"/>
      <c r="DP60" s="185"/>
      <c r="DQ60" s="185"/>
      <c r="DR60" s="185"/>
      <c r="DS60" s="185"/>
      <c r="DT60" s="185"/>
      <c r="DU60" s="185"/>
      <c r="DV60" s="185"/>
      <c r="DW60" s="185"/>
      <c r="DX60" s="185"/>
      <c r="DY60" s="331"/>
      <c r="DZ60" s="174"/>
      <c r="EA60" s="174"/>
      <c r="EB60" s="174"/>
      <c r="EC60" s="174"/>
      <c r="ED60" s="174"/>
      <c r="EE60" s="332"/>
      <c r="EF60" s="332"/>
      <c r="EG60" s="332"/>
      <c r="EH60" s="332"/>
      <c r="EI60" s="126"/>
      <c r="EJ60" s="332"/>
      <c r="EK60" s="332"/>
      <c r="EL60" s="332"/>
      <c r="EM60" s="332"/>
      <c r="EN60" s="332"/>
      <c r="EO60" s="332"/>
      <c r="EP60" s="332"/>
      <c r="EQ60" s="332"/>
      <c r="ER60" s="332"/>
      <c r="ES60" s="332"/>
      <c r="ET60" s="331"/>
      <c r="EU60" s="331"/>
      <c r="EV60" s="331"/>
      <c r="EW60" s="332"/>
      <c r="EX60" s="332"/>
      <c r="EY60" s="332"/>
      <c r="EZ60" s="332"/>
      <c r="FA60" s="173"/>
      <c r="FB60" s="173"/>
      <c r="FC60" s="173"/>
      <c r="FD60" s="173"/>
      <c r="FE60" s="173"/>
      <c r="FF60" s="173"/>
      <c r="FG60" s="173"/>
      <c r="FH60" s="173"/>
      <c r="FI60" s="173"/>
      <c r="FJ60" s="174"/>
      <c r="FK60" s="174"/>
      <c r="FL60" s="174"/>
      <c r="FM60" s="330"/>
      <c r="FN60" s="185"/>
      <c r="FO60" s="185"/>
      <c r="FP60" s="185"/>
      <c r="FQ60" s="174"/>
      <c r="FR60" s="330"/>
      <c r="FS60" s="185"/>
      <c r="FT60" s="185"/>
      <c r="FU60" s="185"/>
      <c r="FV60" s="185"/>
      <c r="FW60" s="185"/>
      <c r="FX60" s="185"/>
      <c r="FY60" s="185"/>
      <c r="FZ60" s="185"/>
      <c r="GA60" s="126"/>
      <c r="GB60" s="284"/>
      <c r="GC60" s="284"/>
      <c r="GD60" s="284"/>
      <c r="GE60" s="284"/>
      <c r="GF60" s="95"/>
      <c r="GG60" s="95"/>
      <c r="GH60" s="284"/>
      <c r="GI60" s="67"/>
      <c r="GJ60" s="67"/>
      <c r="GK60" s="67"/>
      <c r="GL60" s="67"/>
      <c r="GM60" s="67"/>
      <c r="GN60" s="71"/>
      <c r="GO60" s="71"/>
      <c r="GP60" s="71"/>
      <c r="GQ60" s="71"/>
      <c r="GR60" s="70"/>
      <c r="GS60" s="70"/>
      <c r="GT60" s="70"/>
      <c r="GU60" s="70"/>
      <c r="GV60" s="70"/>
      <c r="GW60" s="70"/>
      <c r="GX60" s="73"/>
      <c r="GY60" s="74"/>
    </row>
    <row r="61" spans="1:207" s="75" customFormat="1">
      <c r="A61" s="95"/>
      <c r="B61" s="173"/>
      <c r="C61" s="173"/>
      <c r="D61" s="173"/>
      <c r="E61" s="173"/>
      <c r="F61" s="173"/>
      <c r="G61" s="173"/>
      <c r="H61" s="173"/>
      <c r="I61" s="173"/>
      <c r="J61" s="173"/>
      <c r="K61" s="173"/>
      <c r="L61" s="173"/>
      <c r="M61" s="173"/>
      <c r="N61" s="185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328"/>
      <c r="Z61" s="328"/>
      <c r="AA61" s="328"/>
      <c r="AB61" s="328"/>
      <c r="AC61" s="328"/>
      <c r="AD61" s="185"/>
      <c r="AE61" s="185"/>
      <c r="AF61" s="185"/>
      <c r="AG61" s="185"/>
      <c r="AH61" s="185"/>
      <c r="AI61" s="185"/>
      <c r="AJ61" s="329"/>
      <c r="AK61" s="185"/>
      <c r="AL61" s="185"/>
      <c r="AM61" s="185"/>
      <c r="AN61" s="173"/>
      <c r="AO61" s="173"/>
      <c r="AP61" s="173"/>
      <c r="AQ61" s="173"/>
      <c r="AR61" s="173"/>
      <c r="AS61" s="173"/>
      <c r="AT61" s="173"/>
      <c r="AU61" s="173"/>
      <c r="AV61" s="173"/>
      <c r="AW61" s="173"/>
      <c r="AX61" s="173"/>
      <c r="AY61" s="173"/>
      <c r="AZ61" s="173"/>
      <c r="BA61" s="173"/>
      <c r="BB61" s="173"/>
      <c r="BC61" s="173"/>
      <c r="BD61" s="173"/>
      <c r="BE61" s="173"/>
      <c r="BF61" s="173"/>
      <c r="BG61" s="173"/>
      <c r="BH61" s="173"/>
      <c r="BI61" s="173"/>
      <c r="BJ61" s="173"/>
      <c r="BK61" s="173"/>
      <c r="BL61" s="173"/>
      <c r="BM61" s="173"/>
      <c r="BN61" s="173"/>
      <c r="BO61" s="173"/>
      <c r="BP61" s="173"/>
      <c r="BQ61" s="173"/>
      <c r="BR61" s="173"/>
      <c r="BS61" s="173"/>
      <c r="BT61" s="173"/>
      <c r="BU61" s="173"/>
      <c r="BV61" s="173"/>
      <c r="BW61" s="173"/>
      <c r="BX61" s="185"/>
      <c r="BY61" s="185"/>
      <c r="BZ61" s="185"/>
      <c r="CA61" s="329"/>
      <c r="CB61" s="185"/>
      <c r="CC61" s="185"/>
      <c r="CD61" s="185"/>
      <c r="CE61" s="185"/>
      <c r="CF61" s="329"/>
      <c r="CG61" s="185"/>
      <c r="CH61" s="330"/>
      <c r="CI61" s="185"/>
      <c r="CJ61" s="185"/>
      <c r="CK61" s="185"/>
      <c r="CL61" s="185"/>
      <c r="CM61" s="330"/>
      <c r="CN61" s="185"/>
      <c r="CO61" s="185"/>
      <c r="CP61" s="185"/>
      <c r="CQ61" s="185"/>
      <c r="CR61" s="330"/>
      <c r="CS61" s="185"/>
      <c r="CT61" s="185"/>
      <c r="CU61" s="185"/>
      <c r="CV61" s="185"/>
      <c r="CW61" s="185"/>
      <c r="CX61" s="185"/>
      <c r="CY61" s="185"/>
      <c r="CZ61" s="185"/>
      <c r="DA61" s="185"/>
      <c r="DB61" s="185"/>
      <c r="DC61" s="185"/>
      <c r="DD61" s="185"/>
      <c r="DE61" s="185"/>
      <c r="DF61" s="185"/>
      <c r="DG61" s="330"/>
      <c r="DH61" s="185"/>
      <c r="DI61" s="185"/>
      <c r="DJ61" s="185"/>
      <c r="DK61" s="185"/>
      <c r="DL61" s="185"/>
      <c r="DM61" s="185"/>
      <c r="DN61" s="329"/>
      <c r="DO61" s="185"/>
      <c r="DP61" s="185"/>
      <c r="DQ61" s="185"/>
      <c r="DR61" s="185"/>
      <c r="DS61" s="185"/>
      <c r="DT61" s="185"/>
      <c r="DU61" s="185"/>
      <c r="DV61" s="185"/>
      <c r="DW61" s="185"/>
      <c r="DX61" s="185"/>
      <c r="DY61" s="331"/>
      <c r="DZ61" s="174"/>
      <c r="EA61" s="174"/>
      <c r="EB61" s="174"/>
      <c r="EC61" s="174"/>
      <c r="ED61" s="174"/>
      <c r="EE61" s="332"/>
      <c r="EF61" s="332"/>
      <c r="EG61" s="332"/>
      <c r="EH61" s="332"/>
      <c r="EI61" s="126"/>
      <c r="EJ61" s="332"/>
      <c r="EK61" s="332"/>
      <c r="EL61" s="332"/>
      <c r="EM61" s="332"/>
      <c r="EN61" s="332"/>
      <c r="EO61" s="332"/>
      <c r="EP61" s="332"/>
      <c r="EQ61" s="332"/>
      <c r="ER61" s="332"/>
      <c r="ES61" s="332"/>
      <c r="ET61" s="331"/>
      <c r="EU61" s="331"/>
      <c r="EV61" s="331"/>
      <c r="EW61" s="332"/>
      <c r="EX61" s="332"/>
      <c r="EY61" s="332"/>
      <c r="EZ61" s="332"/>
      <c r="FA61" s="173"/>
      <c r="FB61" s="173"/>
      <c r="FC61" s="173"/>
      <c r="FD61" s="173"/>
      <c r="FE61" s="173"/>
      <c r="FF61" s="173"/>
      <c r="FG61" s="173"/>
      <c r="FH61" s="173"/>
      <c r="FI61" s="173"/>
      <c r="FJ61" s="174"/>
      <c r="FK61" s="174"/>
      <c r="FL61" s="174"/>
      <c r="FM61" s="330"/>
      <c r="FN61" s="185"/>
      <c r="FO61" s="185"/>
      <c r="FP61" s="185"/>
      <c r="FQ61" s="174"/>
      <c r="FR61" s="330"/>
      <c r="FS61" s="185"/>
      <c r="FT61" s="185"/>
      <c r="FU61" s="185"/>
      <c r="FV61" s="185"/>
      <c r="FW61" s="185"/>
      <c r="FX61" s="185"/>
      <c r="FY61" s="185"/>
      <c r="FZ61" s="185"/>
      <c r="GA61" s="126"/>
      <c r="GB61" s="284"/>
      <c r="GC61" s="284"/>
      <c r="GD61" s="284"/>
      <c r="GE61" s="284"/>
      <c r="GF61" s="95"/>
      <c r="GG61" s="95"/>
      <c r="GH61" s="284"/>
      <c r="GI61" s="67"/>
      <c r="GJ61" s="67"/>
      <c r="GK61" s="67"/>
      <c r="GL61" s="67"/>
      <c r="GM61" s="67"/>
      <c r="GN61" s="71"/>
      <c r="GO61" s="71"/>
      <c r="GP61" s="71"/>
      <c r="GQ61" s="71"/>
      <c r="GR61" s="70"/>
      <c r="GS61" s="70"/>
      <c r="GT61" s="70"/>
      <c r="GU61" s="70"/>
      <c r="GV61" s="70"/>
      <c r="GW61" s="70"/>
      <c r="GX61" s="73"/>
      <c r="GY61" s="74"/>
    </row>
    <row r="62" spans="1:207" s="75" customFormat="1">
      <c r="A62" s="95"/>
      <c r="B62" s="173"/>
      <c r="C62" s="173"/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85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328"/>
      <c r="Z62" s="328"/>
      <c r="AA62" s="328"/>
      <c r="AB62" s="328"/>
      <c r="AC62" s="328"/>
      <c r="AD62" s="185"/>
      <c r="AE62" s="185"/>
      <c r="AF62" s="185"/>
      <c r="AG62" s="185"/>
      <c r="AH62" s="185"/>
      <c r="AI62" s="185"/>
      <c r="AJ62" s="329"/>
      <c r="AK62" s="185"/>
      <c r="AL62" s="185"/>
      <c r="AM62" s="185"/>
      <c r="AN62" s="173"/>
      <c r="AO62" s="173"/>
      <c r="AP62" s="173"/>
      <c r="AQ62" s="173"/>
      <c r="AR62" s="173"/>
      <c r="AS62" s="173"/>
      <c r="AT62" s="173"/>
      <c r="AU62" s="173"/>
      <c r="AV62" s="173"/>
      <c r="AW62" s="173"/>
      <c r="AX62" s="173"/>
      <c r="AY62" s="173"/>
      <c r="AZ62" s="173"/>
      <c r="BA62" s="173"/>
      <c r="BB62" s="173"/>
      <c r="BC62" s="173"/>
      <c r="BD62" s="173"/>
      <c r="BE62" s="173"/>
      <c r="BF62" s="173"/>
      <c r="BG62" s="173"/>
      <c r="BH62" s="173"/>
      <c r="BI62" s="173"/>
      <c r="BJ62" s="173"/>
      <c r="BK62" s="173"/>
      <c r="BL62" s="173"/>
      <c r="BM62" s="173"/>
      <c r="BN62" s="173"/>
      <c r="BO62" s="173"/>
      <c r="BP62" s="173"/>
      <c r="BQ62" s="173"/>
      <c r="BR62" s="173"/>
      <c r="BS62" s="173"/>
      <c r="BT62" s="173"/>
      <c r="BU62" s="173"/>
      <c r="BV62" s="173"/>
      <c r="BW62" s="173"/>
      <c r="BX62" s="185"/>
      <c r="BY62" s="185"/>
      <c r="BZ62" s="185"/>
      <c r="CA62" s="329"/>
      <c r="CB62" s="185"/>
      <c r="CC62" s="185"/>
      <c r="CD62" s="185"/>
      <c r="CE62" s="185"/>
      <c r="CF62" s="329"/>
      <c r="CG62" s="185"/>
      <c r="CH62" s="330"/>
      <c r="CI62" s="185"/>
      <c r="CJ62" s="185"/>
      <c r="CK62" s="185"/>
      <c r="CL62" s="185"/>
      <c r="CM62" s="330"/>
      <c r="CN62" s="185"/>
      <c r="CO62" s="185"/>
      <c r="CP62" s="185"/>
      <c r="CQ62" s="185"/>
      <c r="CR62" s="330"/>
      <c r="CS62" s="185"/>
      <c r="CT62" s="185"/>
      <c r="CU62" s="185"/>
      <c r="CV62" s="185"/>
      <c r="CW62" s="185"/>
      <c r="CX62" s="185"/>
      <c r="CY62" s="185"/>
      <c r="CZ62" s="185"/>
      <c r="DA62" s="185"/>
      <c r="DB62" s="185"/>
      <c r="DC62" s="185"/>
      <c r="DD62" s="185"/>
      <c r="DE62" s="185"/>
      <c r="DF62" s="185"/>
      <c r="DG62" s="330"/>
      <c r="DH62" s="185"/>
      <c r="DI62" s="185"/>
      <c r="DJ62" s="185"/>
      <c r="DK62" s="185"/>
      <c r="DL62" s="185"/>
      <c r="DM62" s="185"/>
      <c r="DN62" s="329"/>
      <c r="DO62" s="185"/>
      <c r="DP62" s="185"/>
      <c r="DQ62" s="185"/>
      <c r="DR62" s="185"/>
      <c r="DS62" s="185"/>
      <c r="DT62" s="185"/>
      <c r="DU62" s="185"/>
      <c r="DV62" s="185"/>
      <c r="DW62" s="185"/>
      <c r="DX62" s="185"/>
      <c r="DY62" s="331"/>
      <c r="DZ62" s="174"/>
      <c r="EA62" s="174"/>
      <c r="EB62" s="174"/>
      <c r="EC62" s="174"/>
      <c r="ED62" s="174"/>
      <c r="EE62" s="332"/>
      <c r="EF62" s="332"/>
      <c r="EG62" s="332"/>
      <c r="EH62" s="332"/>
      <c r="EI62" s="126"/>
      <c r="EJ62" s="332"/>
      <c r="EK62" s="332"/>
      <c r="EL62" s="332"/>
      <c r="EM62" s="332"/>
      <c r="EN62" s="332"/>
      <c r="EO62" s="332"/>
      <c r="EP62" s="332"/>
      <c r="EQ62" s="332"/>
      <c r="ER62" s="332"/>
      <c r="ES62" s="332"/>
      <c r="ET62" s="331"/>
      <c r="EU62" s="331"/>
      <c r="EV62" s="331"/>
      <c r="EW62" s="332"/>
      <c r="EX62" s="332"/>
      <c r="EY62" s="332"/>
      <c r="EZ62" s="332"/>
      <c r="FA62" s="173"/>
      <c r="FB62" s="173"/>
      <c r="FC62" s="173"/>
      <c r="FD62" s="173"/>
      <c r="FE62" s="173"/>
      <c r="FF62" s="173"/>
      <c r="FG62" s="173"/>
      <c r="FH62" s="173"/>
      <c r="FI62" s="173"/>
      <c r="FJ62" s="174"/>
      <c r="FK62" s="174"/>
      <c r="FL62" s="174"/>
      <c r="FM62" s="330"/>
      <c r="FN62" s="185"/>
      <c r="FO62" s="185"/>
      <c r="FP62" s="185"/>
      <c r="FQ62" s="174"/>
      <c r="FR62" s="330"/>
      <c r="FS62" s="185"/>
      <c r="FT62" s="185"/>
      <c r="FU62" s="185"/>
      <c r="FV62" s="185"/>
      <c r="FW62" s="185"/>
      <c r="FX62" s="185"/>
      <c r="FY62" s="185"/>
      <c r="FZ62" s="185"/>
      <c r="GA62" s="126"/>
      <c r="GB62" s="284"/>
      <c r="GC62" s="284"/>
      <c r="GD62" s="284"/>
      <c r="GE62" s="284"/>
      <c r="GF62" s="95"/>
      <c r="GG62" s="95"/>
      <c r="GH62" s="284"/>
      <c r="GI62" s="67"/>
      <c r="GJ62" s="67"/>
      <c r="GK62" s="67"/>
      <c r="GL62" s="67"/>
      <c r="GM62" s="67"/>
      <c r="GN62" s="71"/>
      <c r="GO62" s="71"/>
      <c r="GP62" s="71"/>
      <c r="GQ62" s="71"/>
      <c r="GR62" s="70"/>
      <c r="GS62" s="70"/>
      <c r="GT62" s="70"/>
      <c r="GU62" s="70"/>
      <c r="GV62" s="70"/>
      <c r="GW62" s="70"/>
      <c r="GX62" s="73"/>
      <c r="GY62" s="74"/>
    </row>
    <row r="63" spans="1:207" s="75" customFormat="1">
      <c r="A63" s="95"/>
      <c r="B63" s="173"/>
      <c r="C63" s="173"/>
      <c r="D63" s="173"/>
      <c r="E63" s="173"/>
      <c r="F63" s="173"/>
      <c r="G63" s="173"/>
      <c r="H63" s="173"/>
      <c r="I63" s="173"/>
      <c r="J63" s="173"/>
      <c r="K63" s="173"/>
      <c r="L63" s="173"/>
      <c r="M63" s="173"/>
      <c r="N63" s="185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328"/>
      <c r="Z63" s="328"/>
      <c r="AA63" s="328"/>
      <c r="AB63" s="328"/>
      <c r="AC63" s="328"/>
      <c r="AD63" s="185"/>
      <c r="AE63" s="185"/>
      <c r="AF63" s="185"/>
      <c r="AG63" s="185"/>
      <c r="AH63" s="185"/>
      <c r="AI63" s="185"/>
      <c r="AJ63" s="329"/>
      <c r="AK63" s="185"/>
      <c r="AL63" s="185"/>
      <c r="AM63" s="185"/>
      <c r="AN63" s="173"/>
      <c r="AO63" s="173"/>
      <c r="AP63" s="173"/>
      <c r="AQ63" s="173"/>
      <c r="AR63" s="173"/>
      <c r="AS63" s="173"/>
      <c r="AT63" s="173"/>
      <c r="AU63" s="173"/>
      <c r="AV63" s="173"/>
      <c r="AW63" s="173"/>
      <c r="AX63" s="173"/>
      <c r="AY63" s="173"/>
      <c r="AZ63" s="173"/>
      <c r="BA63" s="173"/>
      <c r="BB63" s="173"/>
      <c r="BC63" s="173"/>
      <c r="BD63" s="173"/>
      <c r="BE63" s="173"/>
      <c r="BF63" s="173"/>
      <c r="BG63" s="173"/>
      <c r="BH63" s="173"/>
      <c r="BI63" s="173"/>
      <c r="BJ63" s="173"/>
      <c r="BK63" s="173"/>
      <c r="BL63" s="173"/>
      <c r="BM63" s="173"/>
      <c r="BN63" s="173"/>
      <c r="BO63" s="173"/>
      <c r="BP63" s="173"/>
      <c r="BQ63" s="173"/>
      <c r="BR63" s="173"/>
      <c r="BS63" s="173"/>
      <c r="BT63" s="173"/>
      <c r="BU63" s="173"/>
      <c r="BV63" s="173"/>
      <c r="BW63" s="173"/>
      <c r="BX63" s="185"/>
      <c r="BY63" s="185"/>
      <c r="BZ63" s="185"/>
      <c r="CA63" s="329"/>
      <c r="CB63" s="185"/>
      <c r="CC63" s="185"/>
      <c r="CD63" s="185"/>
      <c r="CE63" s="185"/>
      <c r="CF63" s="329"/>
      <c r="CG63" s="185"/>
      <c r="CH63" s="330"/>
      <c r="CI63" s="185"/>
      <c r="CJ63" s="185"/>
      <c r="CK63" s="185"/>
      <c r="CL63" s="185"/>
      <c r="CM63" s="330"/>
      <c r="CN63" s="185"/>
      <c r="CO63" s="185"/>
      <c r="CP63" s="185"/>
      <c r="CQ63" s="185"/>
      <c r="CR63" s="330"/>
      <c r="CS63" s="185"/>
      <c r="CT63" s="185"/>
      <c r="CU63" s="185"/>
      <c r="CV63" s="185"/>
      <c r="CW63" s="185"/>
      <c r="CX63" s="185"/>
      <c r="CY63" s="185"/>
      <c r="CZ63" s="185"/>
      <c r="DA63" s="185"/>
      <c r="DB63" s="185"/>
      <c r="DC63" s="185"/>
      <c r="DD63" s="185"/>
      <c r="DE63" s="185"/>
      <c r="DF63" s="185"/>
      <c r="DG63" s="330"/>
      <c r="DH63" s="185"/>
      <c r="DI63" s="185"/>
      <c r="DJ63" s="185"/>
      <c r="DK63" s="185"/>
      <c r="DL63" s="185"/>
      <c r="DM63" s="185"/>
      <c r="DN63" s="329"/>
      <c r="DO63" s="185"/>
      <c r="DP63" s="185"/>
      <c r="DQ63" s="185"/>
      <c r="DR63" s="185"/>
      <c r="DS63" s="185"/>
      <c r="DT63" s="185"/>
      <c r="DU63" s="185"/>
      <c r="DV63" s="185"/>
      <c r="DW63" s="185"/>
      <c r="DX63" s="185"/>
      <c r="DY63" s="331"/>
      <c r="DZ63" s="174"/>
      <c r="EA63" s="174"/>
      <c r="EB63" s="174"/>
      <c r="EC63" s="174"/>
      <c r="ED63" s="174"/>
      <c r="EE63" s="332"/>
      <c r="EF63" s="332"/>
      <c r="EG63" s="332"/>
      <c r="EH63" s="332"/>
      <c r="EI63" s="126"/>
      <c r="EJ63" s="332"/>
      <c r="EK63" s="332"/>
      <c r="EL63" s="332"/>
      <c r="EM63" s="332"/>
      <c r="EN63" s="332"/>
      <c r="EO63" s="332"/>
      <c r="EP63" s="332"/>
      <c r="EQ63" s="332"/>
      <c r="ER63" s="332"/>
      <c r="ES63" s="332"/>
      <c r="ET63" s="331"/>
      <c r="EU63" s="331"/>
      <c r="EV63" s="331"/>
      <c r="EW63" s="332"/>
      <c r="EX63" s="332"/>
      <c r="EY63" s="332"/>
      <c r="EZ63" s="332"/>
      <c r="FA63" s="173"/>
      <c r="FB63" s="173"/>
      <c r="FC63" s="173"/>
      <c r="FD63" s="173"/>
      <c r="FE63" s="173"/>
      <c r="FF63" s="173"/>
      <c r="FG63" s="173"/>
      <c r="FH63" s="173"/>
      <c r="FI63" s="173"/>
      <c r="FJ63" s="174"/>
      <c r="FK63" s="174"/>
      <c r="FL63" s="174"/>
      <c r="FM63" s="330"/>
      <c r="FN63" s="185"/>
      <c r="FO63" s="185"/>
      <c r="FP63" s="185"/>
      <c r="FQ63" s="174"/>
      <c r="FR63" s="330"/>
      <c r="FS63" s="185"/>
      <c r="FT63" s="185"/>
      <c r="FU63" s="185"/>
      <c r="FV63" s="185"/>
      <c r="FW63" s="185"/>
      <c r="FX63" s="185"/>
      <c r="FY63" s="185"/>
      <c r="FZ63" s="185"/>
      <c r="GA63" s="126"/>
      <c r="GB63" s="284"/>
      <c r="GC63" s="284"/>
      <c r="GD63" s="284"/>
      <c r="GE63" s="284"/>
      <c r="GF63" s="95"/>
      <c r="GG63" s="95"/>
      <c r="GH63" s="284"/>
      <c r="GI63" s="67"/>
      <c r="GJ63" s="67"/>
      <c r="GK63" s="67"/>
      <c r="GL63" s="67"/>
      <c r="GM63" s="67"/>
      <c r="GN63" s="71"/>
      <c r="GO63" s="71"/>
      <c r="GP63" s="71"/>
      <c r="GQ63" s="71"/>
      <c r="GR63" s="70"/>
      <c r="GS63" s="70"/>
      <c r="GT63" s="70"/>
      <c r="GU63" s="70"/>
      <c r="GV63" s="70"/>
      <c r="GW63" s="70"/>
      <c r="GX63" s="73"/>
      <c r="GY63" s="74"/>
    </row>
    <row r="64" spans="1:207" s="75" customFormat="1">
      <c r="A64" s="95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85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328"/>
      <c r="Z64" s="328"/>
      <c r="AA64" s="328"/>
      <c r="AB64" s="328"/>
      <c r="AC64" s="328"/>
      <c r="AD64" s="185"/>
      <c r="AE64" s="185"/>
      <c r="AF64" s="185"/>
      <c r="AG64" s="185"/>
      <c r="AH64" s="185"/>
      <c r="AI64" s="185"/>
      <c r="AJ64" s="329"/>
      <c r="AK64" s="185"/>
      <c r="AL64" s="185"/>
      <c r="AM64" s="185"/>
      <c r="AN64" s="173"/>
      <c r="AO64" s="173"/>
      <c r="AP64" s="173"/>
      <c r="AQ64" s="173"/>
      <c r="AR64" s="173"/>
      <c r="AS64" s="173"/>
      <c r="AT64" s="173"/>
      <c r="AU64" s="173"/>
      <c r="AV64" s="173"/>
      <c r="AW64" s="173"/>
      <c r="AX64" s="173"/>
      <c r="AY64" s="173"/>
      <c r="AZ64" s="173"/>
      <c r="BA64" s="173"/>
      <c r="BB64" s="173"/>
      <c r="BC64" s="173"/>
      <c r="BD64" s="173"/>
      <c r="BE64" s="173"/>
      <c r="BF64" s="173"/>
      <c r="BG64" s="173"/>
      <c r="BH64" s="173"/>
      <c r="BI64" s="173"/>
      <c r="BJ64" s="173"/>
      <c r="BK64" s="173"/>
      <c r="BL64" s="173"/>
      <c r="BM64" s="173"/>
      <c r="BN64" s="173"/>
      <c r="BO64" s="173"/>
      <c r="BP64" s="173"/>
      <c r="BQ64" s="173"/>
      <c r="BR64" s="173"/>
      <c r="BS64" s="173"/>
      <c r="BT64" s="173"/>
      <c r="BU64" s="173"/>
      <c r="BV64" s="173"/>
      <c r="BW64" s="173"/>
      <c r="BX64" s="185"/>
      <c r="BY64" s="185"/>
      <c r="BZ64" s="185"/>
      <c r="CA64" s="329"/>
      <c r="CB64" s="185"/>
      <c r="CC64" s="185"/>
      <c r="CD64" s="185"/>
      <c r="CE64" s="185"/>
      <c r="CF64" s="329"/>
      <c r="CG64" s="185"/>
      <c r="CH64" s="330"/>
      <c r="CI64" s="185"/>
      <c r="CJ64" s="185"/>
      <c r="CK64" s="185"/>
      <c r="CL64" s="185"/>
      <c r="CM64" s="330"/>
      <c r="CN64" s="185"/>
      <c r="CO64" s="185"/>
      <c r="CP64" s="185"/>
      <c r="CQ64" s="185"/>
      <c r="CR64" s="330"/>
      <c r="CS64" s="185"/>
      <c r="CT64" s="185"/>
      <c r="CU64" s="185"/>
      <c r="CV64" s="185"/>
      <c r="CW64" s="185"/>
      <c r="CX64" s="185"/>
      <c r="CY64" s="185"/>
      <c r="CZ64" s="185"/>
      <c r="DA64" s="185"/>
      <c r="DB64" s="185"/>
      <c r="DC64" s="185"/>
      <c r="DD64" s="185"/>
      <c r="DE64" s="185"/>
      <c r="DF64" s="185"/>
      <c r="DG64" s="330"/>
      <c r="DH64" s="185"/>
      <c r="DI64" s="185"/>
      <c r="DJ64" s="185"/>
      <c r="DK64" s="185"/>
      <c r="DL64" s="185"/>
      <c r="DM64" s="185"/>
      <c r="DN64" s="329"/>
      <c r="DO64" s="185"/>
      <c r="DP64" s="185"/>
      <c r="DQ64" s="185"/>
      <c r="DR64" s="185"/>
      <c r="DS64" s="185"/>
      <c r="DT64" s="185"/>
      <c r="DU64" s="185"/>
      <c r="DV64" s="185"/>
      <c r="DW64" s="185"/>
      <c r="DX64" s="185"/>
      <c r="DY64" s="331"/>
      <c r="DZ64" s="174"/>
      <c r="EA64" s="174"/>
      <c r="EB64" s="174"/>
      <c r="EC64" s="174"/>
      <c r="ED64" s="174"/>
      <c r="EE64" s="332"/>
      <c r="EF64" s="332"/>
      <c r="EG64" s="332"/>
      <c r="EH64" s="332"/>
      <c r="EI64" s="126"/>
      <c r="EJ64" s="332"/>
      <c r="EK64" s="332"/>
      <c r="EL64" s="332"/>
      <c r="EM64" s="332"/>
      <c r="EN64" s="332"/>
      <c r="EO64" s="332"/>
      <c r="EP64" s="332"/>
      <c r="EQ64" s="332"/>
      <c r="ER64" s="332"/>
      <c r="ES64" s="332"/>
      <c r="ET64" s="331"/>
      <c r="EU64" s="331"/>
      <c r="EV64" s="331"/>
      <c r="EW64" s="332"/>
      <c r="EX64" s="332"/>
      <c r="EY64" s="332"/>
      <c r="EZ64" s="332"/>
      <c r="FA64" s="173"/>
      <c r="FB64" s="173"/>
      <c r="FC64" s="173"/>
      <c r="FD64" s="173"/>
      <c r="FE64" s="173"/>
      <c r="FF64" s="173"/>
      <c r="FG64" s="173"/>
      <c r="FH64" s="173"/>
      <c r="FI64" s="173"/>
      <c r="FJ64" s="174"/>
      <c r="FK64" s="174"/>
      <c r="FL64" s="174"/>
      <c r="FM64" s="330"/>
      <c r="FN64" s="185"/>
      <c r="FO64" s="185"/>
      <c r="FP64" s="185"/>
      <c r="FQ64" s="174"/>
      <c r="FR64" s="330"/>
      <c r="FS64" s="185"/>
      <c r="FT64" s="185"/>
      <c r="FU64" s="185"/>
      <c r="FV64" s="185"/>
      <c r="FW64" s="185"/>
      <c r="FX64" s="185"/>
      <c r="FY64" s="185"/>
      <c r="FZ64" s="185"/>
      <c r="GA64" s="126"/>
      <c r="GB64" s="284"/>
      <c r="GC64" s="284"/>
      <c r="GD64" s="284"/>
      <c r="GE64" s="284"/>
      <c r="GF64" s="95"/>
      <c r="GG64" s="95"/>
      <c r="GH64" s="284"/>
      <c r="GI64" s="67"/>
      <c r="GJ64" s="67"/>
      <c r="GK64" s="67"/>
      <c r="GL64" s="67"/>
      <c r="GM64" s="67"/>
      <c r="GN64" s="71"/>
      <c r="GO64" s="71"/>
      <c r="GP64" s="71"/>
      <c r="GQ64" s="71"/>
      <c r="GR64" s="70"/>
      <c r="GS64" s="70"/>
      <c r="GT64" s="70"/>
      <c r="GU64" s="70"/>
      <c r="GV64" s="70"/>
      <c r="GW64" s="70"/>
      <c r="GX64" s="73"/>
      <c r="GY64" s="74"/>
    </row>
    <row r="65" spans="1:207" s="75" customFormat="1">
      <c r="A65" s="95"/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85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328"/>
      <c r="Z65" s="328"/>
      <c r="AA65" s="328"/>
      <c r="AB65" s="328"/>
      <c r="AC65" s="328"/>
      <c r="AD65" s="185"/>
      <c r="AE65" s="185"/>
      <c r="AF65" s="185"/>
      <c r="AG65" s="185"/>
      <c r="AH65" s="185"/>
      <c r="AI65" s="185"/>
      <c r="AJ65" s="329"/>
      <c r="AK65" s="185"/>
      <c r="AL65" s="185"/>
      <c r="AM65" s="185"/>
      <c r="AN65" s="173"/>
      <c r="AO65" s="173"/>
      <c r="AP65" s="173"/>
      <c r="AQ65" s="173"/>
      <c r="AR65" s="173"/>
      <c r="AS65" s="173"/>
      <c r="AT65" s="173"/>
      <c r="AU65" s="173"/>
      <c r="AV65" s="173"/>
      <c r="AW65" s="173"/>
      <c r="AX65" s="173"/>
      <c r="AY65" s="173"/>
      <c r="AZ65" s="173"/>
      <c r="BA65" s="173"/>
      <c r="BB65" s="173"/>
      <c r="BC65" s="173"/>
      <c r="BD65" s="173"/>
      <c r="BE65" s="173"/>
      <c r="BF65" s="173"/>
      <c r="BG65" s="173"/>
      <c r="BH65" s="173"/>
      <c r="BI65" s="173"/>
      <c r="BJ65" s="173"/>
      <c r="BK65" s="173"/>
      <c r="BL65" s="173"/>
      <c r="BM65" s="173"/>
      <c r="BN65" s="173"/>
      <c r="BO65" s="173"/>
      <c r="BP65" s="173"/>
      <c r="BQ65" s="173"/>
      <c r="BR65" s="173"/>
      <c r="BS65" s="173"/>
      <c r="BT65" s="173"/>
      <c r="BU65" s="173"/>
      <c r="BV65" s="173"/>
      <c r="BW65" s="173"/>
      <c r="BX65" s="185"/>
      <c r="BY65" s="185"/>
      <c r="BZ65" s="185"/>
      <c r="CA65" s="329"/>
      <c r="CB65" s="185"/>
      <c r="CC65" s="185"/>
      <c r="CD65" s="185"/>
      <c r="CE65" s="185"/>
      <c r="CF65" s="329"/>
      <c r="CG65" s="185"/>
      <c r="CH65" s="330"/>
      <c r="CI65" s="185"/>
      <c r="CJ65" s="185"/>
      <c r="CK65" s="185"/>
      <c r="CL65" s="185"/>
      <c r="CM65" s="330"/>
      <c r="CN65" s="185"/>
      <c r="CO65" s="185"/>
      <c r="CP65" s="185"/>
      <c r="CQ65" s="185"/>
      <c r="CR65" s="330"/>
      <c r="CS65" s="185"/>
      <c r="CT65" s="185"/>
      <c r="CU65" s="185"/>
      <c r="CV65" s="185"/>
      <c r="CW65" s="185"/>
      <c r="CX65" s="185"/>
      <c r="CY65" s="185"/>
      <c r="CZ65" s="185"/>
      <c r="DA65" s="185"/>
      <c r="DB65" s="185"/>
      <c r="DC65" s="185"/>
      <c r="DD65" s="185"/>
      <c r="DE65" s="185"/>
      <c r="DF65" s="185"/>
      <c r="DG65" s="330"/>
      <c r="DH65" s="185"/>
      <c r="DI65" s="185"/>
      <c r="DJ65" s="185"/>
      <c r="DK65" s="185"/>
      <c r="DL65" s="185"/>
      <c r="DM65" s="185"/>
      <c r="DN65" s="329"/>
      <c r="DO65" s="185"/>
      <c r="DP65" s="185"/>
      <c r="DQ65" s="185"/>
      <c r="DR65" s="185"/>
      <c r="DS65" s="185"/>
      <c r="DT65" s="185"/>
      <c r="DU65" s="185"/>
      <c r="DV65" s="185"/>
      <c r="DW65" s="185"/>
      <c r="DX65" s="185"/>
      <c r="DY65" s="331"/>
      <c r="DZ65" s="174"/>
      <c r="EA65" s="174"/>
      <c r="EB65" s="174"/>
      <c r="EC65" s="174"/>
      <c r="ED65" s="174"/>
      <c r="EE65" s="332"/>
      <c r="EF65" s="332"/>
      <c r="EG65" s="332"/>
      <c r="EH65" s="332"/>
      <c r="EI65" s="126"/>
      <c r="EJ65" s="332"/>
      <c r="EK65" s="332"/>
      <c r="EL65" s="332"/>
      <c r="EM65" s="332"/>
      <c r="EN65" s="332"/>
      <c r="EO65" s="332"/>
      <c r="EP65" s="332"/>
      <c r="EQ65" s="332"/>
      <c r="ER65" s="332"/>
      <c r="ES65" s="332"/>
      <c r="ET65" s="331"/>
      <c r="EU65" s="331"/>
      <c r="EV65" s="331"/>
      <c r="EW65" s="332"/>
      <c r="EX65" s="332"/>
      <c r="EY65" s="332"/>
      <c r="EZ65" s="332"/>
      <c r="FA65" s="173"/>
      <c r="FB65" s="173"/>
      <c r="FC65" s="173"/>
      <c r="FD65" s="173"/>
      <c r="FE65" s="173"/>
      <c r="FF65" s="173"/>
      <c r="FG65" s="173"/>
      <c r="FH65" s="173"/>
      <c r="FI65" s="173"/>
      <c r="FJ65" s="174"/>
      <c r="FK65" s="174"/>
      <c r="FL65" s="174"/>
      <c r="FM65" s="330"/>
      <c r="FN65" s="185"/>
      <c r="FO65" s="185"/>
      <c r="FP65" s="185"/>
      <c r="FQ65" s="174"/>
      <c r="FR65" s="330"/>
      <c r="FS65" s="185"/>
      <c r="FT65" s="185"/>
      <c r="FU65" s="185"/>
      <c r="FV65" s="185"/>
      <c r="FW65" s="185"/>
      <c r="FX65" s="185"/>
      <c r="FY65" s="185"/>
      <c r="FZ65" s="185"/>
      <c r="GA65" s="126"/>
      <c r="GB65" s="284"/>
      <c r="GC65" s="284"/>
      <c r="GD65" s="284"/>
      <c r="GE65" s="284"/>
      <c r="GF65" s="95"/>
      <c r="GG65" s="95"/>
      <c r="GH65" s="284"/>
      <c r="GI65" s="67"/>
      <c r="GJ65" s="67"/>
      <c r="GK65" s="67"/>
      <c r="GL65" s="67"/>
      <c r="GM65" s="67"/>
      <c r="GN65" s="71"/>
      <c r="GO65" s="71"/>
      <c r="GP65" s="71"/>
      <c r="GQ65" s="71"/>
      <c r="GR65" s="70"/>
      <c r="GS65" s="70"/>
      <c r="GT65" s="70"/>
      <c r="GU65" s="70"/>
      <c r="GV65" s="70"/>
      <c r="GW65" s="70"/>
      <c r="GX65" s="73"/>
      <c r="GY65" s="74"/>
    </row>
    <row r="66" spans="1:207" s="75" customFormat="1">
      <c r="A66" s="95"/>
      <c r="B66" s="173"/>
      <c r="C66" s="173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85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328"/>
      <c r="Z66" s="328"/>
      <c r="AA66" s="328"/>
      <c r="AB66" s="328"/>
      <c r="AC66" s="328"/>
      <c r="AD66" s="185"/>
      <c r="AE66" s="185"/>
      <c r="AF66" s="185"/>
      <c r="AG66" s="185"/>
      <c r="AH66" s="185"/>
      <c r="AI66" s="185"/>
      <c r="AJ66" s="329"/>
      <c r="AK66" s="185"/>
      <c r="AL66" s="185"/>
      <c r="AM66" s="185"/>
      <c r="AN66" s="173"/>
      <c r="AO66" s="173"/>
      <c r="AP66" s="173"/>
      <c r="AQ66" s="173"/>
      <c r="AR66" s="173"/>
      <c r="AS66" s="173"/>
      <c r="AT66" s="173"/>
      <c r="AU66" s="173"/>
      <c r="AV66" s="173"/>
      <c r="AW66" s="173"/>
      <c r="AX66" s="173"/>
      <c r="AY66" s="173"/>
      <c r="AZ66" s="173"/>
      <c r="BA66" s="173"/>
      <c r="BB66" s="173"/>
      <c r="BC66" s="173"/>
      <c r="BD66" s="173"/>
      <c r="BE66" s="173"/>
      <c r="BF66" s="173"/>
      <c r="BG66" s="173"/>
      <c r="BH66" s="173"/>
      <c r="BI66" s="173"/>
      <c r="BJ66" s="173"/>
      <c r="BK66" s="173"/>
      <c r="BL66" s="173"/>
      <c r="BM66" s="173"/>
      <c r="BN66" s="173"/>
      <c r="BO66" s="173"/>
      <c r="BP66" s="173"/>
      <c r="BQ66" s="173"/>
      <c r="BR66" s="173"/>
      <c r="BS66" s="173"/>
      <c r="BT66" s="173"/>
      <c r="BU66" s="173"/>
      <c r="BV66" s="173"/>
      <c r="BW66" s="173"/>
      <c r="BX66" s="185"/>
      <c r="BY66" s="185"/>
      <c r="BZ66" s="185"/>
      <c r="CA66" s="329"/>
      <c r="CB66" s="185"/>
      <c r="CC66" s="185"/>
      <c r="CD66" s="185"/>
      <c r="CE66" s="185"/>
      <c r="CF66" s="329"/>
      <c r="CG66" s="185"/>
      <c r="CH66" s="330"/>
      <c r="CI66" s="185"/>
      <c r="CJ66" s="185"/>
      <c r="CK66" s="185"/>
      <c r="CL66" s="185"/>
      <c r="CM66" s="330"/>
      <c r="CN66" s="185"/>
      <c r="CO66" s="185"/>
      <c r="CP66" s="185"/>
      <c r="CQ66" s="185"/>
      <c r="CR66" s="330"/>
      <c r="CS66" s="185"/>
      <c r="CT66" s="185"/>
      <c r="CU66" s="185"/>
      <c r="CV66" s="185"/>
      <c r="CW66" s="185"/>
      <c r="CX66" s="185"/>
      <c r="CY66" s="185"/>
      <c r="CZ66" s="185"/>
      <c r="DA66" s="185"/>
      <c r="DB66" s="185"/>
      <c r="DC66" s="185"/>
      <c r="DD66" s="185"/>
      <c r="DE66" s="185"/>
      <c r="DF66" s="185"/>
      <c r="DG66" s="330"/>
      <c r="DH66" s="185"/>
      <c r="DI66" s="185"/>
      <c r="DJ66" s="185"/>
      <c r="DK66" s="185"/>
      <c r="DL66" s="185"/>
      <c r="DM66" s="185"/>
      <c r="DN66" s="329"/>
      <c r="DO66" s="185"/>
      <c r="DP66" s="185"/>
      <c r="DQ66" s="185"/>
      <c r="DR66" s="185"/>
      <c r="DS66" s="185"/>
      <c r="DT66" s="185"/>
      <c r="DU66" s="185"/>
      <c r="DV66" s="185"/>
      <c r="DW66" s="185"/>
      <c r="DX66" s="185"/>
      <c r="DY66" s="331"/>
      <c r="DZ66" s="174"/>
      <c r="EA66" s="174"/>
      <c r="EB66" s="174"/>
      <c r="EC66" s="174"/>
      <c r="ED66" s="174"/>
      <c r="EE66" s="332"/>
      <c r="EF66" s="332"/>
      <c r="EG66" s="332"/>
      <c r="EH66" s="332"/>
      <c r="EI66" s="126"/>
      <c r="EJ66" s="332"/>
      <c r="EK66" s="332"/>
      <c r="EL66" s="332"/>
      <c r="EM66" s="332"/>
      <c r="EN66" s="332"/>
      <c r="EO66" s="332"/>
      <c r="EP66" s="332"/>
      <c r="EQ66" s="332"/>
      <c r="ER66" s="332"/>
      <c r="ES66" s="332"/>
      <c r="ET66" s="331"/>
      <c r="EU66" s="331"/>
      <c r="EV66" s="331"/>
      <c r="EW66" s="332"/>
      <c r="EX66" s="332"/>
      <c r="EY66" s="332"/>
      <c r="EZ66" s="332"/>
      <c r="FA66" s="173"/>
      <c r="FB66" s="173"/>
      <c r="FC66" s="173"/>
      <c r="FD66" s="173"/>
      <c r="FE66" s="173"/>
      <c r="FF66" s="173"/>
      <c r="FG66" s="173"/>
      <c r="FH66" s="173"/>
      <c r="FI66" s="173"/>
      <c r="FJ66" s="174"/>
      <c r="FK66" s="174"/>
      <c r="FL66" s="174"/>
      <c r="FM66" s="330"/>
      <c r="FN66" s="185"/>
      <c r="FO66" s="185"/>
      <c r="FP66" s="185"/>
      <c r="FQ66" s="174"/>
      <c r="FR66" s="330"/>
      <c r="FS66" s="185"/>
      <c r="FT66" s="185"/>
      <c r="FU66" s="185"/>
      <c r="FV66" s="185"/>
      <c r="FW66" s="185"/>
      <c r="FX66" s="185"/>
      <c r="FY66" s="185"/>
      <c r="FZ66" s="185"/>
      <c r="GA66" s="126"/>
      <c r="GB66" s="284"/>
      <c r="GC66" s="284"/>
      <c r="GD66" s="284"/>
      <c r="GE66" s="284"/>
      <c r="GF66" s="95"/>
      <c r="GG66" s="95"/>
      <c r="GH66" s="284"/>
      <c r="GI66" s="67"/>
      <c r="GJ66" s="67"/>
      <c r="GK66" s="67"/>
      <c r="GL66" s="67"/>
      <c r="GM66" s="67"/>
      <c r="GN66" s="71"/>
      <c r="GO66" s="71"/>
      <c r="GP66" s="71"/>
      <c r="GQ66" s="71"/>
      <c r="GR66" s="70"/>
      <c r="GS66" s="70"/>
      <c r="GT66" s="70"/>
      <c r="GU66" s="70"/>
      <c r="GV66" s="70"/>
      <c r="GW66" s="70"/>
      <c r="GX66" s="73"/>
      <c r="GY66" s="74"/>
    </row>
    <row r="67" spans="1:207" s="75" customFormat="1">
      <c r="A67" s="95"/>
      <c r="B67" s="173"/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85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328"/>
      <c r="Z67" s="328"/>
      <c r="AA67" s="328"/>
      <c r="AB67" s="328"/>
      <c r="AC67" s="328"/>
      <c r="AD67" s="185"/>
      <c r="AE67" s="185"/>
      <c r="AF67" s="185"/>
      <c r="AG67" s="185"/>
      <c r="AH67" s="185"/>
      <c r="AI67" s="185"/>
      <c r="AJ67" s="329"/>
      <c r="AK67" s="185"/>
      <c r="AL67" s="185"/>
      <c r="AM67" s="185"/>
      <c r="AN67" s="173"/>
      <c r="AO67" s="173"/>
      <c r="AP67" s="173"/>
      <c r="AQ67" s="173"/>
      <c r="AR67" s="173"/>
      <c r="AS67" s="173"/>
      <c r="AT67" s="173"/>
      <c r="AU67" s="173"/>
      <c r="AV67" s="173"/>
      <c r="AW67" s="173"/>
      <c r="AX67" s="173"/>
      <c r="AY67" s="173"/>
      <c r="AZ67" s="173"/>
      <c r="BA67" s="173"/>
      <c r="BB67" s="173"/>
      <c r="BC67" s="173"/>
      <c r="BD67" s="173"/>
      <c r="BE67" s="173"/>
      <c r="BF67" s="173"/>
      <c r="BG67" s="173"/>
      <c r="BH67" s="173"/>
      <c r="BI67" s="173"/>
      <c r="BJ67" s="173"/>
      <c r="BK67" s="173"/>
      <c r="BL67" s="173"/>
      <c r="BM67" s="173"/>
      <c r="BN67" s="173"/>
      <c r="BO67" s="173"/>
      <c r="BP67" s="173"/>
      <c r="BQ67" s="173"/>
      <c r="BR67" s="173"/>
      <c r="BS67" s="173"/>
      <c r="BT67" s="173"/>
      <c r="BU67" s="173"/>
      <c r="BV67" s="173"/>
      <c r="BW67" s="173"/>
      <c r="BX67" s="185"/>
      <c r="BY67" s="185"/>
      <c r="BZ67" s="185"/>
      <c r="CA67" s="329"/>
      <c r="CB67" s="185"/>
      <c r="CC67" s="185"/>
      <c r="CD67" s="185"/>
      <c r="CE67" s="185"/>
      <c r="CF67" s="329"/>
      <c r="CG67" s="185"/>
      <c r="CH67" s="330"/>
      <c r="CI67" s="185"/>
      <c r="CJ67" s="185"/>
      <c r="CK67" s="185"/>
      <c r="CL67" s="185"/>
      <c r="CM67" s="330"/>
      <c r="CN67" s="185"/>
      <c r="CO67" s="185"/>
      <c r="CP67" s="185"/>
      <c r="CQ67" s="185"/>
      <c r="CR67" s="330"/>
      <c r="CS67" s="185"/>
      <c r="CT67" s="185"/>
      <c r="CU67" s="185"/>
      <c r="CV67" s="185"/>
      <c r="CW67" s="185"/>
      <c r="CX67" s="185"/>
      <c r="CY67" s="185"/>
      <c r="CZ67" s="185"/>
      <c r="DA67" s="185"/>
      <c r="DB67" s="185"/>
      <c r="DC67" s="185"/>
      <c r="DD67" s="185"/>
      <c r="DE67" s="185"/>
      <c r="DF67" s="185"/>
      <c r="DG67" s="330"/>
      <c r="DH67" s="185"/>
      <c r="DI67" s="185"/>
      <c r="DJ67" s="185"/>
      <c r="DK67" s="185"/>
      <c r="DL67" s="185"/>
      <c r="DM67" s="185"/>
      <c r="DN67" s="329"/>
      <c r="DO67" s="185"/>
      <c r="DP67" s="185"/>
      <c r="DQ67" s="185"/>
      <c r="DR67" s="185"/>
      <c r="DS67" s="185"/>
      <c r="DT67" s="185"/>
      <c r="DU67" s="185"/>
      <c r="DV67" s="185"/>
      <c r="DW67" s="185"/>
      <c r="DX67" s="185"/>
      <c r="DY67" s="331"/>
      <c r="DZ67" s="174"/>
      <c r="EA67" s="174"/>
      <c r="EB67" s="174"/>
      <c r="EC67" s="174"/>
      <c r="ED67" s="174"/>
      <c r="EE67" s="332"/>
      <c r="EF67" s="332"/>
      <c r="EG67" s="332"/>
      <c r="EH67" s="332"/>
      <c r="EI67" s="126"/>
      <c r="EJ67" s="332"/>
      <c r="EK67" s="332"/>
      <c r="EL67" s="332"/>
      <c r="EM67" s="332"/>
      <c r="EN67" s="332"/>
      <c r="EO67" s="332"/>
      <c r="EP67" s="332"/>
      <c r="EQ67" s="332"/>
      <c r="ER67" s="332"/>
      <c r="ES67" s="332"/>
      <c r="ET67" s="331"/>
      <c r="EU67" s="331"/>
      <c r="EV67" s="331"/>
      <c r="EW67" s="332"/>
      <c r="EX67" s="332"/>
      <c r="EY67" s="332"/>
      <c r="EZ67" s="332"/>
      <c r="FA67" s="173"/>
      <c r="FB67" s="173"/>
      <c r="FC67" s="173"/>
      <c r="FD67" s="173"/>
      <c r="FE67" s="173"/>
      <c r="FF67" s="173"/>
      <c r="FG67" s="173"/>
      <c r="FH67" s="173"/>
      <c r="FI67" s="173"/>
      <c r="FJ67" s="174"/>
      <c r="FK67" s="174"/>
      <c r="FL67" s="174"/>
      <c r="FM67" s="330"/>
      <c r="FN67" s="185"/>
      <c r="FO67" s="185"/>
      <c r="FP67" s="185"/>
      <c r="FQ67" s="174"/>
      <c r="FR67" s="330"/>
      <c r="FS67" s="185"/>
      <c r="FT67" s="185"/>
      <c r="FU67" s="185"/>
      <c r="FV67" s="185"/>
      <c r="FW67" s="185"/>
      <c r="FX67" s="185"/>
      <c r="FY67" s="185"/>
      <c r="FZ67" s="185"/>
      <c r="GA67" s="126"/>
      <c r="GB67" s="284"/>
      <c r="GC67" s="284"/>
      <c r="GD67" s="284"/>
      <c r="GE67" s="284"/>
      <c r="GF67" s="95"/>
      <c r="GG67" s="95"/>
      <c r="GH67" s="284"/>
      <c r="GI67" s="67"/>
      <c r="GJ67" s="67"/>
      <c r="GK67" s="67"/>
      <c r="GL67" s="67"/>
      <c r="GM67" s="67"/>
      <c r="GN67" s="71"/>
      <c r="GO67" s="71"/>
      <c r="GP67" s="71"/>
      <c r="GQ67" s="71"/>
      <c r="GR67" s="70"/>
      <c r="GS67" s="70"/>
      <c r="GT67" s="70"/>
      <c r="GU67" s="70"/>
      <c r="GV67" s="70"/>
      <c r="GW67" s="70"/>
      <c r="GX67" s="73"/>
      <c r="GY67" s="74"/>
    </row>
    <row r="68" spans="1:207" s="75" customFormat="1">
      <c r="A68" s="95"/>
      <c r="B68" s="173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85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328"/>
      <c r="Z68" s="328"/>
      <c r="AA68" s="328"/>
      <c r="AB68" s="328"/>
      <c r="AC68" s="328"/>
      <c r="AD68" s="185"/>
      <c r="AE68" s="185"/>
      <c r="AF68" s="185"/>
      <c r="AG68" s="185"/>
      <c r="AH68" s="185"/>
      <c r="AI68" s="185"/>
      <c r="AJ68" s="329"/>
      <c r="AK68" s="185"/>
      <c r="AL68" s="185"/>
      <c r="AM68" s="185"/>
      <c r="AN68" s="173"/>
      <c r="AO68" s="173"/>
      <c r="AP68" s="173"/>
      <c r="AQ68" s="173"/>
      <c r="AR68" s="173"/>
      <c r="AS68" s="173"/>
      <c r="AT68" s="173"/>
      <c r="AU68" s="173"/>
      <c r="AV68" s="173"/>
      <c r="AW68" s="173"/>
      <c r="AX68" s="173"/>
      <c r="AY68" s="173"/>
      <c r="AZ68" s="173"/>
      <c r="BA68" s="173"/>
      <c r="BB68" s="173"/>
      <c r="BC68" s="173"/>
      <c r="BD68" s="173"/>
      <c r="BE68" s="173"/>
      <c r="BF68" s="173"/>
      <c r="BG68" s="173"/>
      <c r="BH68" s="173"/>
      <c r="BI68" s="173"/>
      <c r="BJ68" s="173"/>
      <c r="BK68" s="173"/>
      <c r="BL68" s="173"/>
      <c r="BM68" s="173"/>
      <c r="BN68" s="173"/>
      <c r="BO68" s="173"/>
      <c r="BP68" s="173"/>
      <c r="BQ68" s="173"/>
      <c r="BR68" s="173"/>
      <c r="BS68" s="173"/>
      <c r="BT68" s="173"/>
      <c r="BU68" s="173"/>
      <c r="BV68" s="173"/>
      <c r="BW68" s="173"/>
      <c r="BX68" s="185"/>
      <c r="BY68" s="185"/>
      <c r="BZ68" s="185"/>
      <c r="CA68" s="329"/>
      <c r="CB68" s="185"/>
      <c r="CC68" s="185"/>
      <c r="CD68" s="185"/>
      <c r="CE68" s="185"/>
      <c r="CF68" s="329"/>
      <c r="CG68" s="185"/>
      <c r="CH68" s="330"/>
      <c r="CI68" s="185"/>
      <c r="CJ68" s="185"/>
      <c r="CK68" s="185"/>
      <c r="CL68" s="185"/>
      <c r="CM68" s="330"/>
      <c r="CN68" s="185"/>
      <c r="CO68" s="185"/>
      <c r="CP68" s="185"/>
      <c r="CQ68" s="185"/>
      <c r="CR68" s="330"/>
      <c r="CS68" s="185"/>
      <c r="CT68" s="185"/>
      <c r="CU68" s="185"/>
      <c r="CV68" s="185"/>
      <c r="CW68" s="185"/>
      <c r="CX68" s="185"/>
      <c r="CY68" s="185"/>
      <c r="CZ68" s="185"/>
      <c r="DA68" s="185"/>
      <c r="DB68" s="185"/>
      <c r="DC68" s="185"/>
      <c r="DD68" s="185"/>
      <c r="DE68" s="185"/>
      <c r="DF68" s="185"/>
      <c r="DG68" s="330"/>
      <c r="DH68" s="185"/>
      <c r="DI68" s="185"/>
      <c r="DJ68" s="185"/>
      <c r="DK68" s="185"/>
      <c r="DL68" s="185"/>
      <c r="DM68" s="185"/>
      <c r="DN68" s="329"/>
      <c r="DO68" s="185"/>
      <c r="DP68" s="185"/>
      <c r="DQ68" s="185"/>
      <c r="DR68" s="185"/>
      <c r="DS68" s="185"/>
      <c r="DT68" s="185"/>
      <c r="DU68" s="185"/>
      <c r="DV68" s="185"/>
      <c r="DW68" s="185"/>
      <c r="DX68" s="185"/>
      <c r="DY68" s="331"/>
      <c r="DZ68" s="174"/>
      <c r="EA68" s="174"/>
      <c r="EB68" s="174"/>
      <c r="EC68" s="174"/>
      <c r="ED68" s="174"/>
      <c r="EE68" s="332"/>
      <c r="EF68" s="332"/>
      <c r="EG68" s="332"/>
      <c r="EH68" s="332"/>
      <c r="EI68" s="126"/>
      <c r="EJ68" s="332"/>
      <c r="EK68" s="332"/>
      <c r="EL68" s="332"/>
      <c r="EM68" s="332"/>
      <c r="EN68" s="332"/>
      <c r="EO68" s="332"/>
      <c r="EP68" s="332"/>
      <c r="EQ68" s="332"/>
      <c r="ER68" s="332"/>
      <c r="ES68" s="332"/>
      <c r="ET68" s="331"/>
      <c r="EU68" s="331"/>
      <c r="EV68" s="331"/>
      <c r="EW68" s="332"/>
      <c r="EX68" s="332"/>
      <c r="EY68" s="332"/>
      <c r="EZ68" s="332"/>
      <c r="FA68" s="173"/>
      <c r="FB68" s="173"/>
      <c r="FC68" s="173"/>
      <c r="FD68" s="173"/>
      <c r="FE68" s="173"/>
      <c r="FF68" s="173"/>
      <c r="FG68" s="173"/>
      <c r="FH68" s="173"/>
      <c r="FI68" s="173"/>
      <c r="FJ68" s="174"/>
      <c r="FK68" s="174"/>
      <c r="FL68" s="174"/>
      <c r="FM68" s="330"/>
      <c r="FN68" s="185"/>
      <c r="FO68" s="185"/>
      <c r="FP68" s="185"/>
      <c r="FQ68" s="174"/>
      <c r="FR68" s="330"/>
      <c r="FS68" s="185"/>
      <c r="FT68" s="185"/>
      <c r="FU68" s="185"/>
      <c r="FV68" s="185"/>
      <c r="FW68" s="185"/>
      <c r="FX68" s="185"/>
      <c r="FY68" s="185"/>
      <c r="FZ68" s="185"/>
      <c r="GA68" s="126"/>
      <c r="GB68" s="284"/>
      <c r="GC68" s="284"/>
      <c r="GD68" s="284"/>
      <c r="GE68" s="284"/>
      <c r="GF68" s="95"/>
      <c r="GG68" s="95"/>
      <c r="GH68" s="284"/>
      <c r="GI68" s="67"/>
      <c r="GJ68" s="67"/>
      <c r="GK68" s="67"/>
      <c r="GL68" s="67"/>
      <c r="GM68" s="67"/>
      <c r="GN68" s="71"/>
      <c r="GO68" s="71"/>
      <c r="GP68" s="71"/>
      <c r="GQ68" s="71"/>
      <c r="GR68" s="70"/>
      <c r="GS68" s="70"/>
      <c r="GT68" s="70"/>
      <c r="GU68" s="70"/>
      <c r="GV68" s="70"/>
      <c r="GW68" s="70"/>
      <c r="GX68" s="73"/>
      <c r="GY68" s="74"/>
    </row>
    <row r="69" spans="1:207" s="75" customFormat="1">
      <c r="A69" s="95"/>
      <c r="B69" s="173"/>
      <c r="C69" s="173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85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328"/>
      <c r="Z69" s="328"/>
      <c r="AA69" s="328"/>
      <c r="AB69" s="328"/>
      <c r="AC69" s="328"/>
      <c r="AD69" s="185"/>
      <c r="AE69" s="185"/>
      <c r="AF69" s="185"/>
      <c r="AG69" s="185"/>
      <c r="AH69" s="185"/>
      <c r="AI69" s="185"/>
      <c r="AJ69" s="329"/>
      <c r="AK69" s="185"/>
      <c r="AL69" s="185"/>
      <c r="AM69" s="185"/>
      <c r="AN69" s="173"/>
      <c r="AO69" s="173"/>
      <c r="AP69" s="173"/>
      <c r="AQ69" s="173"/>
      <c r="AR69" s="173"/>
      <c r="AS69" s="173"/>
      <c r="AT69" s="173"/>
      <c r="AU69" s="173"/>
      <c r="AV69" s="173"/>
      <c r="AW69" s="173"/>
      <c r="AX69" s="173"/>
      <c r="AY69" s="173"/>
      <c r="AZ69" s="173"/>
      <c r="BA69" s="173"/>
      <c r="BB69" s="173"/>
      <c r="BC69" s="173"/>
      <c r="BD69" s="173"/>
      <c r="BE69" s="173"/>
      <c r="BF69" s="173"/>
      <c r="BG69" s="173"/>
      <c r="BH69" s="173"/>
      <c r="BI69" s="173"/>
      <c r="BJ69" s="173"/>
      <c r="BK69" s="173"/>
      <c r="BL69" s="173"/>
      <c r="BM69" s="173"/>
      <c r="BN69" s="173"/>
      <c r="BO69" s="173"/>
      <c r="BP69" s="173"/>
      <c r="BQ69" s="173"/>
      <c r="BR69" s="173"/>
      <c r="BS69" s="173"/>
      <c r="BT69" s="173"/>
      <c r="BU69" s="173"/>
      <c r="BV69" s="173"/>
      <c r="BW69" s="173"/>
      <c r="BX69" s="185"/>
      <c r="BY69" s="185"/>
      <c r="BZ69" s="185"/>
      <c r="CA69" s="329"/>
      <c r="CB69" s="185"/>
      <c r="CC69" s="185"/>
      <c r="CD69" s="185"/>
      <c r="CE69" s="185"/>
      <c r="CF69" s="329"/>
      <c r="CG69" s="185"/>
      <c r="CH69" s="330"/>
      <c r="CI69" s="185"/>
      <c r="CJ69" s="185"/>
      <c r="CK69" s="185"/>
      <c r="CL69" s="185"/>
      <c r="CM69" s="330"/>
      <c r="CN69" s="185"/>
      <c r="CO69" s="185"/>
      <c r="CP69" s="185"/>
      <c r="CQ69" s="185"/>
      <c r="CR69" s="330"/>
      <c r="CS69" s="185"/>
      <c r="CT69" s="185"/>
      <c r="CU69" s="185"/>
      <c r="CV69" s="185"/>
      <c r="CW69" s="185"/>
      <c r="CX69" s="185"/>
      <c r="CY69" s="185"/>
      <c r="CZ69" s="185"/>
      <c r="DA69" s="185"/>
      <c r="DB69" s="185"/>
      <c r="DC69" s="185"/>
      <c r="DD69" s="185"/>
      <c r="DE69" s="185"/>
      <c r="DF69" s="185"/>
      <c r="DG69" s="330"/>
      <c r="DH69" s="185"/>
      <c r="DI69" s="185"/>
      <c r="DJ69" s="185"/>
      <c r="DK69" s="185"/>
      <c r="DL69" s="185"/>
      <c r="DM69" s="185"/>
      <c r="DN69" s="329"/>
      <c r="DO69" s="185"/>
      <c r="DP69" s="185"/>
      <c r="DQ69" s="185"/>
      <c r="DR69" s="185"/>
      <c r="DS69" s="185"/>
      <c r="DT69" s="185"/>
      <c r="DU69" s="185"/>
      <c r="DV69" s="185"/>
      <c r="DW69" s="185"/>
      <c r="DX69" s="185"/>
      <c r="DY69" s="331"/>
      <c r="DZ69" s="174"/>
      <c r="EA69" s="174"/>
      <c r="EB69" s="174"/>
      <c r="EC69" s="174"/>
      <c r="ED69" s="174"/>
      <c r="EE69" s="332"/>
      <c r="EF69" s="332"/>
      <c r="EG69" s="332"/>
      <c r="EH69" s="332"/>
      <c r="EI69" s="126"/>
      <c r="EJ69" s="332"/>
      <c r="EK69" s="332"/>
      <c r="EL69" s="332"/>
      <c r="EM69" s="332"/>
      <c r="EN69" s="332"/>
      <c r="EO69" s="332"/>
      <c r="EP69" s="332"/>
      <c r="EQ69" s="332"/>
      <c r="ER69" s="332"/>
      <c r="ES69" s="332"/>
      <c r="ET69" s="331"/>
      <c r="EU69" s="331"/>
      <c r="EV69" s="331"/>
      <c r="EW69" s="332"/>
      <c r="EX69" s="332"/>
      <c r="EY69" s="332"/>
      <c r="EZ69" s="332"/>
      <c r="FA69" s="173"/>
      <c r="FB69" s="173"/>
      <c r="FC69" s="173"/>
      <c r="FD69" s="173"/>
      <c r="FE69" s="173"/>
      <c r="FF69" s="173"/>
      <c r="FG69" s="173"/>
      <c r="FH69" s="173"/>
      <c r="FI69" s="173"/>
      <c r="FJ69" s="174"/>
      <c r="FK69" s="174"/>
      <c r="FL69" s="174"/>
      <c r="FM69" s="330"/>
      <c r="FN69" s="185"/>
      <c r="FO69" s="185"/>
      <c r="FP69" s="185"/>
      <c r="FQ69" s="174"/>
      <c r="FR69" s="330"/>
      <c r="FS69" s="185"/>
      <c r="FT69" s="185"/>
      <c r="FU69" s="185"/>
      <c r="FV69" s="185"/>
      <c r="FW69" s="185"/>
      <c r="FX69" s="185"/>
      <c r="FY69" s="185"/>
      <c r="FZ69" s="185"/>
      <c r="GA69" s="126"/>
      <c r="GB69" s="284"/>
      <c r="GC69" s="284"/>
      <c r="GD69" s="284"/>
      <c r="GE69" s="284"/>
      <c r="GF69" s="95"/>
      <c r="GG69" s="95"/>
      <c r="GH69" s="284"/>
      <c r="GI69" s="67"/>
      <c r="GJ69" s="67"/>
      <c r="GK69" s="67"/>
      <c r="GL69" s="67"/>
      <c r="GM69" s="67"/>
      <c r="GN69" s="71"/>
      <c r="GO69" s="71"/>
      <c r="GP69" s="71"/>
      <c r="GQ69" s="71"/>
      <c r="GR69" s="70"/>
      <c r="GS69" s="70"/>
      <c r="GT69" s="70"/>
      <c r="GU69" s="70"/>
      <c r="GV69" s="70"/>
      <c r="GW69" s="70"/>
      <c r="GX69" s="73"/>
      <c r="GY69" s="74"/>
    </row>
    <row r="70" spans="1:207" s="75" customFormat="1">
      <c r="A70" s="95"/>
      <c r="B70" s="173"/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85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328"/>
      <c r="Z70" s="328"/>
      <c r="AA70" s="328"/>
      <c r="AB70" s="328"/>
      <c r="AC70" s="328"/>
      <c r="AD70" s="185"/>
      <c r="AE70" s="185"/>
      <c r="AF70" s="185"/>
      <c r="AG70" s="185"/>
      <c r="AH70" s="185"/>
      <c r="AI70" s="185"/>
      <c r="AJ70" s="329"/>
      <c r="AK70" s="185"/>
      <c r="AL70" s="185"/>
      <c r="AM70" s="185"/>
      <c r="AN70" s="173"/>
      <c r="AO70" s="173"/>
      <c r="AP70" s="173"/>
      <c r="AQ70" s="173"/>
      <c r="AR70" s="173"/>
      <c r="AS70" s="173"/>
      <c r="AT70" s="173"/>
      <c r="AU70" s="173"/>
      <c r="AV70" s="173"/>
      <c r="AW70" s="173"/>
      <c r="AX70" s="173"/>
      <c r="AY70" s="173"/>
      <c r="AZ70" s="173"/>
      <c r="BA70" s="173"/>
      <c r="BB70" s="173"/>
      <c r="BC70" s="173"/>
      <c r="BD70" s="173"/>
      <c r="BE70" s="173"/>
      <c r="BF70" s="173"/>
      <c r="BG70" s="173"/>
      <c r="BH70" s="173"/>
      <c r="BI70" s="173"/>
      <c r="BJ70" s="173"/>
      <c r="BK70" s="173"/>
      <c r="BL70" s="173"/>
      <c r="BM70" s="173"/>
      <c r="BN70" s="173"/>
      <c r="BO70" s="173"/>
      <c r="BP70" s="173"/>
      <c r="BQ70" s="173"/>
      <c r="BR70" s="173"/>
      <c r="BS70" s="173"/>
      <c r="BT70" s="173"/>
      <c r="BU70" s="173"/>
      <c r="BV70" s="173"/>
      <c r="BW70" s="173"/>
      <c r="BX70" s="185"/>
      <c r="BY70" s="185"/>
      <c r="BZ70" s="185"/>
      <c r="CA70" s="329"/>
      <c r="CB70" s="185"/>
      <c r="CC70" s="185"/>
      <c r="CD70" s="185"/>
      <c r="CE70" s="185"/>
      <c r="CF70" s="329"/>
      <c r="CG70" s="185"/>
      <c r="CH70" s="330"/>
      <c r="CI70" s="185"/>
      <c r="CJ70" s="185"/>
      <c r="CK70" s="185"/>
      <c r="CL70" s="185"/>
      <c r="CM70" s="330"/>
      <c r="CN70" s="185"/>
      <c r="CO70" s="185"/>
      <c r="CP70" s="185"/>
      <c r="CQ70" s="185"/>
      <c r="CR70" s="330"/>
      <c r="CS70" s="185"/>
      <c r="CT70" s="185"/>
      <c r="CU70" s="185"/>
      <c r="CV70" s="185"/>
      <c r="CW70" s="185"/>
      <c r="CX70" s="185"/>
      <c r="CY70" s="185"/>
      <c r="CZ70" s="185"/>
      <c r="DA70" s="185"/>
      <c r="DB70" s="185"/>
      <c r="DC70" s="185"/>
      <c r="DD70" s="185"/>
      <c r="DE70" s="185"/>
      <c r="DF70" s="185"/>
      <c r="DG70" s="330"/>
      <c r="DH70" s="185"/>
      <c r="DI70" s="185"/>
      <c r="DJ70" s="185"/>
      <c r="DK70" s="185"/>
      <c r="DL70" s="185"/>
      <c r="DM70" s="185"/>
      <c r="DN70" s="329"/>
      <c r="DO70" s="185"/>
      <c r="DP70" s="185"/>
      <c r="DQ70" s="185"/>
      <c r="DR70" s="185"/>
      <c r="DS70" s="185"/>
      <c r="DT70" s="185"/>
      <c r="DU70" s="185"/>
      <c r="DV70" s="185"/>
      <c r="DW70" s="185"/>
      <c r="DX70" s="185"/>
      <c r="DY70" s="331"/>
      <c r="DZ70" s="174"/>
      <c r="EA70" s="174"/>
      <c r="EB70" s="174"/>
      <c r="EC70" s="174"/>
      <c r="ED70" s="174"/>
      <c r="EE70" s="332"/>
      <c r="EF70" s="332"/>
      <c r="EG70" s="332"/>
      <c r="EH70" s="332"/>
      <c r="EI70" s="126"/>
      <c r="EJ70" s="332"/>
      <c r="EK70" s="332"/>
      <c r="EL70" s="332"/>
      <c r="EM70" s="332"/>
      <c r="EN70" s="332"/>
      <c r="EO70" s="332"/>
      <c r="EP70" s="332"/>
      <c r="EQ70" s="332"/>
      <c r="ER70" s="332"/>
      <c r="ES70" s="332"/>
      <c r="ET70" s="331"/>
      <c r="EU70" s="331"/>
      <c r="EV70" s="331"/>
      <c r="EW70" s="332"/>
      <c r="EX70" s="332"/>
      <c r="EY70" s="332"/>
      <c r="EZ70" s="332"/>
      <c r="FA70" s="173"/>
      <c r="FB70" s="173"/>
      <c r="FC70" s="173"/>
      <c r="FD70" s="173"/>
      <c r="FE70" s="173"/>
      <c r="FF70" s="173"/>
      <c r="FG70" s="173"/>
      <c r="FH70" s="173"/>
      <c r="FI70" s="173"/>
      <c r="FJ70" s="174"/>
      <c r="FK70" s="174"/>
      <c r="FL70" s="174"/>
      <c r="FM70" s="330"/>
      <c r="FN70" s="185"/>
      <c r="FO70" s="185"/>
      <c r="FP70" s="185"/>
      <c r="FQ70" s="174"/>
      <c r="FR70" s="330"/>
      <c r="FS70" s="185"/>
      <c r="FT70" s="185"/>
      <c r="FU70" s="185"/>
      <c r="FV70" s="185"/>
      <c r="FW70" s="185"/>
      <c r="FX70" s="185"/>
      <c r="FY70" s="185"/>
      <c r="FZ70" s="185"/>
      <c r="GA70" s="126"/>
      <c r="GB70" s="284"/>
      <c r="GC70" s="284"/>
      <c r="GD70" s="284"/>
      <c r="GE70" s="284"/>
      <c r="GF70" s="95"/>
      <c r="GG70" s="95"/>
      <c r="GH70" s="284"/>
      <c r="GI70" s="67"/>
      <c r="GJ70" s="67"/>
      <c r="GK70" s="67"/>
      <c r="GL70" s="67"/>
      <c r="GM70" s="67"/>
      <c r="GN70" s="71"/>
      <c r="GO70" s="71"/>
      <c r="GP70" s="71"/>
      <c r="GQ70" s="71"/>
      <c r="GR70" s="70"/>
      <c r="GS70" s="70"/>
      <c r="GT70" s="70"/>
      <c r="GU70" s="70"/>
      <c r="GV70" s="70"/>
      <c r="GW70" s="70"/>
      <c r="GX70" s="73"/>
      <c r="GY70" s="74"/>
    </row>
    <row r="71" spans="1:207" s="75" customFormat="1">
      <c r="A71" s="95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85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328"/>
      <c r="Z71" s="328"/>
      <c r="AA71" s="328"/>
      <c r="AB71" s="328"/>
      <c r="AC71" s="328"/>
      <c r="AD71" s="185"/>
      <c r="AE71" s="185"/>
      <c r="AF71" s="185"/>
      <c r="AG71" s="185"/>
      <c r="AH71" s="185"/>
      <c r="AI71" s="185"/>
      <c r="AJ71" s="329"/>
      <c r="AK71" s="185"/>
      <c r="AL71" s="185"/>
      <c r="AM71" s="185"/>
      <c r="AN71" s="173"/>
      <c r="AO71" s="173"/>
      <c r="AP71" s="173"/>
      <c r="AQ71" s="173"/>
      <c r="AR71" s="173"/>
      <c r="AS71" s="173"/>
      <c r="AT71" s="173"/>
      <c r="AU71" s="173"/>
      <c r="AV71" s="173"/>
      <c r="AW71" s="173"/>
      <c r="AX71" s="173"/>
      <c r="AY71" s="173"/>
      <c r="AZ71" s="173"/>
      <c r="BA71" s="173"/>
      <c r="BB71" s="173"/>
      <c r="BC71" s="173"/>
      <c r="BD71" s="173"/>
      <c r="BE71" s="173"/>
      <c r="BF71" s="173"/>
      <c r="BG71" s="173"/>
      <c r="BH71" s="173"/>
      <c r="BI71" s="173"/>
      <c r="BJ71" s="173"/>
      <c r="BK71" s="173"/>
      <c r="BL71" s="173"/>
      <c r="BM71" s="173"/>
      <c r="BN71" s="173"/>
      <c r="BO71" s="173"/>
      <c r="BP71" s="173"/>
      <c r="BQ71" s="173"/>
      <c r="BR71" s="173"/>
      <c r="BS71" s="173"/>
      <c r="BT71" s="173"/>
      <c r="BU71" s="173"/>
      <c r="BV71" s="173"/>
      <c r="BW71" s="173"/>
      <c r="BX71" s="185"/>
      <c r="BY71" s="185"/>
      <c r="BZ71" s="185"/>
      <c r="CA71" s="329"/>
      <c r="CB71" s="185"/>
      <c r="CC71" s="185"/>
      <c r="CD71" s="185"/>
      <c r="CE71" s="185"/>
      <c r="CF71" s="329"/>
      <c r="CG71" s="185"/>
      <c r="CH71" s="330"/>
      <c r="CI71" s="185"/>
      <c r="CJ71" s="185"/>
      <c r="CK71" s="185"/>
      <c r="CL71" s="185"/>
      <c r="CM71" s="330"/>
      <c r="CN71" s="185"/>
      <c r="CO71" s="185"/>
      <c r="CP71" s="185"/>
      <c r="CQ71" s="185"/>
      <c r="CR71" s="330"/>
      <c r="CS71" s="185"/>
      <c r="CT71" s="185"/>
      <c r="CU71" s="185"/>
      <c r="CV71" s="185"/>
      <c r="CW71" s="185"/>
      <c r="CX71" s="185"/>
      <c r="CY71" s="185"/>
      <c r="CZ71" s="185"/>
      <c r="DA71" s="185"/>
      <c r="DB71" s="185"/>
      <c r="DC71" s="185"/>
      <c r="DD71" s="185"/>
      <c r="DE71" s="185"/>
      <c r="DF71" s="185"/>
      <c r="DG71" s="330"/>
      <c r="DH71" s="185"/>
      <c r="DI71" s="185"/>
      <c r="DJ71" s="185"/>
      <c r="DK71" s="185"/>
      <c r="DL71" s="185"/>
      <c r="DM71" s="185"/>
      <c r="DN71" s="329"/>
      <c r="DO71" s="185"/>
      <c r="DP71" s="185"/>
      <c r="DQ71" s="185"/>
      <c r="DR71" s="185"/>
      <c r="DS71" s="185"/>
      <c r="DT71" s="185"/>
      <c r="DU71" s="185"/>
      <c r="DV71" s="185"/>
      <c r="DW71" s="185"/>
      <c r="DX71" s="185"/>
      <c r="DY71" s="331"/>
      <c r="DZ71" s="174"/>
      <c r="EA71" s="174"/>
      <c r="EB71" s="174"/>
      <c r="EC71" s="174"/>
      <c r="ED71" s="174"/>
      <c r="EE71" s="332"/>
      <c r="EF71" s="332"/>
      <c r="EG71" s="332"/>
      <c r="EH71" s="332"/>
      <c r="EI71" s="126"/>
      <c r="EJ71" s="332"/>
      <c r="EK71" s="332"/>
      <c r="EL71" s="332"/>
      <c r="EM71" s="332"/>
      <c r="EN71" s="332"/>
      <c r="EO71" s="332"/>
      <c r="EP71" s="332"/>
      <c r="EQ71" s="332"/>
      <c r="ER71" s="332"/>
      <c r="ES71" s="332"/>
      <c r="ET71" s="331"/>
      <c r="EU71" s="331"/>
      <c r="EV71" s="331"/>
      <c r="EW71" s="332"/>
      <c r="EX71" s="332"/>
      <c r="EY71" s="332"/>
      <c r="EZ71" s="332"/>
      <c r="FA71" s="173"/>
      <c r="FB71" s="173"/>
      <c r="FC71" s="173"/>
      <c r="FD71" s="173"/>
      <c r="FE71" s="173"/>
      <c r="FF71" s="173"/>
      <c r="FG71" s="173"/>
      <c r="FH71" s="173"/>
      <c r="FI71" s="173"/>
      <c r="FJ71" s="174"/>
      <c r="FK71" s="174"/>
      <c r="FL71" s="174"/>
      <c r="FM71" s="330"/>
      <c r="FN71" s="185"/>
      <c r="FO71" s="185"/>
      <c r="FP71" s="185"/>
      <c r="FQ71" s="174"/>
      <c r="FR71" s="330"/>
      <c r="FS71" s="185"/>
      <c r="FT71" s="185"/>
      <c r="FU71" s="185"/>
      <c r="FV71" s="185"/>
      <c r="FW71" s="185"/>
      <c r="FX71" s="185"/>
      <c r="FY71" s="185"/>
      <c r="FZ71" s="185"/>
      <c r="GA71" s="126"/>
      <c r="GB71" s="284"/>
      <c r="GC71" s="284"/>
      <c r="GD71" s="284"/>
      <c r="GE71" s="284"/>
      <c r="GF71" s="95"/>
      <c r="GG71" s="95"/>
      <c r="GH71" s="284"/>
      <c r="GI71" s="67"/>
      <c r="GJ71" s="67"/>
      <c r="GK71" s="67"/>
      <c r="GL71" s="67"/>
      <c r="GM71" s="67"/>
      <c r="GN71" s="71"/>
      <c r="GO71" s="71"/>
      <c r="GP71" s="71"/>
      <c r="GQ71" s="71"/>
      <c r="GR71" s="70"/>
      <c r="GS71" s="70"/>
      <c r="GT71" s="70"/>
      <c r="GU71" s="70"/>
      <c r="GV71" s="70"/>
      <c r="GW71" s="70"/>
      <c r="GX71" s="73"/>
      <c r="GY71" s="74"/>
    </row>
    <row r="72" spans="1:207" s="75" customFormat="1">
      <c r="A72" s="95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85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328"/>
      <c r="Z72" s="328"/>
      <c r="AA72" s="328"/>
      <c r="AB72" s="328"/>
      <c r="AC72" s="328"/>
      <c r="AD72" s="185"/>
      <c r="AE72" s="185"/>
      <c r="AF72" s="185"/>
      <c r="AG72" s="185"/>
      <c r="AH72" s="185"/>
      <c r="AI72" s="185"/>
      <c r="AJ72" s="329"/>
      <c r="AK72" s="185"/>
      <c r="AL72" s="185"/>
      <c r="AM72" s="185"/>
      <c r="AN72" s="173"/>
      <c r="AO72" s="173"/>
      <c r="AP72" s="173"/>
      <c r="AQ72" s="173"/>
      <c r="AR72" s="173"/>
      <c r="AS72" s="173"/>
      <c r="AT72" s="173"/>
      <c r="AU72" s="173"/>
      <c r="AV72" s="173"/>
      <c r="AW72" s="173"/>
      <c r="AX72" s="173"/>
      <c r="AY72" s="173"/>
      <c r="AZ72" s="173"/>
      <c r="BA72" s="173"/>
      <c r="BB72" s="173"/>
      <c r="BC72" s="173"/>
      <c r="BD72" s="173"/>
      <c r="BE72" s="173"/>
      <c r="BF72" s="173"/>
      <c r="BG72" s="173"/>
      <c r="BH72" s="173"/>
      <c r="BI72" s="173"/>
      <c r="BJ72" s="173"/>
      <c r="BK72" s="173"/>
      <c r="BL72" s="173"/>
      <c r="BM72" s="173"/>
      <c r="BN72" s="173"/>
      <c r="BO72" s="173"/>
      <c r="BP72" s="173"/>
      <c r="BQ72" s="173"/>
      <c r="BR72" s="173"/>
      <c r="BS72" s="173"/>
      <c r="BT72" s="173"/>
      <c r="BU72" s="173"/>
      <c r="BV72" s="173"/>
      <c r="BW72" s="173"/>
      <c r="BX72" s="185"/>
      <c r="BY72" s="185"/>
      <c r="BZ72" s="185"/>
      <c r="CA72" s="329"/>
      <c r="CB72" s="185"/>
      <c r="CC72" s="185"/>
      <c r="CD72" s="185"/>
      <c r="CE72" s="185"/>
      <c r="CF72" s="329"/>
      <c r="CG72" s="185"/>
      <c r="CH72" s="330"/>
      <c r="CI72" s="185"/>
      <c r="CJ72" s="185"/>
      <c r="CK72" s="185"/>
      <c r="CL72" s="185"/>
      <c r="CM72" s="330"/>
      <c r="CN72" s="185"/>
      <c r="CO72" s="185"/>
      <c r="CP72" s="185"/>
      <c r="CQ72" s="185"/>
      <c r="CR72" s="330"/>
      <c r="CS72" s="185"/>
      <c r="CT72" s="185"/>
      <c r="CU72" s="185"/>
      <c r="CV72" s="185"/>
      <c r="CW72" s="185"/>
      <c r="CX72" s="185"/>
      <c r="CY72" s="185"/>
      <c r="CZ72" s="185"/>
      <c r="DA72" s="185"/>
      <c r="DB72" s="185"/>
      <c r="DC72" s="185"/>
      <c r="DD72" s="185"/>
      <c r="DE72" s="185"/>
      <c r="DF72" s="185"/>
      <c r="DG72" s="330"/>
      <c r="DH72" s="185"/>
      <c r="DI72" s="185"/>
      <c r="DJ72" s="185"/>
      <c r="DK72" s="185"/>
      <c r="DL72" s="185"/>
      <c r="DM72" s="185"/>
      <c r="DN72" s="329"/>
      <c r="DO72" s="185"/>
      <c r="DP72" s="185"/>
      <c r="DQ72" s="185"/>
      <c r="DR72" s="185"/>
      <c r="DS72" s="185"/>
      <c r="DT72" s="185"/>
      <c r="DU72" s="185"/>
      <c r="DV72" s="185"/>
      <c r="DW72" s="185"/>
      <c r="DX72" s="185"/>
      <c r="DY72" s="331"/>
      <c r="DZ72" s="174"/>
      <c r="EA72" s="174"/>
      <c r="EB72" s="174"/>
      <c r="EC72" s="174"/>
      <c r="ED72" s="174"/>
      <c r="EE72" s="332"/>
      <c r="EF72" s="332"/>
      <c r="EG72" s="332"/>
      <c r="EH72" s="332"/>
      <c r="EI72" s="126"/>
      <c r="EJ72" s="332"/>
      <c r="EK72" s="332"/>
      <c r="EL72" s="332"/>
      <c r="EM72" s="332"/>
      <c r="EN72" s="332"/>
      <c r="EO72" s="332"/>
      <c r="EP72" s="332"/>
      <c r="EQ72" s="332"/>
      <c r="ER72" s="332"/>
      <c r="ES72" s="332"/>
      <c r="ET72" s="331"/>
      <c r="EU72" s="331"/>
      <c r="EV72" s="331"/>
      <c r="EW72" s="332"/>
      <c r="EX72" s="332"/>
      <c r="EY72" s="332"/>
      <c r="EZ72" s="332"/>
      <c r="FA72" s="173"/>
      <c r="FB72" s="173"/>
      <c r="FC72" s="173"/>
      <c r="FD72" s="173"/>
      <c r="FE72" s="173"/>
      <c r="FF72" s="173"/>
      <c r="FG72" s="173"/>
      <c r="FH72" s="173"/>
      <c r="FI72" s="173"/>
      <c r="FJ72" s="174"/>
      <c r="FK72" s="174"/>
      <c r="FL72" s="174"/>
      <c r="FM72" s="330"/>
      <c r="FN72" s="185"/>
      <c r="FO72" s="185"/>
      <c r="FP72" s="185"/>
      <c r="FQ72" s="174"/>
      <c r="FR72" s="330"/>
      <c r="FS72" s="185"/>
      <c r="FT72" s="185"/>
      <c r="FU72" s="185"/>
      <c r="FV72" s="185"/>
      <c r="FW72" s="185"/>
      <c r="FX72" s="185"/>
      <c r="FY72" s="185"/>
      <c r="FZ72" s="185"/>
      <c r="GA72" s="126"/>
      <c r="GB72" s="284"/>
      <c r="GC72" s="284"/>
      <c r="GD72" s="284"/>
      <c r="GE72" s="284"/>
      <c r="GF72" s="95"/>
      <c r="GG72" s="95"/>
      <c r="GH72" s="284"/>
      <c r="GI72" s="67"/>
      <c r="GJ72" s="67"/>
      <c r="GK72" s="67"/>
      <c r="GL72" s="67"/>
      <c r="GM72" s="67"/>
      <c r="GN72" s="71"/>
      <c r="GO72" s="71"/>
      <c r="GP72" s="71"/>
      <c r="GQ72" s="71"/>
      <c r="GR72" s="70"/>
      <c r="GS72" s="70"/>
      <c r="GT72" s="70"/>
      <c r="GU72" s="70"/>
      <c r="GV72" s="70"/>
      <c r="GW72" s="70"/>
      <c r="GX72" s="73"/>
      <c r="GY72" s="74"/>
    </row>
    <row r="73" spans="1:207" s="75" customFormat="1">
      <c r="A73" s="95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85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328"/>
      <c r="Z73" s="328"/>
      <c r="AA73" s="328"/>
      <c r="AB73" s="328"/>
      <c r="AC73" s="328"/>
      <c r="AD73" s="185"/>
      <c r="AE73" s="185"/>
      <c r="AF73" s="185"/>
      <c r="AG73" s="185"/>
      <c r="AH73" s="185"/>
      <c r="AI73" s="185"/>
      <c r="AJ73" s="329"/>
      <c r="AK73" s="185"/>
      <c r="AL73" s="185"/>
      <c r="AM73" s="185"/>
      <c r="AN73" s="173"/>
      <c r="AO73" s="173"/>
      <c r="AP73" s="173"/>
      <c r="AQ73" s="173"/>
      <c r="AR73" s="173"/>
      <c r="AS73" s="173"/>
      <c r="AT73" s="173"/>
      <c r="AU73" s="173"/>
      <c r="AV73" s="173"/>
      <c r="AW73" s="173"/>
      <c r="AX73" s="173"/>
      <c r="AY73" s="173"/>
      <c r="AZ73" s="173"/>
      <c r="BA73" s="173"/>
      <c r="BB73" s="173"/>
      <c r="BC73" s="173"/>
      <c r="BD73" s="173"/>
      <c r="BE73" s="173"/>
      <c r="BF73" s="173"/>
      <c r="BG73" s="173"/>
      <c r="BH73" s="173"/>
      <c r="BI73" s="173"/>
      <c r="BJ73" s="173"/>
      <c r="BK73" s="173"/>
      <c r="BL73" s="173"/>
      <c r="BM73" s="173"/>
      <c r="BN73" s="173"/>
      <c r="BO73" s="173"/>
      <c r="BP73" s="173"/>
      <c r="BQ73" s="173"/>
      <c r="BR73" s="173"/>
      <c r="BS73" s="173"/>
      <c r="BT73" s="173"/>
      <c r="BU73" s="173"/>
      <c r="BV73" s="173"/>
      <c r="BW73" s="173"/>
      <c r="BX73" s="185"/>
      <c r="BY73" s="185"/>
      <c r="BZ73" s="185"/>
      <c r="CA73" s="329"/>
      <c r="CB73" s="185"/>
      <c r="CC73" s="185"/>
      <c r="CD73" s="185"/>
      <c r="CE73" s="185"/>
      <c r="CF73" s="329"/>
      <c r="CG73" s="185"/>
      <c r="CH73" s="330"/>
      <c r="CI73" s="185"/>
      <c r="CJ73" s="185"/>
      <c r="CK73" s="185"/>
      <c r="CL73" s="185"/>
      <c r="CM73" s="330"/>
      <c r="CN73" s="185"/>
      <c r="CO73" s="185"/>
      <c r="CP73" s="185"/>
      <c r="CQ73" s="185"/>
      <c r="CR73" s="330"/>
      <c r="CS73" s="185"/>
      <c r="CT73" s="185"/>
      <c r="CU73" s="185"/>
      <c r="CV73" s="185"/>
      <c r="CW73" s="185"/>
      <c r="CX73" s="185"/>
      <c r="CY73" s="185"/>
      <c r="CZ73" s="185"/>
      <c r="DA73" s="185"/>
      <c r="DB73" s="185"/>
      <c r="DC73" s="185"/>
      <c r="DD73" s="185"/>
      <c r="DE73" s="185"/>
      <c r="DF73" s="185"/>
      <c r="DG73" s="330"/>
      <c r="DH73" s="185"/>
      <c r="DI73" s="185"/>
      <c r="DJ73" s="185"/>
      <c r="DK73" s="185"/>
      <c r="DL73" s="185"/>
      <c r="DM73" s="185"/>
      <c r="DN73" s="329"/>
      <c r="DO73" s="185"/>
      <c r="DP73" s="185"/>
      <c r="DQ73" s="185"/>
      <c r="DR73" s="185"/>
      <c r="DS73" s="185"/>
      <c r="DT73" s="185"/>
      <c r="DU73" s="185"/>
      <c r="DV73" s="185"/>
      <c r="DW73" s="185"/>
      <c r="DX73" s="185"/>
      <c r="DY73" s="331"/>
      <c r="DZ73" s="174"/>
      <c r="EA73" s="174"/>
      <c r="EB73" s="174"/>
      <c r="EC73" s="174"/>
      <c r="ED73" s="174"/>
      <c r="EE73" s="332"/>
      <c r="EF73" s="332"/>
      <c r="EG73" s="332"/>
      <c r="EH73" s="332"/>
      <c r="EI73" s="126"/>
      <c r="EJ73" s="332"/>
      <c r="EK73" s="332"/>
      <c r="EL73" s="332"/>
      <c r="EM73" s="332"/>
      <c r="EN73" s="332"/>
      <c r="EO73" s="332"/>
      <c r="EP73" s="332"/>
      <c r="EQ73" s="332"/>
      <c r="ER73" s="332"/>
      <c r="ES73" s="332"/>
      <c r="ET73" s="331"/>
      <c r="EU73" s="331"/>
      <c r="EV73" s="331"/>
      <c r="EW73" s="332"/>
      <c r="EX73" s="332"/>
      <c r="EY73" s="332"/>
      <c r="EZ73" s="332"/>
      <c r="FA73" s="173"/>
      <c r="FB73" s="173"/>
      <c r="FC73" s="173"/>
      <c r="FD73" s="173"/>
      <c r="FE73" s="173"/>
      <c r="FF73" s="173"/>
      <c r="FG73" s="173"/>
      <c r="FH73" s="173"/>
      <c r="FI73" s="173"/>
      <c r="FJ73" s="174"/>
      <c r="FK73" s="174"/>
      <c r="FL73" s="174"/>
      <c r="FM73" s="330"/>
      <c r="FN73" s="185"/>
      <c r="FO73" s="185"/>
      <c r="FP73" s="185"/>
      <c r="FQ73" s="174"/>
      <c r="FR73" s="330"/>
      <c r="FS73" s="185"/>
      <c r="FT73" s="185"/>
      <c r="FU73" s="185"/>
      <c r="FV73" s="185"/>
      <c r="FW73" s="185"/>
      <c r="FX73" s="185"/>
      <c r="FY73" s="185"/>
      <c r="FZ73" s="185"/>
      <c r="GA73" s="126"/>
      <c r="GB73" s="284"/>
      <c r="GC73" s="284"/>
      <c r="GD73" s="284"/>
      <c r="GE73" s="284"/>
      <c r="GF73" s="95"/>
      <c r="GG73" s="95"/>
      <c r="GH73" s="284"/>
      <c r="GI73" s="67"/>
      <c r="GJ73" s="67"/>
      <c r="GK73" s="67"/>
      <c r="GL73" s="67"/>
      <c r="GM73" s="67"/>
      <c r="GN73" s="71"/>
      <c r="GO73" s="71"/>
      <c r="GP73" s="71"/>
      <c r="GQ73" s="71"/>
      <c r="GR73" s="70"/>
      <c r="GS73" s="70"/>
      <c r="GT73" s="70"/>
      <c r="GU73" s="70"/>
      <c r="GV73" s="70"/>
      <c r="GW73" s="70"/>
      <c r="GX73" s="73"/>
      <c r="GY73" s="74"/>
    </row>
    <row r="74" spans="1:207" s="75" customFormat="1">
      <c r="A74" s="95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85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328"/>
      <c r="Z74" s="328"/>
      <c r="AA74" s="328"/>
      <c r="AB74" s="328"/>
      <c r="AC74" s="328"/>
      <c r="AD74" s="185"/>
      <c r="AE74" s="185"/>
      <c r="AF74" s="185"/>
      <c r="AG74" s="185"/>
      <c r="AH74" s="185"/>
      <c r="AI74" s="185"/>
      <c r="AJ74" s="329"/>
      <c r="AK74" s="185"/>
      <c r="AL74" s="185"/>
      <c r="AM74" s="185"/>
      <c r="AN74" s="173"/>
      <c r="AO74" s="173"/>
      <c r="AP74" s="173"/>
      <c r="AQ74" s="173"/>
      <c r="AR74" s="173"/>
      <c r="AS74" s="173"/>
      <c r="AT74" s="173"/>
      <c r="AU74" s="173"/>
      <c r="AV74" s="173"/>
      <c r="AW74" s="173"/>
      <c r="AX74" s="173"/>
      <c r="AY74" s="173"/>
      <c r="AZ74" s="173"/>
      <c r="BA74" s="173"/>
      <c r="BB74" s="173"/>
      <c r="BC74" s="173"/>
      <c r="BD74" s="173"/>
      <c r="BE74" s="173"/>
      <c r="BF74" s="173"/>
      <c r="BG74" s="173"/>
      <c r="BH74" s="173"/>
      <c r="BI74" s="173"/>
      <c r="BJ74" s="173"/>
      <c r="BK74" s="173"/>
      <c r="BL74" s="173"/>
      <c r="BM74" s="173"/>
      <c r="BN74" s="173"/>
      <c r="BO74" s="173"/>
      <c r="BP74" s="173"/>
      <c r="BQ74" s="173"/>
      <c r="BR74" s="173"/>
      <c r="BS74" s="173"/>
      <c r="BT74" s="173"/>
      <c r="BU74" s="173"/>
      <c r="BV74" s="173"/>
      <c r="BW74" s="173"/>
      <c r="BX74" s="185"/>
      <c r="BY74" s="185"/>
      <c r="BZ74" s="185"/>
      <c r="CA74" s="329"/>
      <c r="CB74" s="185"/>
      <c r="CC74" s="185"/>
      <c r="CD74" s="185"/>
      <c r="CE74" s="185"/>
      <c r="CF74" s="329"/>
      <c r="CG74" s="185"/>
      <c r="CH74" s="330"/>
      <c r="CI74" s="185"/>
      <c r="CJ74" s="185"/>
      <c r="CK74" s="185"/>
      <c r="CL74" s="185"/>
      <c r="CM74" s="330"/>
      <c r="CN74" s="185"/>
      <c r="CO74" s="185"/>
      <c r="CP74" s="185"/>
      <c r="CQ74" s="185"/>
      <c r="CR74" s="330"/>
      <c r="CS74" s="185"/>
      <c r="CT74" s="185"/>
      <c r="CU74" s="185"/>
      <c r="CV74" s="185"/>
      <c r="CW74" s="185"/>
      <c r="CX74" s="185"/>
      <c r="CY74" s="185"/>
      <c r="CZ74" s="185"/>
      <c r="DA74" s="185"/>
      <c r="DB74" s="185"/>
      <c r="DC74" s="185"/>
      <c r="DD74" s="185"/>
      <c r="DE74" s="185"/>
      <c r="DF74" s="185"/>
      <c r="DG74" s="330"/>
      <c r="DH74" s="185"/>
      <c r="DI74" s="185"/>
      <c r="DJ74" s="185"/>
      <c r="DK74" s="185"/>
      <c r="DL74" s="185"/>
      <c r="DM74" s="185"/>
      <c r="DN74" s="329"/>
      <c r="DO74" s="185"/>
      <c r="DP74" s="185"/>
      <c r="DQ74" s="185"/>
      <c r="DR74" s="185"/>
      <c r="DS74" s="185"/>
      <c r="DT74" s="185"/>
      <c r="DU74" s="185"/>
      <c r="DV74" s="185"/>
      <c r="DW74" s="185"/>
      <c r="DX74" s="185"/>
      <c r="DY74" s="331"/>
      <c r="DZ74" s="174"/>
      <c r="EA74" s="174"/>
      <c r="EB74" s="174"/>
      <c r="EC74" s="174"/>
      <c r="ED74" s="174"/>
      <c r="EE74" s="332"/>
      <c r="EF74" s="332"/>
      <c r="EG74" s="332"/>
      <c r="EH74" s="332"/>
      <c r="EI74" s="126"/>
      <c r="EJ74" s="332"/>
      <c r="EK74" s="332"/>
      <c r="EL74" s="332"/>
      <c r="EM74" s="332"/>
      <c r="EN74" s="332"/>
      <c r="EO74" s="332"/>
      <c r="EP74" s="332"/>
      <c r="EQ74" s="332"/>
      <c r="ER74" s="332"/>
      <c r="ES74" s="332"/>
      <c r="ET74" s="331"/>
      <c r="EU74" s="331"/>
      <c r="EV74" s="331"/>
      <c r="EW74" s="332"/>
      <c r="EX74" s="332"/>
      <c r="EY74" s="332"/>
      <c r="EZ74" s="332"/>
      <c r="FA74" s="173"/>
      <c r="FB74" s="173"/>
      <c r="FC74" s="173"/>
      <c r="FD74" s="173"/>
      <c r="FE74" s="173"/>
      <c r="FF74" s="173"/>
      <c r="FG74" s="173"/>
      <c r="FH74" s="173"/>
      <c r="FI74" s="173"/>
      <c r="FJ74" s="174"/>
      <c r="FK74" s="174"/>
      <c r="FL74" s="174"/>
      <c r="FM74" s="330"/>
      <c r="FN74" s="185"/>
      <c r="FO74" s="185"/>
      <c r="FP74" s="185"/>
      <c r="FQ74" s="174"/>
      <c r="FR74" s="330"/>
      <c r="FS74" s="185"/>
      <c r="FT74" s="185"/>
      <c r="FU74" s="185"/>
      <c r="FV74" s="185"/>
      <c r="FW74" s="185"/>
      <c r="FX74" s="185"/>
      <c r="FY74" s="185"/>
      <c r="FZ74" s="185"/>
      <c r="GA74" s="126"/>
      <c r="GB74" s="285"/>
      <c r="GC74" s="284"/>
      <c r="GD74" s="284"/>
      <c r="GE74" s="284"/>
      <c r="GF74" s="95"/>
      <c r="GG74" s="95"/>
      <c r="GH74" s="284"/>
      <c r="GI74" s="67"/>
      <c r="GJ74" s="67"/>
      <c r="GK74" s="67"/>
      <c r="GL74" s="67"/>
      <c r="GM74" s="67"/>
      <c r="GN74" s="71"/>
      <c r="GO74" s="71"/>
      <c r="GP74" s="71"/>
      <c r="GQ74" s="71"/>
      <c r="GR74" s="70"/>
      <c r="GS74" s="70"/>
      <c r="GT74" s="70"/>
      <c r="GU74" s="70"/>
      <c r="GV74" s="70"/>
      <c r="GW74" s="70"/>
      <c r="GX74" s="73"/>
      <c r="GY74" s="74"/>
    </row>
    <row r="75" spans="1:207" s="75" customFormat="1">
      <c r="A75" s="95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85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328"/>
      <c r="Z75" s="328"/>
      <c r="AA75" s="328"/>
      <c r="AB75" s="328"/>
      <c r="AC75" s="328"/>
      <c r="AD75" s="185"/>
      <c r="AE75" s="185"/>
      <c r="AF75" s="185"/>
      <c r="AG75" s="185"/>
      <c r="AH75" s="185"/>
      <c r="AI75" s="185"/>
      <c r="AJ75" s="329"/>
      <c r="AK75" s="185"/>
      <c r="AL75" s="185"/>
      <c r="AM75" s="185"/>
      <c r="AN75" s="173"/>
      <c r="AO75" s="173"/>
      <c r="AP75" s="173"/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B75" s="173"/>
      <c r="BC75" s="173"/>
      <c r="BD75" s="173"/>
      <c r="BE75" s="173"/>
      <c r="BF75" s="173"/>
      <c r="BG75" s="173"/>
      <c r="BH75" s="173"/>
      <c r="BI75" s="173"/>
      <c r="BJ75" s="173"/>
      <c r="BK75" s="173"/>
      <c r="BL75" s="173"/>
      <c r="BM75" s="173"/>
      <c r="BN75" s="173"/>
      <c r="BO75" s="173"/>
      <c r="BP75" s="173"/>
      <c r="BQ75" s="173"/>
      <c r="BR75" s="173"/>
      <c r="BS75" s="173"/>
      <c r="BT75" s="173"/>
      <c r="BU75" s="173"/>
      <c r="BV75" s="173"/>
      <c r="BW75" s="173"/>
      <c r="BX75" s="185"/>
      <c r="BY75" s="185"/>
      <c r="BZ75" s="185"/>
      <c r="CA75" s="329"/>
      <c r="CB75" s="185"/>
      <c r="CC75" s="185"/>
      <c r="CD75" s="185"/>
      <c r="CE75" s="185"/>
      <c r="CF75" s="329"/>
      <c r="CG75" s="185"/>
      <c r="CH75" s="330"/>
      <c r="CI75" s="185"/>
      <c r="CJ75" s="185"/>
      <c r="CK75" s="185"/>
      <c r="CL75" s="185"/>
      <c r="CM75" s="330"/>
      <c r="CN75" s="185"/>
      <c r="CO75" s="185"/>
      <c r="CP75" s="185"/>
      <c r="CQ75" s="185"/>
      <c r="CR75" s="330"/>
      <c r="CS75" s="185"/>
      <c r="CT75" s="185"/>
      <c r="CU75" s="185"/>
      <c r="CV75" s="185"/>
      <c r="CW75" s="185"/>
      <c r="CX75" s="185"/>
      <c r="CY75" s="185"/>
      <c r="CZ75" s="185"/>
      <c r="DA75" s="185"/>
      <c r="DB75" s="185"/>
      <c r="DC75" s="185"/>
      <c r="DD75" s="185"/>
      <c r="DE75" s="185"/>
      <c r="DF75" s="185"/>
      <c r="DG75" s="330"/>
      <c r="DH75" s="185"/>
      <c r="DI75" s="185"/>
      <c r="DJ75" s="185"/>
      <c r="DK75" s="185"/>
      <c r="DL75" s="185"/>
      <c r="DM75" s="185"/>
      <c r="DN75" s="329"/>
      <c r="DO75" s="185"/>
      <c r="DP75" s="185"/>
      <c r="DQ75" s="185"/>
      <c r="DR75" s="185"/>
      <c r="DS75" s="185"/>
      <c r="DT75" s="185"/>
      <c r="DU75" s="185"/>
      <c r="DV75" s="185"/>
      <c r="DW75" s="185"/>
      <c r="DX75" s="185"/>
      <c r="DY75" s="331"/>
      <c r="DZ75" s="174"/>
      <c r="EA75" s="174"/>
      <c r="EB75" s="174"/>
      <c r="EC75" s="174"/>
      <c r="ED75" s="174"/>
      <c r="EE75" s="332"/>
      <c r="EF75" s="332"/>
      <c r="EG75" s="332"/>
      <c r="EH75" s="332"/>
      <c r="EI75" s="126"/>
      <c r="EJ75" s="332"/>
      <c r="EK75" s="332"/>
      <c r="EL75" s="332"/>
      <c r="EM75" s="332"/>
      <c r="EN75" s="332"/>
      <c r="EO75" s="332"/>
      <c r="EP75" s="332"/>
      <c r="EQ75" s="332"/>
      <c r="ER75" s="332"/>
      <c r="ES75" s="332"/>
      <c r="ET75" s="331"/>
      <c r="EU75" s="331"/>
      <c r="EV75" s="331"/>
      <c r="EW75" s="332"/>
      <c r="EX75" s="332"/>
      <c r="EY75" s="332"/>
      <c r="EZ75" s="332"/>
      <c r="FA75" s="173"/>
      <c r="FB75" s="173"/>
      <c r="FC75" s="173"/>
      <c r="FD75" s="173"/>
      <c r="FE75" s="173"/>
      <c r="FF75" s="173"/>
      <c r="FG75" s="173"/>
      <c r="FH75" s="173"/>
      <c r="FI75" s="173"/>
      <c r="FJ75" s="174"/>
      <c r="FK75" s="174"/>
      <c r="FL75" s="174"/>
      <c r="FM75" s="330"/>
      <c r="FN75" s="185"/>
      <c r="FO75" s="185"/>
      <c r="FP75" s="185"/>
      <c r="FQ75" s="174"/>
      <c r="FR75" s="330"/>
      <c r="FS75" s="185"/>
      <c r="FT75" s="185"/>
      <c r="FU75" s="185"/>
      <c r="FV75" s="185"/>
      <c r="FW75" s="185"/>
      <c r="FX75" s="185"/>
      <c r="FY75" s="185"/>
      <c r="FZ75" s="185"/>
      <c r="GA75" s="126"/>
      <c r="GB75" s="284"/>
      <c r="GC75" s="284"/>
      <c r="GD75" s="284"/>
      <c r="GE75" s="284"/>
      <c r="GF75" s="95"/>
      <c r="GG75" s="95"/>
      <c r="GH75" s="284"/>
      <c r="GI75" s="67"/>
      <c r="GJ75" s="67"/>
      <c r="GK75" s="67"/>
      <c r="GL75" s="67"/>
      <c r="GM75" s="67"/>
      <c r="GN75" s="71"/>
      <c r="GO75" s="71"/>
      <c r="GP75" s="71"/>
      <c r="GQ75" s="71"/>
      <c r="GR75" s="70"/>
      <c r="GS75" s="70"/>
      <c r="GT75" s="70"/>
      <c r="GU75" s="70"/>
      <c r="GV75" s="70"/>
      <c r="GW75" s="70"/>
      <c r="GX75" s="73"/>
      <c r="GY75" s="74"/>
    </row>
    <row r="76" spans="1:207" s="75" customFormat="1">
      <c r="A76" s="95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85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328"/>
      <c r="Z76" s="328"/>
      <c r="AA76" s="328"/>
      <c r="AB76" s="328"/>
      <c r="AC76" s="328"/>
      <c r="AD76" s="185"/>
      <c r="AE76" s="185"/>
      <c r="AF76" s="185"/>
      <c r="AG76" s="185"/>
      <c r="AH76" s="185"/>
      <c r="AI76" s="185"/>
      <c r="AJ76" s="329"/>
      <c r="AK76" s="185"/>
      <c r="AL76" s="185"/>
      <c r="AM76" s="185"/>
      <c r="AN76" s="173"/>
      <c r="AO76" s="173"/>
      <c r="AP76" s="173"/>
      <c r="AQ76" s="173"/>
      <c r="AR76" s="173"/>
      <c r="AS76" s="173"/>
      <c r="AT76" s="173"/>
      <c r="AU76" s="173"/>
      <c r="AV76" s="173"/>
      <c r="AW76" s="173"/>
      <c r="AX76" s="173"/>
      <c r="AY76" s="173"/>
      <c r="AZ76" s="173"/>
      <c r="BA76" s="173"/>
      <c r="BB76" s="173"/>
      <c r="BC76" s="173"/>
      <c r="BD76" s="173"/>
      <c r="BE76" s="173"/>
      <c r="BF76" s="173"/>
      <c r="BG76" s="173"/>
      <c r="BH76" s="173"/>
      <c r="BI76" s="173"/>
      <c r="BJ76" s="173"/>
      <c r="BK76" s="173"/>
      <c r="BL76" s="173"/>
      <c r="BM76" s="173"/>
      <c r="BN76" s="173"/>
      <c r="BO76" s="173"/>
      <c r="BP76" s="173"/>
      <c r="BQ76" s="173"/>
      <c r="BR76" s="173"/>
      <c r="BS76" s="173"/>
      <c r="BT76" s="173"/>
      <c r="BU76" s="173"/>
      <c r="BV76" s="173"/>
      <c r="BW76" s="173"/>
      <c r="BX76" s="185"/>
      <c r="BY76" s="185"/>
      <c r="BZ76" s="185"/>
      <c r="CA76" s="329"/>
      <c r="CB76" s="185"/>
      <c r="CC76" s="185"/>
      <c r="CD76" s="185"/>
      <c r="CE76" s="185"/>
      <c r="CF76" s="329"/>
      <c r="CG76" s="185"/>
      <c r="CH76" s="330"/>
      <c r="CI76" s="185"/>
      <c r="CJ76" s="185"/>
      <c r="CK76" s="185"/>
      <c r="CL76" s="185"/>
      <c r="CM76" s="330"/>
      <c r="CN76" s="185"/>
      <c r="CO76" s="185"/>
      <c r="CP76" s="185"/>
      <c r="CQ76" s="185"/>
      <c r="CR76" s="330"/>
      <c r="CS76" s="185"/>
      <c r="CT76" s="185"/>
      <c r="CU76" s="185"/>
      <c r="CV76" s="185"/>
      <c r="CW76" s="185"/>
      <c r="CX76" s="185"/>
      <c r="CY76" s="185"/>
      <c r="CZ76" s="185"/>
      <c r="DA76" s="185"/>
      <c r="DB76" s="185"/>
      <c r="DC76" s="185"/>
      <c r="DD76" s="185"/>
      <c r="DE76" s="185"/>
      <c r="DF76" s="185"/>
      <c r="DG76" s="330"/>
      <c r="DH76" s="185"/>
      <c r="DI76" s="185"/>
      <c r="DJ76" s="185"/>
      <c r="DK76" s="185"/>
      <c r="DL76" s="185"/>
      <c r="DM76" s="185"/>
      <c r="DN76" s="329"/>
      <c r="DO76" s="185"/>
      <c r="DP76" s="185"/>
      <c r="DQ76" s="185"/>
      <c r="DR76" s="185"/>
      <c r="DS76" s="185"/>
      <c r="DT76" s="185"/>
      <c r="DU76" s="185"/>
      <c r="DV76" s="185"/>
      <c r="DW76" s="185"/>
      <c r="DX76" s="185"/>
      <c r="DY76" s="331"/>
      <c r="DZ76" s="174"/>
      <c r="EA76" s="174"/>
      <c r="EB76" s="174"/>
      <c r="EC76" s="174"/>
      <c r="ED76" s="174"/>
      <c r="EE76" s="332"/>
      <c r="EF76" s="332"/>
      <c r="EG76" s="332"/>
      <c r="EH76" s="332"/>
      <c r="EI76" s="126"/>
      <c r="EJ76" s="332"/>
      <c r="EK76" s="332"/>
      <c r="EL76" s="332"/>
      <c r="EM76" s="332"/>
      <c r="EN76" s="332"/>
      <c r="EO76" s="332"/>
      <c r="EP76" s="332"/>
      <c r="EQ76" s="332"/>
      <c r="ER76" s="332"/>
      <c r="ES76" s="332"/>
      <c r="ET76" s="331"/>
      <c r="EU76" s="331"/>
      <c r="EV76" s="331"/>
      <c r="EW76" s="332"/>
      <c r="EX76" s="332"/>
      <c r="EY76" s="332"/>
      <c r="EZ76" s="332"/>
      <c r="FA76" s="173"/>
      <c r="FB76" s="173"/>
      <c r="FC76" s="173"/>
      <c r="FD76" s="173"/>
      <c r="FE76" s="173"/>
      <c r="FF76" s="173"/>
      <c r="FG76" s="173"/>
      <c r="FH76" s="173"/>
      <c r="FI76" s="173"/>
      <c r="FJ76" s="174"/>
      <c r="FK76" s="174"/>
      <c r="FL76" s="174"/>
      <c r="FM76" s="330"/>
      <c r="FN76" s="185"/>
      <c r="FO76" s="185"/>
      <c r="FP76" s="185"/>
      <c r="FQ76" s="174"/>
      <c r="FR76" s="330"/>
      <c r="FS76" s="185"/>
      <c r="FT76" s="185"/>
      <c r="FU76" s="185"/>
      <c r="FV76" s="185"/>
      <c r="FW76" s="185"/>
      <c r="FX76" s="185"/>
      <c r="FY76" s="185"/>
      <c r="FZ76" s="185"/>
      <c r="GA76" s="126"/>
      <c r="GB76" s="284"/>
      <c r="GC76" s="284"/>
      <c r="GD76" s="284"/>
      <c r="GE76" s="284"/>
      <c r="GF76" s="95"/>
      <c r="GG76" s="95"/>
      <c r="GH76" s="284"/>
      <c r="GI76" s="67"/>
      <c r="GJ76" s="67"/>
      <c r="GK76" s="67"/>
      <c r="GL76" s="67"/>
      <c r="GM76" s="67"/>
      <c r="GN76" s="71"/>
      <c r="GO76" s="71"/>
      <c r="GP76" s="71"/>
      <c r="GQ76" s="71"/>
      <c r="GR76" s="70"/>
      <c r="GS76" s="70"/>
      <c r="GT76" s="70"/>
      <c r="GU76" s="70"/>
      <c r="GV76" s="70"/>
      <c r="GW76" s="70"/>
      <c r="GX76" s="73"/>
      <c r="GY76" s="74"/>
    </row>
    <row r="77" spans="1:207" s="75" customFormat="1">
      <c r="A77" s="95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85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328"/>
      <c r="Z77" s="328"/>
      <c r="AA77" s="328"/>
      <c r="AB77" s="328"/>
      <c r="AC77" s="328"/>
      <c r="AD77" s="185"/>
      <c r="AE77" s="185"/>
      <c r="AF77" s="185"/>
      <c r="AG77" s="185"/>
      <c r="AH77" s="185"/>
      <c r="AI77" s="185"/>
      <c r="AJ77" s="329"/>
      <c r="AK77" s="185"/>
      <c r="AL77" s="185"/>
      <c r="AM77" s="185"/>
      <c r="AN77" s="173"/>
      <c r="AO77" s="173"/>
      <c r="AP77" s="173"/>
      <c r="AQ77" s="173"/>
      <c r="AR77" s="173"/>
      <c r="AS77" s="173"/>
      <c r="AT77" s="173"/>
      <c r="AU77" s="173"/>
      <c r="AV77" s="173"/>
      <c r="AW77" s="173"/>
      <c r="AX77" s="173"/>
      <c r="AY77" s="173"/>
      <c r="AZ77" s="173"/>
      <c r="BA77" s="173"/>
      <c r="BB77" s="173"/>
      <c r="BC77" s="173"/>
      <c r="BD77" s="173"/>
      <c r="BE77" s="173"/>
      <c r="BF77" s="173"/>
      <c r="BG77" s="173"/>
      <c r="BH77" s="173"/>
      <c r="BI77" s="173"/>
      <c r="BJ77" s="173"/>
      <c r="BK77" s="173"/>
      <c r="BL77" s="173"/>
      <c r="BM77" s="173"/>
      <c r="BN77" s="173"/>
      <c r="BO77" s="173"/>
      <c r="BP77" s="173"/>
      <c r="BQ77" s="173"/>
      <c r="BR77" s="173"/>
      <c r="BS77" s="173"/>
      <c r="BT77" s="173"/>
      <c r="BU77" s="173"/>
      <c r="BV77" s="173"/>
      <c r="BW77" s="173"/>
      <c r="BX77" s="185"/>
      <c r="BY77" s="185"/>
      <c r="BZ77" s="185"/>
      <c r="CA77" s="329"/>
      <c r="CB77" s="185"/>
      <c r="CC77" s="185"/>
      <c r="CD77" s="185"/>
      <c r="CE77" s="185"/>
      <c r="CF77" s="329"/>
      <c r="CG77" s="185"/>
      <c r="CH77" s="330"/>
      <c r="CI77" s="185"/>
      <c r="CJ77" s="185"/>
      <c r="CK77" s="185"/>
      <c r="CL77" s="185"/>
      <c r="CM77" s="330"/>
      <c r="CN77" s="185"/>
      <c r="CO77" s="185"/>
      <c r="CP77" s="185"/>
      <c r="CQ77" s="185"/>
      <c r="CR77" s="330"/>
      <c r="CS77" s="185"/>
      <c r="CT77" s="185"/>
      <c r="CU77" s="185"/>
      <c r="CV77" s="185"/>
      <c r="CW77" s="185"/>
      <c r="CX77" s="185"/>
      <c r="CY77" s="185"/>
      <c r="CZ77" s="185"/>
      <c r="DA77" s="185"/>
      <c r="DB77" s="185"/>
      <c r="DC77" s="185"/>
      <c r="DD77" s="185"/>
      <c r="DE77" s="185"/>
      <c r="DF77" s="185"/>
      <c r="DG77" s="330"/>
      <c r="DH77" s="185"/>
      <c r="DI77" s="185"/>
      <c r="DJ77" s="185"/>
      <c r="DK77" s="185"/>
      <c r="DL77" s="185"/>
      <c r="DM77" s="185"/>
      <c r="DN77" s="329"/>
      <c r="DO77" s="185"/>
      <c r="DP77" s="185"/>
      <c r="DQ77" s="185"/>
      <c r="DR77" s="185"/>
      <c r="DS77" s="185"/>
      <c r="DT77" s="185"/>
      <c r="DU77" s="185"/>
      <c r="DV77" s="185"/>
      <c r="DW77" s="185"/>
      <c r="DX77" s="185"/>
      <c r="DY77" s="331"/>
      <c r="DZ77" s="174"/>
      <c r="EA77" s="174"/>
      <c r="EB77" s="174"/>
      <c r="EC77" s="174"/>
      <c r="ED77" s="174"/>
      <c r="EE77" s="332"/>
      <c r="EF77" s="332"/>
      <c r="EG77" s="332"/>
      <c r="EH77" s="332"/>
      <c r="EI77" s="126"/>
      <c r="EJ77" s="332"/>
      <c r="EK77" s="332"/>
      <c r="EL77" s="332"/>
      <c r="EM77" s="332"/>
      <c r="EN77" s="332"/>
      <c r="EO77" s="332"/>
      <c r="EP77" s="332"/>
      <c r="EQ77" s="332"/>
      <c r="ER77" s="332"/>
      <c r="ES77" s="332"/>
      <c r="ET77" s="331"/>
      <c r="EU77" s="331"/>
      <c r="EV77" s="331"/>
      <c r="EW77" s="332"/>
      <c r="EX77" s="332"/>
      <c r="EY77" s="332"/>
      <c r="EZ77" s="332"/>
      <c r="FA77" s="173"/>
      <c r="FB77" s="173"/>
      <c r="FC77" s="173"/>
      <c r="FD77" s="173"/>
      <c r="FE77" s="173"/>
      <c r="FF77" s="173"/>
      <c r="FG77" s="173"/>
      <c r="FH77" s="173"/>
      <c r="FI77" s="173"/>
      <c r="FJ77" s="174"/>
      <c r="FK77" s="174"/>
      <c r="FL77" s="174"/>
      <c r="FM77" s="330"/>
      <c r="FN77" s="185"/>
      <c r="FO77" s="185"/>
      <c r="FP77" s="185"/>
      <c r="FQ77" s="174"/>
      <c r="FR77" s="330"/>
      <c r="FS77" s="185"/>
      <c r="FT77" s="185"/>
      <c r="FU77" s="185"/>
      <c r="FV77" s="185"/>
      <c r="FW77" s="185"/>
      <c r="FX77" s="185"/>
      <c r="FY77" s="185"/>
      <c r="FZ77" s="185"/>
      <c r="GA77" s="126"/>
      <c r="GB77" s="284"/>
      <c r="GC77" s="284"/>
      <c r="GD77" s="284"/>
      <c r="GE77" s="284"/>
      <c r="GF77" s="95"/>
      <c r="GG77" s="95"/>
      <c r="GH77" s="284"/>
      <c r="GI77" s="67"/>
      <c r="GJ77" s="67"/>
      <c r="GK77" s="67"/>
      <c r="GL77" s="67"/>
      <c r="GM77" s="67"/>
      <c r="GN77" s="71"/>
      <c r="GO77" s="71"/>
      <c r="GP77" s="71"/>
      <c r="GQ77" s="71"/>
      <c r="GR77" s="70"/>
      <c r="GS77" s="70"/>
      <c r="GT77" s="70"/>
      <c r="GU77" s="70"/>
      <c r="GV77" s="70"/>
      <c r="GW77" s="70"/>
      <c r="GX77" s="73"/>
      <c r="GY77" s="74"/>
    </row>
    <row r="78" spans="1:207" s="75" customFormat="1">
      <c r="A78" s="95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85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328"/>
      <c r="Z78" s="328"/>
      <c r="AA78" s="328"/>
      <c r="AB78" s="328"/>
      <c r="AC78" s="328"/>
      <c r="AD78" s="185"/>
      <c r="AE78" s="185"/>
      <c r="AF78" s="185"/>
      <c r="AG78" s="185"/>
      <c r="AH78" s="185"/>
      <c r="AI78" s="185"/>
      <c r="AJ78" s="329"/>
      <c r="AK78" s="185"/>
      <c r="AL78" s="185"/>
      <c r="AM78" s="185"/>
      <c r="AN78" s="173"/>
      <c r="AO78" s="173"/>
      <c r="AP78" s="173"/>
      <c r="AQ78" s="173"/>
      <c r="AR78" s="173"/>
      <c r="AS78" s="173"/>
      <c r="AT78" s="173"/>
      <c r="AU78" s="173"/>
      <c r="AV78" s="173"/>
      <c r="AW78" s="173"/>
      <c r="AX78" s="173"/>
      <c r="AY78" s="173"/>
      <c r="AZ78" s="173"/>
      <c r="BA78" s="173"/>
      <c r="BB78" s="173"/>
      <c r="BC78" s="173"/>
      <c r="BD78" s="173"/>
      <c r="BE78" s="173"/>
      <c r="BF78" s="173"/>
      <c r="BG78" s="173"/>
      <c r="BH78" s="173"/>
      <c r="BI78" s="173"/>
      <c r="BJ78" s="173"/>
      <c r="BK78" s="173"/>
      <c r="BL78" s="173"/>
      <c r="BM78" s="173"/>
      <c r="BN78" s="173"/>
      <c r="BO78" s="173"/>
      <c r="BP78" s="173"/>
      <c r="BQ78" s="173"/>
      <c r="BR78" s="173"/>
      <c r="BS78" s="173"/>
      <c r="BT78" s="173"/>
      <c r="BU78" s="173"/>
      <c r="BV78" s="173"/>
      <c r="BW78" s="173"/>
      <c r="BX78" s="185"/>
      <c r="BY78" s="185"/>
      <c r="BZ78" s="185"/>
      <c r="CA78" s="329"/>
      <c r="CB78" s="185"/>
      <c r="CC78" s="185"/>
      <c r="CD78" s="185"/>
      <c r="CE78" s="185"/>
      <c r="CF78" s="329"/>
      <c r="CG78" s="185"/>
      <c r="CH78" s="330"/>
      <c r="CI78" s="185"/>
      <c r="CJ78" s="185"/>
      <c r="CK78" s="185"/>
      <c r="CL78" s="185"/>
      <c r="CM78" s="330"/>
      <c r="CN78" s="185"/>
      <c r="CO78" s="185"/>
      <c r="CP78" s="185"/>
      <c r="CQ78" s="185"/>
      <c r="CR78" s="330"/>
      <c r="CS78" s="185"/>
      <c r="CT78" s="185"/>
      <c r="CU78" s="185"/>
      <c r="CV78" s="185"/>
      <c r="CW78" s="185"/>
      <c r="CX78" s="185"/>
      <c r="CY78" s="185"/>
      <c r="CZ78" s="185"/>
      <c r="DA78" s="185"/>
      <c r="DB78" s="185"/>
      <c r="DC78" s="185"/>
      <c r="DD78" s="185"/>
      <c r="DE78" s="185"/>
      <c r="DF78" s="185"/>
      <c r="DG78" s="330"/>
      <c r="DH78" s="185"/>
      <c r="DI78" s="185"/>
      <c r="DJ78" s="185"/>
      <c r="DK78" s="185"/>
      <c r="DL78" s="185"/>
      <c r="DM78" s="185"/>
      <c r="DN78" s="329"/>
      <c r="DO78" s="185"/>
      <c r="DP78" s="185"/>
      <c r="DQ78" s="185"/>
      <c r="DR78" s="185"/>
      <c r="DS78" s="185"/>
      <c r="DT78" s="185"/>
      <c r="DU78" s="185"/>
      <c r="DV78" s="185"/>
      <c r="DW78" s="185"/>
      <c r="DX78" s="185"/>
      <c r="DY78" s="331"/>
      <c r="DZ78" s="174"/>
      <c r="EA78" s="174"/>
      <c r="EB78" s="174"/>
      <c r="EC78" s="174"/>
      <c r="ED78" s="174"/>
      <c r="EE78" s="332"/>
      <c r="EF78" s="332"/>
      <c r="EG78" s="332"/>
      <c r="EH78" s="332"/>
      <c r="EI78" s="126"/>
      <c r="EJ78" s="332"/>
      <c r="EK78" s="332"/>
      <c r="EL78" s="332"/>
      <c r="EM78" s="332"/>
      <c r="EN78" s="332"/>
      <c r="EO78" s="332"/>
      <c r="EP78" s="332"/>
      <c r="EQ78" s="332"/>
      <c r="ER78" s="332"/>
      <c r="ES78" s="332"/>
      <c r="ET78" s="331"/>
      <c r="EU78" s="331"/>
      <c r="EV78" s="331"/>
      <c r="EW78" s="332"/>
      <c r="EX78" s="332"/>
      <c r="EY78" s="332"/>
      <c r="EZ78" s="332"/>
      <c r="FA78" s="173"/>
      <c r="FB78" s="173"/>
      <c r="FC78" s="173"/>
      <c r="FD78" s="173"/>
      <c r="FE78" s="173"/>
      <c r="FF78" s="173"/>
      <c r="FG78" s="173"/>
      <c r="FH78" s="173"/>
      <c r="FI78" s="173"/>
      <c r="FJ78" s="174"/>
      <c r="FK78" s="174"/>
      <c r="FL78" s="174"/>
      <c r="FM78" s="330"/>
      <c r="FN78" s="185"/>
      <c r="FO78" s="185"/>
      <c r="FP78" s="185"/>
      <c r="FQ78" s="174"/>
      <c r="FR78" s="330"/>
      <c r="FS78" s="185"/>
      <c r="FT78" s="185"/>
      <c r="FU78" s="185"/>
      <c r="FV78" s="185"/>
      <c r="FW78" s="185"/>
      <c r="FX78" s="185"/>
      <c r="FY78" s="185"/>
      <c r="FZ78" s="185"/>
      <c r="GA78" s="126"/>
      <c r="GB78" s="284"/>
      <c r="GC78" s="284"/>
      <c r="GD78" s="284"/>
      <c r="GE78" s="284"/>
      <c r="GF78" s="95"/>
      <c r="GG78" s="95"/>
      <c r="GH78" s="284"/>
      <c r="GI78" s="67"/>
      <c r="GJ78" s="67"/>
      <c r="GK78" s="67"/>
      <c r="GL78" s="67"/>
      <c r="GM78" s="67"/>
      <c r="GN78" s="71"/>
      <c r="GO78" s="71"/>
      <c r="GP78" s="71"/>
      <c r="GQ78" s="71"/>
      <c r="GR78" s="70"/>
      <c r="GS78" s="70"/>
      <c r="GT78" s="70"/>
      <c r="GU78" s="70"/>
      <c r="GV78" s="70"/>
      <c r="GW78" s="70"/>
      <c r="GX78" s="73"/>
      <c r="GY78" s="74"/>
    </row>
    <row r="79" spans="1:207" s="75" customFormat="1">
      <c r="A79" s="95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85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328"/>
      <c r="Z79" s="328"/>
      <c r="AA79" s="328"/>
      <c r="AB79" s="328"/>
      <c r="AC79" s="328"/>
      <c r="AD79" s="185"/>
      <c r="AE79" s="185"/>
      <c r="AF79" s="185"/>
      <c r="AG79" s="185"/>
      <c r="AH79" s="185"/>
      <c r="AI79" s="185"/>
      <c r="AJ79" s="329"/>
      <c r="AK79" s="185"/>
      <c r="AL79" s="185"/>
      <c r="AM79" s="185"/>
      <c r="AN79" s="173"/>
      <c r="AO79" s="173"/>
      <c r="AP79" s="173"/>
      <c r="AQ79" s="173"/>
      <c r="AR79" s="173"/>
      <c r="AS79" s="173"/>
      <c r="AT79" s="173"/>
      <c r="AU79" s="173"/>
      <c r="AV79" s="173"/>
      <c r="AW79" s="173"/>
      <c r="AX79" s="173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  <c r="BJ79" s="173"/>
      <c r="BK79" s="173"/>
      <c r="BL79" s="173"/>
      <c r="BM79" s="173"/>
      <c r="BN79" s="173"/>
      <c r="BO79" s="173"/>
      <c r="BP79" s="173"/>
      <c r="BQ79" s="173"/>
      <c r="BR79" s="173"/>
      <c r="BS79" s="173"/>
      <c r="BT79" s="173"/>
      <c r="BU79" s="173"/>
      <c r="BV79" s="173"/>
      <c r="BW79" s="173"/>
      <c r="BX79" s="185"/>
      <c r="BY79" s="185"/>
      <c r="BZ79" s="185"/>
      <c r="CA79" s="329"/>
      <c r="CB79" s="185"/>
      <c r="CC79" s="185"/>
      <c r="CD79" s="185"/>
      <c r="CE79" s="185"/>
      <c r="CF79" s="329"/>
      <c r="CG79" s="185"/>
      <c r="CH79" s="330"/>
      <c r="CI79" s="185"/>
      <c r="CJ79" s="185"/>
      <c r="CK79" s="185"/>
      <c r="CL79" s="185"/>
      <c r="CM79" s="330"/>
      <c r="CN79" s="185"/>
      <c r="CO79" s="185"/>
      <c r="CP79" s="185"/>
      <c r="CQ79" s="185"/>
      <c r="CR79" s="330"/>
      <c r="CS79" s="185"/>
      <c r="CT79" s="185"/>
      <c r="CU79" s="185"/>
      <c r="CV79" s="185"/>
      <c r="CW79" s="185"/>
      <c r="CX79" s="185"/>
      <c r="CY79" s="185"/>
      <c r="CZ79" s="185"/>
      <c r="DA79" s="185"/>
      <c r="DB79" s="185"/>
      <c r="DC79" s="185"/>
      <c r="DD79" s="185"/>
      <c r="DE79" s="185"/>
      <c r="DF79" s="185"/>
      <c r="DG79" s="330"/>
      <c r="DH79" s="185"/>
      <c r="DI79" s="185"/>
      <c r="DJ79" s="185"/>
      <c r="DK79" s="185"/>
      <c r="DL79" s="185"/>
      <c r="DM79" s="185"/>
      <c r="DN79" s="329"/>
      <c r="DO79" s="185"/>
      <c r="DP79" s="185"/>
      <c r="DQ79" s="185"/>
      <c r="DR79" s="185"/>
      <c r="DS79" s="185"/>
      <c r="DT79" s="185"/>
      <c r="DU79" s="185"/>
      <c r="DV79" s="185"/>
      <c r="DW79" s="185"/>
      <c r="DX79" s="185"/>
      <c r="DY79" s="331"/>
      <c r="DZ79" s="174"/>
      <c r="EA79" s="174"/>
      <c r="EB79" s="174"/>
      <c r="EC79" s="174"/>
      <c r="ED79" s="174"/>
      <c r="EE79" s="332"/>
      <c r="EF79" s="332"/>
      <c r="EG79" s="332"/>
      <c r="EH79" s="332"/>
      <c r="EI79" s="126"/>
      <c r="EJ79" s="332"/>
      <c r="EK79" s="332"/>
      <c r="EL79" s="332"/>
      <c r="EM79" s="332"/>
      <c r="EN79" s="332"/>
      <c r="EO79" s="332"/>
      <c r="EP79" s="332"/>
      <c r="EQ79" s="332"/>
      <c r="ER79" s="332"/>
      <c r="ES79" s="332"/>
      <c r="ET79" s="331"/>
      <c r="EU79" s="331"/>
      <c r="EV79" s="331"/>
      <c r="EW79" s="332"/>
      <c r="EX79" s="332"/>
      <c r="EY79" s="332"/>
      <c r="EZ79" s="332"/>
      <c r="FA79" s="173"/>
      <c r="FB79" s="173"/>
      <c r="FC79" s="173"/>
      <c r="FD79" s="173"/>
      <c r="FE79" s="173"/>
      <c r="FF79" s="173"/>
      <c r="FG79" s="173"/>
      <c r="FH79" s="173"/>
      <c r="FI79" s="173"/>
      <c r="FJ79" s="174"/>
      <c r="FK79" s="174"/>
      <c r="FL79" s="174"/>
      <c r="FM79" s="330"/>
      <c r="FN79" s="185"/>
      <c r="FO79" s="185"/>
      <c r="FP79" s="185"/>
      <c r="FQ79" s="174"/>
      <c r="FR79" s="330"/>
      <c r="FS79" s="185"/>
      <c r="FT79" s="185"/>
      <c r="FU79" s="185"/>
      <c r="FV79" s="185"/>
      <c r="FW79" s="185"/>
      <c r="FX79" s="185"/>
      <c r="FY79" s="185"/>
      <c r="FZ79" s="185"/>
      <c r="GA79" s="126"/>
      <c r="GB79" s="284"/>
      <c r="GC79" s="284"/>
      <c r="GD79" s="284"/>
      <c r="GE79" s="284"/>
      <c r="GF79" s="95"/>
      <c r="GG79" s="95"/>
      <c r="GH79" s="284"/>
      <c r="GI79" s="67"/>
      <c r="GJ79" s="67"/>
      <c r="GK79" s="67"/>
      <c r="GL79" s="67"/>
      <c r="GM79" s="67"/>
      <c r="GN79" s="71"/>
      <c r="GO79" s="71"/>
      <c r="GP79" s="71"/>
      <c r="GQ79" s="71"/>
      <c r="GR79" s="70"/>
      <c r="GS79" s="70"/>
      <c r="GT79" s="70"/>
      <c r="GU79" s="70"/>
      <c r="GV79" s="70"/>
      <c r="GW79" s="70"/>
      <c r="GX79" s="73"/>
      <c r="GY79" s="74"/>
    </row>
    <row r="80" spans="1:207" s="75" customFormat="1">
      <c r="A80" s="95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85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328"/>
      <c r="Z80" s="328"/>
      <c r="AA80" s="328"/>
      <c r="AB80" s="328"/>
      <c r="AC80" s="328"/>
      <c r="AD80" s="185"/>
      <c r="AE80" s="185"/>
      <c r="AF80" s="185"/>
      <c r="AG80" s="185"/>
      <c r="AH80" s="185"/>
      <c r="AI80" s="185"/>
      <c r="AJ80" s="329"/>
      <c r="AK80" s="185"/>
      <c r="AL80" s="185"/>
      <c r="AM80" s="185"/>
      <c r="AN80" s="173"/>
      <c r="AO80" s="173"/>
      <c r="AP80" s="173"/>
      <c r="AQ80" s="173"/>
      <c r="AR80" s="173"/>
      <c r="AS80" s="173"/>
      <c r="AT80" s="173"/>
      <c r="AU80" s="173"/>
      <c r="AV80" s="173"/>
      <c r="AW80" s="173"/>
      <c r="AX80" s="173"/>
      <c r="AY80" s="173"/>
      <c r="AZ80" s="173"/>
      <c r="BA80" s="173"/>
      <c r="BB80" s="173"/>
      <c r="BC80" s="173"/>
      <c r="BD80" s="173"/>
      <c r="BE80" s="173"/>
      <c r="BF80" s="173"/>
      <c r="BG80" s="173"/>
      <c r="BH80" s="173"/>
      <c r="BI80" s="173"/>
      <c r="BJ80" s="173"/>
      <c r="BK80" s="173"/>
      <c r="BL80" s="173"/>
      <c r="BM80" s="173"/>
      <c r="BN80" s="173"/>
      <c r="BO80" s="173"/>
      <c r="BP80" s="173"/>
      <c r="BQ80" s="173"/>
      <c r="BR80" s="173"/>
      <c r="BS80" s="173"/>
      <c r="BT80" s="173"/>
      <c r="BU80" s="173"/>
      <c r="BV80" s="173"/>
      <c r="BW80" s="173"/>
      <c r="BX80" s="185"/>
      <c r="BY80" s="185"/>
      <c r="BZ80" s="185"/>
      <c r="CA80" s="329"/>
      <c r="CB80" s="185"/>
      <c r="CC80" s="185"/>
      <c r="CD80" s="185"/>
      <c r="CE80" s="185"/>
      <c r="CF80" s="329"/>
      <c r="CG80" s="185"/>
      <c r="CH80" s="330"/>
      <c r="CI80" s="185"/>
      <c r="CJ80" s="185"/>
      <c r="CK80" s="185"/>
      <c r="CL80" s="185"/>
      <c r="CM80" s="330"/>
      <c r="CN80" s="185"/>
      <c r="CO80" s="185"/>
      <c r="CP80" s="185"/>
      <c r="CQ80" s="185"/>
      <c r="CR80" s="330"/>
      <c r="CS80" s="185"/>
      <c r="CT80" s="185"/>
      <c r="CU80" s="185"/>
      <c r="CV80" s="185"/>
      <c r="CW80" s="185"/>
      <c r="CX80" s="185"/>
      <c r="CY80" s="185"/>
      <c r="CZ80" s="185"/>
      <c r="DA80" s="185"/>
      <c r="DB80" s="185"/>
      <c r="DC80" s="185"/>
      <c r="DD80" s="185"/>
      <c r="DE80" s="185"/>
      <c r="DF80" s="185"/>
      <c r="DG80" s="330"/>
      <c r="DH80" s="185"/>
      <c r="DI80" s="185"/>
      <c r="DJ80" s="185"/>
      <c r="DK80" s="185"/>
      <c r="DL80" s="185"/>
      <c r="DM80" s="185"/>
      <c r="DN80" s="329"/>
      <c r="DO80" s="185"/>
      <c r="DP80" s="185"/>
      <c r="DQ80" s="185"/>
      <c r="DR80" s="185"/>
      <c r="DS80" s="185"/>
      <c r="DT80" s="185"/>
      <c r="DU80" s="185"/>
      <c r="DV80" s="185"/>
      <c r="DW80" s="185"/>
      <c r="DX80" s="185"/>
      <c r="DY80" s="331"/>
      <c r="DZ80" s="174"/>
      <c r="EA80" s="174"/>
      <c r="EB80" s="174"/>
      <c r="EC80" s="174"/>
      <c r="ED80" s="174"/>
      <c r="EE80" s="332"/>
      <c r="EF80" s="332"/>
      <c r="EG80" s="332"/>
      <c r="EH80" s="332"/>
      <c r="EI80" s="126"/>
      <c r="EJ80" s="332"/>
      <c r="EK80" s="332"/>
      <c r="EL80" s="332"/>
      <c r="EM80" s="332"/>
      <c r="EN80" s="332"/>
      <c r="EO80" s="332"/>
      <c r="EP80" s="332"/>
      <c r="EQ80" s="332"/>
      <c r="ER80" s="332"/>
      <c r="ES80" s="332"/>
      <c r="ET80" s="331"/>
      <c r="EU80" s="331"/>
      <c r="EV80" s="331"/>
      <c r="EW80" s="332"/>
      <c r="EX80" s="332"/>
      <c r="EY80" s="332"/>
      <c r="EZ80" s="332"/>
      <c r="FA80" s="173"/>
      <c r="FB80" s="173"/>
      <c r="FC80" s="173"/>
      <c r="FD80" s="173"/>
      <c r="FE80" s="173"/>
      <c r="FF80" s="173"/>
      <c r="FG80" s="173"/>
      <c r="FH80" s="173"/>
      <c r="FI80" s="173"/>
      <c r="FJ80" s="174"/>
      <c r="FK80" s="174"/>
      <c r="FL80" s="174"/>
      <c r="FM80" s="330"/>
      <c r="FN80" s="185"/>
      <c r="FO80" s="185"/>
      <c r="FP80" s="185"/>
      <c r="FQ80" s="174"/>
      <c r="FR80" s="330"/>
      <c r="FS80" s="185"/>
      <c r="FT80" s="185"/>
      <c r="FU80" s="185"/>
      <c r="FV80" s="185"/>
      <c r="FW80" s="185"/>
      <c r="FX80" s="185"/>
      <c r="FY80" s="185"/>
      <c r="FZ80" s="185"/>
      <c r="GA80" s="126"/>
      <c r="GB80" s="284"/>
      <c r="GC80" s="284"/>
      <c r="GD80" s="284"/>
      <c r="GE80" s="284"/>
      <c r="GF80" s="95"/>
      <c r="GG80" s="95"/>
      <c r="GH80" s="284"/>
      <c r="GI80" s="67"/>
      <c r="GJ80" s="67"/>
      <c r="GK80" s="67"/>
      <c r="GL80" s="67"/>
      <c r="GM80" s="67"/>
      <c r="GN80" s="71"/>
      <c r="GO80" s="71"/>
      <c r="GP80" s="71"/>
      <c r="GQ80" s="71"/>
      <c r="GR80" s="70"/>
      <c r="GS80" s="70"/>
      <c r="GT80" s="70"/>
      <c r="GU80" s="70"/>
      <c r="GV80" s="70"/>
      <c r="GW80" s="70"/>
      <c r="GX80" s="73"/>
      <c r="GY80" s="74"/>
    </row>
    <row r="81" spans="1:207" s="75" customFormat="1">
      <c r="A81" s="95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85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328"/>
      <c r="Z81" s="328"/>
      <c r="AA81" s="328"/>
      <c r="AB81" s="328"/>
      <c r="AC81" s="328"/>
      <c r="AD81" s="185"/>
      <c r="AE81" s="185"/>
      <c r="AF81" s="185"/>
      <c r="AG81" s="185"/>
      <c r="AH81" s="185"/>
      <c r="AI81" s="185"/>
      <c r="AJ81" s="329"/>
      <c r="AK81" s="185"/>
      <c r="AL81" s="185"/>
      <c r="AM81" s="185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173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  <c r="BJ81" s="173"/>
      <c r="BK81" s="173"/>
      <c r="BL81" s="173"/>
      <c r="BM81" s="173"/>
      <c r="BN81" s="173"/>
      <c r="BO81" s="173"/>
      <c r="BP81" s="173"/>
      <c r="BQ81" s="173"/>
      <c r="BR81" s="173"/>
      <c r="BS81" s="173"/>
      <c r="BT81" s="173"/>
      <c r="BU81" s="173"/>
      <c r="BV81" s="173"/>
      <c r="BW81" s="173"/>
      <c r="BX81" s="185"/>
      <c r="BY81" s="185"/>
      <c r="BZ81" s="185"/>
      <c r="CA81" s="329"/>
      <c r="CB81" s="185"/>
      <c r="CC81" s="185"/>
      <c r="CD81" s="185"/>
      <c r="CE81" s="185"/>
      <c r="CF81" s="329"/>
      <c r="CG81" s="185"/>
      <c r="CH81" s="330"/>
      <c r="CI81" s="185"/>
      <c r="CJ81" s="185"/>
      <c r="CK81" s="185"/>
      <c r="CL81" s="185"/>
      <c r="CM81" s="330"/>
      <c r="CN81" s="185"/>
      <c r="CO81" s="185"/>
      <c r="CP81" s="185"/>
      <c r="CQ81" s="185"/>
      <c r="CR81" s="330"/>
      <c r="CS81" s="185"/>
      <c r="CT81" s="185"/>
      <c r="CU81" s="185"/>
      <c r="CV81" s="185"/>
      <c r="CW81" s="185"/>
      <c r="CX81" s="185"/>
      <c r="CY81" s="185"/>
      <c r="CZ81" s="185"/>
      <c r="DA81" s="185"/>
      <c r="DB81" s="185"/>
      <c r="DC81" s="185"/>
      <c r="DD81" s="185"/>
      <c r="DE81" s="185"/>
      <c r="DF81" s="185"/>
      <c r="DG81" s="330"/>
      <c r="DH81" s="185"/>
      <c r="DI81" s="185"/>
      <c r="DJ81" s="185"/>
      <c r="DK81" s="185"/>
      <c r="DL81" s="185"/>
      <c r="DM81" s="185"/>
      <c r="DN81" s="329"/>
      <c r="DO81" s="185"/>
      <c r="DP81" s="185"/>
      <c r="DQ81" s="185"/>
      <c r="DR81" s="185"/>
      <c r="DS81" s="185"/>
      <c r="DT81" s="185"/>
      <c r="DU81" s="185"/>
      <c r="DV81" s="185"/>
      <c r="DW81" s="185"/>
      <c r="DX81" s="185"/>
      <c r="DY81" s="331"/>
      <c r="DZ81" s="174"/>
      <c r="EA81" s="174"/>
      <c r="EB81" s="174"/>
      <c r="EC81" s="174"/>
      <c r="ED81" s="174"/>
      <c r="EE81" s="332"/>
      <c r="EF81" s="332"/>
      <c r="EG81" s="332"/>
      <c r="EH81" s="332"/>
      <c r="EI81" s="126"/>
      <c r="EJ81" s="332"/>
      <c r="EK81" s="332"/>
      <c r="EL81" s="332"/>
      <c r="EM81" s="332"/>
      <c r="EN81" s="332"/>
      <c r="EO81" s="332"/>
      <c r="EP81" s="332"/>
      <c r="EQ81" s="332"/>
      <c r="ER81" s="332"/>
      <c r="ES81" s="332"/>
      <c r="ET81" s="331"/>
      <c r="EU81" s="331"/>
      <c r="EV81" s="331"/>
      <c r="EW81" s="332"/>
      <c r="EX81" s="332"/>
      <c r="EY81" s="332"/>
      <c r="EZ81" s="332"/>
      <c r="FA81" s="173"/>
      <c r="FB81" s="173"/>
      <c r="FC81" s="173"/>
      <c r="FD81" s="173"/>
      <c r="FE81" s="173"/>
      <c r="FF81" s="173"/>
      <c r="FG81" s="173"/>
      <c r="FH81" s="173"/>
      <c r="FI81" s="173"/>
      <c r="FJ81" s="174"/>
      <c r="FK81" s="174"/>
      <c r="FL81" s="174"/>
      <c r="FM81" s="330"/>
      <c r="FN81" s="185"/>
      <c r="FO81" s="185"/>
      <c r="FP81" s="185"/>
      <c r="FQ81" s="174"/>
      <c r="FR81" s="330"/>
      <c r="FS81" s="185"/>
      <c r="FT81" s="185"/>
      <c r="FU81" s="185"/>
      <c r="FV81" s="185"/>
      <c r="FW81" s="185"/>
      <c r="FX81" s="185"/>
      <c r="FY81" s="185"/>
      <c r="FZ81" s="185"/>
      <c r="GA81" s="126"/>
      <c r="GB81" s="284"/>
      <c r="GC81" s="284"/>
      <c r="GD81" s="284"/>
      <c r="GE81" s="284"/>
      <c r="GF81" s="95"/>
      <c r="GG81" s="95"/>
      <c r="GH81" s="284"/>
      <c r="GI81" s="67"/>
      <c r="GJ81" s="67"/>
      <c r="GK81" s="67"/>
      <c r="GL81" s="67"/>
      <c r="GM81" s="67"/>
      <c r="GN81" s="71"/>
      <c r="GO81" s="71"/>
      <c r="GP81" s="71"/>
      <c r="GQ81" s="71"/>
      <c r="GR81" s="70"/>
      <c r="GS81" s="70"/>
      <c r="GT81" s="70"/>
      <c r="GU81" s="70"/>
      <c r="GV81" s="70"/>
      <c r="GW81" s="70"/>
      <c r="GX81" s="73"/>
      <c r="GY81" s="74"/>
    </row>
    <row r="82" spans="1:207" s="75" customFormat="1">
      <c r="A82" s="95"/>
      <c r="B82" s="17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85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328"/>
      <c r="Z82" s="328"/>
      <c r="AA82" s="328"/>
      <c r="AB82" s="328"/>
      <c r="AC82" s="328"/>
      <c r="AD82" s="185"/>
      <c r="AE82" s="185"/>
      <c r="AF82" s="185"/>
      <c r="AG82" s="185"/>
      <c r="AH82" s="185"/>
      <c r="AI82" s="185"/>
      <c r="AJ82" s="329"/>
      <c r="AK82" s="185"/>
      <c r="AL82" s="185"/>
      <c r="AM82" s="185"/>
      <c r="AN82" s="173"/>
      <c r="AO82" s="173"/>
      <c r="AP82" s="173"/>
      <c r="AQ82" s="173"/>
      <c r="AR82" s="173"/>
      <c r="AS82" s="173"/>
      <c r="AT82" s="173"/>
      <c r="AU82" s="173"/>
      <c r="AV82" s="173"/>
      <c r="AW82" s="173"/>
      <c r="AX82" s="173"/>
      <c r="AY82" s="173"/>
      <c r="AZ82" s="173"/>
      <c r="BA82" s="173"/>
      <c r="BB82" s="173"/>
      <c r="BC82" s="173"/>
      <c r="BD82" s="173"/>
      <c r="BE82" s="173"/>
      <c r="BF82" s="173"/>
      <c r="BG82" s="173"/>
      <c r="BH82" s="173"/>
      <c r="BI82" s="173"/>
      <c r="BJ82" s="173"/>
      <c r="BK82" s="173"/>
      <c r="BL82" s="173"/>
      <c r="BM82" s="173"/>
      <c r="BN82" s="173"/>
      <c r="BO82" s="173"/>
      <c r="BP82" s="173"/>
      <c r="BQ82" s="173"/>
      <c r="BR82" s="173"/>
      <c r="BS82" s="173"/>
      <c r="BT82" s="173"/>
      <c r="BU82" s="173"/>
      <c r="BV82" s="173"/>
      <c r="BW82" s="173"/>
      <c r="BX82" s="185"/>
      <c r="BY82" s="185"/>
      <c r="BZ82" s="185"/>
      <c r="CA82" s="329"/>
      <c r="CB82" s="185"/>
      <c r="CC82" s="185"/>
      <c r="CD82" s="185"/>
      <c r="CE82" s="185"/>
      <c r="CF82" s="329"/>
      <c r="CG82" s="185"/>
      <c r="CH82" s="330"/>
      <c r="CI82" s="185"/>
      <c r="CJ82" s="185"/>
      <c r="CK82" s="185"/>
      <c r="CL82" s="185"/>
      <c r="CM82" s="330"/>
      <c r="CN82" s="185"/>
      <c r="CO82" s="185"/>
      <c r="CP82" s="185"/>
      <c r="CQ82" s="185"/>
      <c r="CR82" s="330"/>
      <c r="CS82" s="185"/>
      <c r="CT82" s="185"/>
      <c r="CU82" s="185"/>
      <c r="CV82" s="185"/>
      <c r="CW82" s="185"/>
      <c r="CX82" s="185"/>
      <c r="CY82" s="185"/>
      <c r="CZ82" s="185"/>
      <c r="DA82" s="185"/>
      <c r="DB82" s="185"/>
      <c r="DC82" s="185"/>
      <c r="DD82" s="185"/>
      <c r="DE82" s="185"/>
      <c r="DF82" s="185"/>
      <c r="DG82" s="330"/>
      <c r="DH82" s="185"/>
      <c r="DI82" s="185"/>
      <c r="DJ82" s="185"/>
      <c r="DK82" s="185"/>
      <c r="DL82" s="185"/>
      <c r="DM82" s="185"/>
      <c r="DN82" s="329"/>
      <c r="DO82" s="185"/>
      <c r="DP82" s="185"/>
      <c r="DQ82" s="185"/>
      <c r="DR82" s="185"/>
      <c r="DS82" s="185"/>
      <c r="DT82" s="185"/>
      <c r="DU82" s="185"/>
      <c r="DV82" s="185"/>
      <c r="DW82" s="185"/>
      <c r="DX82" s="185"/>
      <c r="DY82" s="331"/>
      <c r="DZ82" s="174"/>
      <c r="EA82" s="174"/>
      <c r="EB82" s="174"/>
      <c r="EC82" s="174"/>
      <c r="ED82" s="174"/>
      <c r="EE82" s="332"/>
      <c r="EF82" s="332"/>
      <c r="EG82" s="332"/>
      <c r="EH82" s="332"/>
      <c r="EI82" s="126"/>
      <c r="EJ82" s="332"/>
      <c r="EK82" s="332"/>
      <c r="EL82" s="332"/>
      <c r="EM82" s="332"/>
      <c r="EN82" s="332"/>
      <c r="EO82" s="332"/>
      <c r="EP82" s="332"/>
      <c r="EQ82" s="332"/>
      <c r="ER82" s="332"/>
      <c r="ES82" s="332"/>
      <c r="ET82" s="331"/>
      <c r="EU82" s="331"/>
      <c r="EV82" s="331"/>
      <c r="EW82" s="332"/>
      <c r="EX82" s="332"/>
      <c r="EY82" s="332"/>
      <c r="EZ82" s="332"/>
      <c r="FA82" s="173"/>
      <c r="FB82" s="173"/>
      <c r="FC82" s="173"/>
      <c r="FD82" s="173"/>
      <c r="FE82" s="173"/>
      <c r="FF82" s="173"/>
      <c r="FG82" s="173"/>
      <c r="FH82" s="173"/>
      <c r="FI82" s="173"/>
      <c r="FJ82" s="174"/>
      <c r="FK82" s="174"/>
      <c r="FL82" s="174"/>
      <c r="FM82" s="330"/>
      <c r="FN82" s="185"/>
      <c r="FO82" s="185"/>
      <c r="FP82" s="185"/>
      <c r="FQ82" s="174"/>
      <c r="FR82" s="330"/>
      <c r="FS82" s="185"/>
      <c r="FT82" s="185"/>
      <c r="FU82" s="185"/>
      <c r="FV82" s="185"/>
      <c r="FW82" s="185"/>
      <c r="FX82" s="185"/>
      <c r="FY82" s="185"/>
      <c r="FZ82" s="185"/>
      <c r="GA82" s="126"/>
      <c r="GB82" s="284"/>
      <c r="GC82" s="284"/>
      <c r="GD82" s="284"/>
      <c r="GE82" s="284"/>
      <c r="GF82" s="95"/>
      <c r="GG82" s="95"/>
      <c r="GH82" s="284"/>
      <c r="GI82" s="67"/>
      <c r="GJ82" s="67"/>
      <c r="GK82" s="67"/>
      <c r="GL82" s="67"/>
      <c r="GM82" s="67"/>
      <c r="GN82" s="71"/>
      <c r="GO82" s="71"/>
      <c r="GP82" s="71"/>
      <c r="GQ82" s="71"/>
      <c r="GR82" s="70"/>
      <c r="GS82" s="70"/>
      <c r="GT82" s="70"/>
      <c r="GU82" s="70"/>
      <c r="GV82" s="70"/>
      <c r="GW82" s="70"/>
      <c r="GX82" s="73"/>
      <c r="GY82" s="74"/>
    </row>
    <row r="83" spans="1:207" s="75" customFormat="1">
      <c r="A83" s="95"/>
      <c r="B83" s="339"/>
      <c r="C83" s="339"/>
      <c r="D83" s="339"/>
      <c r="E83" s="339"/>
      <c r="F83" s="339"/>
      <c r="G83" s="339"/>
      <c r="H83" s="339"/>
      <c r="I83" s="339"/>
      <c r="J83" s="339"/>
      <c r="K83" s="339"/>
      <c r="L83" s="340"/>
      <c r="M83" s="339"/>
      <c r="N83" s="341"/>
      <c r="O83" s="341"/>
      <c r="P83" s="341"/>
      <c r="Q83" s="341"/>
      <c r="R83" s="341"/>
      <c r="S83" s="339"/>
      <c r="T83" s="342"/>
      <c r="U83" s="342"/>
      <c r="V83" s="342"/>
      <c r="W83" s="340"/>
      <c r="X83" s="343"/>
      <c r="Y83" s="340"/>
      <c r="Z83" s="340"/>
      <c r="AA83" s="340"/>
      <c r="AB83" s="340"/>
      <c r="AC83" s="340"/>
      <c r="AD83" s="340"/>
      <c r="AE83" s="340"/>
      <c r="AF83" s="340"/>
      <c r="AG83" s="339"/>
      <c r="AH83" s="339"/>
      <c r="AI83" s="339"/>
      <c r="AJ83" s="339"/>
      <c r="AK83" s="339"/>
      <c r="AL83" s="339"/>
      <c r="AM83" s="339"/>
      <c r="AN83" s="339"/>
      <c r="AO83" s="339"/>
      <c r="AP83" s="339"/>
      <c r="AQ83" s="339"/>
      <c r="AR83" s="339"/>
      <c r="AS83" s="339"/>
      <c r="AT83" s="339"/>
      <c r="AU83" s="339"/>
      <c r="AV83" s="339"/>
      <c r="AW83" s="339"/>
      <c r="AX83" s="339"/>
      <c r="AY83" s="339"/>
      <c r="AZ83" s="339"/>
      <c r="BA83" s="339"/>
      <c r="BB83" s="339"/>
      <c r="BC83" s="339"/>
      <c r="BD83" s="339"/>
      <c r="BE83" s="339"/>
      <c r="BF83" s="340"/>
      <c r="BG83" s="344"/>
      <c r="BH83" s="344"/>
      <c r="BI83" s="344"/>
      <c r="BJ83" s="344"/>
      <c r="BK83" s="340"/>
      <c r="BL83" s="345"/>
      <c r="BM83" s="340"/>
      <c r="BN83" s="340"/>
      <c r="BO83" s="340"/>
      <c r="BP83" s="340"/>
      <c r="BQ83" s="345"/>
      <c r="BR83" s="340"/>
      <c r="BS83" s="340"/>
      <c r="BT83" s="340"/>
      <c r="BU83" s="340"/>
      <c r="BV83" s="340"/>
      <c r="BW83" s="340"/>
      <c r="BX83" s="340"/>
      <c r="BY83" s="340"/>
      <c r="BZ83" s="340"/>
      <c r="CA83" s="340"/>
      <c r="CB83" s="340"/>
      <c r="CC83" s="345"/>
      <c r="CD83" s="340"/>
      <c r="CE83" s="340"/>
      <c r="CF83" s="340"/>
      <c r="CG83" s="346"/>
      <c r="CH83" s="340"/>
      <c r="CI83" s="346"/>
      <c r="CJ83" s="346"/>
      <c r="CK83" s="346"/>
      <c r="CL83" s="346"/>
      <c r="CM83" s="340"/>
      <c r="CN83" s="340"/>
      <c r="CO83" s="340"/>
      <c r="CP83" s="340"/>
      <c r="CQ83" s="340"/>
      <c r="CR83" s="340"/>
      <c r="CS83" s="340"/>
      <c r="CT83" s="260"/>
      <c r="CU83" s="260"/>
      <c r="CV83" s="260"/>
      <c r="CW83" s="260"/>
      <c r="CX83" s="260"/>
      <c r="CY83" s="260"/>
      <c r="CZ83" s="260"/>
      <c r="DA83" s="260"/>
      <c r="DB83" s="260"/>
      <c r="DC83" s="260"/>
      <c r="DD83" s="260"/>
      <c r="DE83" s="260"/>
      <c r="DF83" s="260"/>
      <c r="DG83" s="260"/>
      <c r="DH83" s="260"/>
      <c r="DI83" s="260"/>
      <c r="DJ83" s="260"/>
      <c r="DK83" s="347"/>
      <c r="DL83" s="347"/>
      <c r="DM83" s="347"/>
      <c r="DN83" s="347"/>
      <c r="DO83" s="347"/>
      <c r="DP83" s="348"/>
      <c r="DQ83" s="348"/>
      <c r="DR83" s="348"/>
      <c r="DS83" s="348"/>
      <c r="DT83" s="348"/>
      <c r="DU83" s="348"/>
      <c r="DV83" s="348"/>
      <c r="DW83" s="348"/>
      <c r="DX83" s="348"/>
      <c r="DY83" s="348"/>
      <c r="DZ83" s="348"/>
      <c r="EA83" s="348"/>
      <c r="EB83" s="348"/>
      <c r="EC83" s="349"/>
      <c r="ED83" s="350"/>
      <c r="EE83" s="350"/>
      <c r="EF83" s="350"/>
      <c r="EG83" s="350"/>
      <c r="EH83" s="349"/>
      <c r="EI83" s="349"/>
      <c r="EJ83" s="349"/>
      <c r="EK83" s="349"/>
      <c r="EL83" s="141"/>
      <c r="EM83" s="141"/>
      <c r="EN83" s="141"/>
      <c r="EO83" s="141"/>
      <c r="EP83" s="141"/>
      <c r="EQ83" s="141"/>
      <c r="ER83" s="141"/>
      <c r="ES83" s="141"/>
      <c r="ET83" s="174"/>
      <c r="EU83" s="66"/>
      <c r="EV83" s="174"/>
      <c r="EW83" s="175"/>
      <c r="EX83" s="66"/>
      <c r="EY83" s="66"/>
      <c r="EZ83" s="66"/>
      <c r="FA83" s="67"/>
      <c r="FB83" s="66"/>
      <c r="FC83" s="66"/>
      <c r="FD83" s="66"/>
      <c r="FE83" s="66"/>
      <c r="FF83" s="66"/>
      <c r="FG83" s="66"/>
      <c r="FH83" s="66"/>
      <c r="FI83" s="68"/>
      <c r="FJ83" s="69"/>
      <c r="FK83" s="70"/>
      <c r="FL83" s="70"/>
      <c r="FM83" s="70"/>
      <c r="FN83" s="70"/>
      <c r="FO83" s="69"/>
      <c r="FP83" s="71"/>
      <c r="FQ83" s="72"/>
      <c r="FR83" s="71"/>
      <c r="FS83" s="71"/>
      <c r="FT83" s="71"/>
      <c r="FU83" s="71"/>
      <c r="FV83" s="72"/>
      <c r="FW83" s="72"/>
      <c r="FX83" s="72"/>
      <c r="FY83" s="72"/>
      <c r="FZ83" s="72"/>
      <c r="GA83" s="67"/>
      <c r="GB83" s="284"/>
      <c r="GC83" s="284"/>
      <c r="GD83" s="284"/>
      <c r="GE83" s="284"/>
      <c r="GF83" s="284"/>
      <c r="GG83" s="284"/>
      <c r="GH83" s="284"/>
      <c r="GI83" s="67"/>
      <c r="GJ83" s="67"/>
      <c r="GK83" s="67"/>
      <c r="GL83" s="67"/>
      <c r="GM83" s="67"/>
      <c r="GN83" s="71"/>
      <c r="GO83" s="71"/>
      <c r="GP83" s="71"/>
      <c r="GQ83" s="71"/>
      <c r="GR83" s="70"/>
      <c r="GS83" s="70"/>
      <c r="GT83" s="70"/>
      <c r="GU83" s="70"/>
      <c r="GV83" s="70"/>
      <c r="GW83" s="70"/>
      <c r="GX83" s="73"/>
      <c r="GY83" s="74"/>
    </row>
    <row r="84" spans="1:207" s="75" customFormat="1">
      <c r="A84" s="95"/>
      <c r="B84" s="173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85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328"/>
      <c r="Z84" s="328"/>
      <c r="AA84" s="328"/>
      <c r="AB84" s="328"/>
      <c r="AC84" s="328"/>
      <c r="AD84" s="185"/>
      <c r="AE84" s="185"/>
      <c r="AF84" s="185"/>
      <c r="AG84" s="185"/>
      <c r="AH84" s="185"/>
      <c r="AI84" s="185"/>
      <c r="AJ84" s="329"/>
      <c r="AK84" s="185"/>
      <c r="AL84" s="185"/>
      <c r="AM84" s="185"/>
      <c r="AN84" s="173"/>
      <c r="AO84" s="173"/>
      <c r="AP84" s="173"/>
      <c r="AQ84" s="173"/>
      <c r="AR84" s="173"/>
      <c r="AS84" s="173"/>
      <c r="AT84" s="173"/>
      <c r="AU84" s="173"/>
      <c r="AV84" s="173"/>
      <c r="AW84" s="173"/>
      <c r="AX84" s="173"/>
      <c r="AY84" s="173"/>
      <c r="AZ84" s="173"/>
      <c r="BA84" s="173"/>
      <c r="BB84" s="173"/>
      <c r="BC84" s="173"/>
      <c r="BD84" s="173"/>
      <c r="BE84" s="173"/>
      <c r="BF84" s="173"/>
      <c r="BG84" s="173"/>
      <c r="BH84" s="173"/>
      <c r="BI84" s="173"/>
      <c r="BJ84" s="173"/>
      <c r="BK84" s="173"/>
      <c r="BL84" s="173"/>
      <c r="BM84" s="173"/>
      <c r="BN84" s="173"/>
      <c r="BO84" s="173"/>
      <c r="BP84" s="173"/>
      <c r="BQ84" s="173"/>
      <c r="BR84" s="173"/>
      <c r="BS84" s="173"/>
      <c r="BT84" s="173"/>
      <c r="BU84" s="173"/>
      <c r="BV84" s="173"/>
      <c r="BW84" s="173"/>
      <c r="BX84" s="185"/>
      <c r="BY84" s="185"/>
      <c r="BZ84" s="185"/>
      <c r="CA84" s="329"/>
      <c r="CB84" s="185"/>
      <c r="CC84" s="185"/>
      <c r="CD84" s="185"/>
      <c r="CE84" s="185"/>
      <c r="CF84" s="329"/>
      <c r="CG84" s="185"/>
      <c r="CH84" s="330"/>
      <c r="CI84" s="185"/>
      <c r="CJ84" s="185"/>
      <c r="CK84" s="185"/>
      <c r="CL84" s="185"/>
      <c r="CM84" s="330"/>
      <c r="CN84" s="185"/>
      <c r="CO84" s="185"/>
      <c r="CP84" s="185"/>
      <c r="CQ84" s="185"/>
      <c r="CR84" s="330"/>
      <c r="CS84" s="185"/>
      <c r="CT84" s="185"/>
      <c r="CU84" s="185"/>
      <c r="CV84" s="185"/>
      <c r="CW84" s="185"/>
      <c r="CX84" s="185"/>
      <c r="CY84" s="185"/>
      <c r="CZ84" s="185"/>
      <c r="DA84" s="185"/>
      <c r="DB84" s="185"/>
      <c r="DC84" s="185"/>
      <c r="DD84" s="185"/>
      <c r="DE84" s="185"/>
      <c r="DF84" s="185"/>
      <c r="DG84" s="330"/>
      <c r="DH84" s="185"/>
      <c r="DI84" s="185"/>
      <c r="DJ84" s="185"/>
      <c r="DK84" s="185"/>
      <c r="DL84" s="185"/>
      <c r="DM84" s="185"/>
      <c r="DN84" s="329"/>
      <c r="DO84" s="185"/>
      <c r="DP84" s="185"/>
      <c r="DQ84" s="185"/>
      <c r="DR84" s="185"/>
      <c r="DS84" s="185"/>
      <c r="DT84" s="185"/>
      <c r="DU84" s="185"/>
      <c r="DV84" s="185"/>
      <c r="DW84" s="185"/>
      <c r="DX84" s="185"/>
      <c r="DY84" s="331"/>
      <c r="DZ84" s="174"/>
      <c r="EA84" s="174"/>
      <c r="EB84" s="174"/>
      <c r="EC84" s="174"/>
      <c r="ED84" s="174"/>
      <c r="EE84" s="126"/>
      <c r="EF84" s="332"/>
      <c r="EG84" s="332"/>
      <c r="EH84" s="332"/>
      <c r="EI84" s="126"/>
      <c r="EJ84" s="332"/>
      <c r="EK84" s="332"/>
      <c r="EL84" s="332"/>
      <c r="EM84" s="332"/>
      <c r="EN84" s="332"/>
      <c r="EO84" s="332"/>
      <c r="EP84" s="332"/>
      <c r="EQ84" s="332"/>
      <c r="ER84" s="332"/>
      <c r="ES84" s="332"/>
      <c r="ET84" s="331"/>
      <c r="EU84" s="331"/>
      <c r="EV84" s="331"/>
      <c r="EW84" s="332"/>
      <c r="EX84" s="332"/>
      <c r="EY84" s="332"/>
      <c r="EZ84" s="332"/>
      <c r="FA84" s="173"/>
      <c r="FB84" s="173"/>
      <c r="FC84" s="173"/>
      <c r="FD84" s="173"/>
      <c r="FE84" s="173"/>
      <c r="FF84" s="173"/>
      <c r="FG84" s="173"/>
      <c r="FH84" s="173"/>
      <c r="FI84" s="173"/>
      <c r="FJ84" s="174"/>
      <c r="FK84" s="174"/>
      <c r="FL84" s="174"/>
      <c r="FM84" s="330"/>
      <c r="FN84" s="185"/>
      <c r="FO84" s="185"/>
      <c r="FP84" s="185"/>
      <c r="FQ84" s="174"/>
      <c r="FR84" s="330"/>
      <c r="FS84" s="185"/>
      <c r="FT84" s="185"/>
      <c r="FU84" s="185"/>
      <c r="FV84" s="185"/>
      <c r="FW84" s="185"/>
      <c r="FX84" s="185"/>
      <c r="FY84" s="185"/>
      <c r="FZ84" s="185"/>
      <c r="GA84" s="67"/>
      <c r="GB84" s="284"/>
      <c r="GC84" s="284"/>
      <c r="GD84" s="284"/>
      <c r="GE84" s="284"/>
      <c r="GF84" s="284"/>
      <c r="GG84" s="284"/>
      <c r="GH84" s="284"/>
      <c r="GI84" s="67"/>
      <c r="GJ84" s="67"/>
      <c r="GK84" s="67"/>
      <c r="GL84" s="67"/>
      <c r="GM84" s="67"/>
      <c r="GN84" s="71"/>
      <c r="GO84" s="71"/>
      <c r="GP84" s="71"/>
      <c r="GQ84" s="71"/>
      <c r="GR84" s="70"/>
      <c r="GS84" s="70"/>
      <c r="GT84" s="70"/>
      <c r="GU84" s="70"/>
      <c r="GV84" s="70"/>
      <c r="GW84" s="70"/>
      <c r="GX84" s="73"/>
      <c r="GY84" s="74"/>
    </row>
    <row r="85" spans="1:207" s="75" customFormat="1">
      <c r="A85" s="95"/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85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328"/>
      <c r="Z85" s="328"/>
      <c r="AA85" s="328"/>
      <c r="AB85" s="328"/>
      <c r="AC85" s="328"/>
      <c r="AD85" s="185"/>
      <c r="AE85" s="185"/>
      <c r="AF85" s="185"/>
      <c r="AG85" s="185"/>
      <c r="AH85" s="185"/>
      <c r="AI85" s="185"/>
      <c r="AJ85" s="329"/>
      <c r="AK85" s="185"/>
      <c r="AL85" s="185"/>
      <c r="AM85" s="185"/>
      <c r="AN85" s="173"/>
      <c r="AO85" s="173"/>
      <c r="AP85" s="173"/>
      <c r="AQ85" s="173"/>
      <c r="AR85" s="173"/>
      <c r="AS85" s="173"/>
      <c r="AT85" s="173"/>
      <c r="AU85" s="173"/>
      <c r="AV85" s="173"/>
      <c r="AW85" s="173"/>
      <c r="AX85" s="173"/>
      <c r="AY85" s="173"/>
      <c r="AZ85" s="173"/>
      <c r="BA85" s="173"/>
      <c r="BB85" s="173"/>
      <c r="BC85" s="173"/>
      <c r="BD85" s="173"/>
      <c r="BE85" s="173"/>
      <c r="BF85" s="173"/>
      <c r="BG85" s="173"/>
      <c r="BH85" s="173"/>
      <c r="BI85" s="173"/>
      <c r="BJ85" s="173"/>
      <c r="BK85" s="173"/>
      <c r="BL85" s="173"/>
      <c r="BM85" s="173"/>
      <c r="BN85" s="173"/>
      <c r="BO85" s="173"/>
      <c r="BP85" s="173"/>
      <c r="BQ85" s="173"/>
      <c r="BR85" s="173"/>
      <c r="BS85" s="173"/>
      <c r="BT85" s="173"/>
      <c r="BU85" s="173"/>
      <c r="BV85" s="173"/>
      <c r="BW85" s="173"/>
      <c r="BX85" s="185"/>
      <c r="BY85" s="185"/>
      <c r="BZ85" s="185"/>
      <c r="CA85" s="329"/>
      <c r="CB85" s="185"/>
      <c r="CC85" s="185"/>
      <c r="CD85" s="185"/>
      <c r="CE85" s="185"/>
      <c r="CF85" s="329"/>
      <c r="CG85" s="185"/>
      <c r="CH85" s="330"/>
      <c r="CI85" s="185"/>
      <c r="CJ85" s="185"/>
      <c r="CK85" s="185"/>
      <c r="CL85" s="185"/>
      <c r="CM85" s="330"/>
      <c r="CN85" s="185"/>
      <c r="CO85" s="185"/>
      <c r="CP85" s="185"/>
      <c r="CQ85" s="185"/>
      <c r="CR85" s="330"/>
      <c r="CS85" s="185"/>
      <c r="CT85" s="185"/>
      <c r="CU85" s="185"/>
      <c r="CV85" s="185"/>
      <c r="CW85" s="185"/>
      <c r="CX85" s="185"/>
      <c r="CY85" s="185"/>
      <c r="CZ85" s="185"/>
      <c r="DA85" s="185"/>
      <c r="DB85" s="185"/>
      <c r="DC85" s="185"/>
      <c r="DD85" s="185"/>
      <c r="DE85" s="185"/>
      <c r="DF85" s="185"/>
      <c r="DG85" s="330"/>
      <c r="DH85" s="185"/>
      <c r="DI85" s="185"/>
      <c r="DJ85" s="185"/>
      <c r="DK85" s="185"/>
      <c r="DL85" s="185"/>
      <c r="DM85" s="185"/>
      <c r="DN85" s="329"/>
      <c r="DO85" s="185"/>
      <c r="DP85" s="185"/>
      <c r="DQ85" s="185"/>
      <c r="DR85" s="185"/>
      <c r="DS85" s="185"/>
      <c r="DT85" s="185"/>
      <c r="DU85" s="185"/>
      <c r="DV85" s="185"/>
      <c r="DW85" s="185"/>
      <c r="DX85" s="185"/>
      <c r="DY85" s="331"/>
      <c r="DZ85" s="174"/>
      <c r="EA85" s="174"/>
      <c r="EB85" s="174"/>
      <c r="EC85" s="174"/>
      <c r="ED85" s="174"/>
      <c r="EE85" s="126"/>
      <c r="EF85" s="332"/>
      <c r="EG85" s="332"/>
      <c r="EH85" s="332"/>
      <c r="EI85" s="126"/>
      <c r="EJ85" s="332"/>
      <c r="EK85" s="332"/>
      <c r="EL85" s="332"/>
      <c r="EM85" s="332"/>
      <c r="EN85" s="332"/>
      <c r="EO85" s="332"/>
      <c r="EP85" s="332"/>
      <c r="EQ85" s="332"/>
      <c r="ER85" s="332"/>
      <c r="ES85" s="332"/>
      <c r="ET85" s="331"/>
      <c r="EU85" s="331"/>
      <c r="EV85" s="331"/>
      <c r="EW85" s="332"/>
      <c r="EX85" s="332"/>
      <c r="EY85" s="332"/>
      <c r="EZ85" s="332"/>
      <c r="FA85" s="173"/>
      <c r="FB85" s="173"/>
      <c r="FC85" s="173"/>
      <c r="FD85" s="173"/>
      <c r="FE85" s="173"/>
      <c r="FF85" s="173"/>
      <c r="FG85" s="173"/>
      <c r="FH85" s="173"/>
      <c r="FI85" s="173"/>
      <c r="FJ85" s="174"/>
      <c r="FK85" s="174"/>
      <c r="FL85" s="174"/>
      <c r="FM85" s="330"/>
      <c r="FN85" s="185"/>
      <c r="FO85" s="185"/>
      <c r="FP85" s="185"/>
      <c r="FQ85" s="174"/>
      <c r="FR85" s="330"/>
      <c r="FS85" s="185"/>
      <c r="FT85" s="185"/>
      <c r="FU85" s="185"/>
      <c r="FV85" s="185"/>
      <c r="FW85" s="185"/>
      <c r="FX85" s="185"/>
      <c r="FY85" s="185"/>
      <c r="FZ85" s="185"/>
      <c r="GA85" s="67"/>
      <c r="GB85" s="284"/>
      <c r="GC85" s="284"/>
      <c r="GD85" s="284"/>
      <c r="GE85" s="284"/>
      <c r="GF85" s="284"/>
      <c r="GG85" s="284"/>
      <c r="GH85" s="284"/>
      <c r="GI85" s="67"/>
      <c r="GJ85" s="67"/>
      <c r="GK85" s="67"/>
      <c r="GL85" s="67"/>
      <c r="GM85" s="67"/>
      <c r="GN85" s="71"/>
      <c r="GO85" s="71"/>
      <c r="GP85" s="71"/>
      <c r="GQ85" s="71"/>
      <c r="GR85" s="70"/>
      <c r="GS85" s="70"/>
      <c r="GT85" s="70"/>
      <c r="GU85" s="70"/>
      <c r="GV85" s="70"/>
      <c r="GW85" s="70"/>
      <c r="GX85" s="73"/>
      <c r="GY85" s="74"/>
    </row>
    <row r="86" spans="1:207" s="75" customFormat="1">
      <c r="A86" s="95"/>
      <c r="B86" s="173"/>
      <c r="C86" s="173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85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328"/>
      <c r="Z86" s="328"/>
      <c r="AA86" s="328"/>
      <c r="AB86" s="328"/>
      <c r="AC86" s="328"/>
      <c r="AD86" s="185"/>
      <c r="AE86" s="185"/>
      <c r="AF86" s="185"/>
      <c r="AG86" s="185"/>
      <c r="AH86" s="185"/>
      <c r="AI86" s="185"/>
      <c r="AJ86" s="329"/>
      <c r="AK86" s="185"/>
      <c r="AL86" s="185"/>
      <c r="AM86" s="185"/>
      <c r="AN86" s="173"/>
      <c r="AO86" s="173"/>
      <c r="AP86" s="173"/>
      <c r="AQ86" s="173"/>
      <c r="AR86" s="173"/>
      <c r="AS86" s="173"/>
      <c r="AT86" s="173"/>
      <c r="AU86" s="173"/>
      <c r="AV86" s="173"/>
      <c r="AW86" s="173"/>
      <c r="AX86" s="173"/>
      <c r="AY86" s="173"/>
      <c r="AZ86" s="173"/>
      <c r="BA86" s="173"/>
      <c r="BB86" s="173"/>
      <c r="BC86" s="173"/>
      <c r="BD86" s="173"/>
      <c r="BE86" s="173"/>
      <c r="BF86" s="173"/>
      <c r="BG86" s="173"/>
      <c r="BH86" s="173"/>
      <c r="BI86" s="173"/>
      <c r="BJ86" s="173"/>
      <c r="BK86" s="173"/>
      <c r="BL86" s="173"/>
      <c r="BM86" s="173"/>
      <c r="BN86" s="173"/>
      <c r="BO86" s="173"/>
      <c r="BP86" s="173"/>
      <c r="BQ86" s="173"/>
      <c r="BR86" s="173"/>
      <c r="BS86" s="173"/>
      <c r="BT86" s="173"/>
      <c r="BU86" s="173"/>
      <c r="BV86" s="173"/>
      <c r="BW86" s="173"/>
      <c r="BX86" s="185"/>
      <c r="BY86" s="185"/>
      <c r="BZ86" s="185"/>
      <c r="CA86" s="329"/>
      <c r="CB86" s="185"/>
      <c r="CC86" s="185"/>
      <c r="CD86" s="185"/>
      <c r="CE86" s="185"/>
      <c r="CF86" s="329"/>
      <c r="CG86" s="185"/>
      <c r="CH86" s="330"/>
      <c r="CI86" s="185"/>
      <c r="CJ86" s="185"/>
      <c r="CK86" s="185"/>
      <c r="CL86" s="185"/>
      <c r="CM86" s="330"/>
      <c r="CN86" s="185"/>
      <c r="CO86" s="185"/>
      <c r="CP86" s="185"/>
      <c r="CQ86" s="185"/>
      <c r="CR86" s="330"/>
      <c r="CS86" s="185"/>
      <c r="CT86" s="185"/>
      <c r="CU86" s="185"/>
      <c r="CV86" s="185"/>
      <c r="CW86" s="185"/>
      <c r="CX86" s="185"/>
      <c r="CY86" s="185"/>
      <c r="CZ86" s="185"/>
      <c r="DA86" s="185"/>
      <c r="DB86" s="185"/>
      <c r="DC86" s="185"/>
      <c r="DD86" s="185"/>
      <c r="DE86" s="185"/>
      <c r="DF86" s="185"/>
      <c r="DG86" s="330"/>
      <c r="DH86" s="185"/>
      <c r="DI86" s="185"/>
      <c r="DJ86" s="185"/>
      <c r="DK86" s="185"/>
      <c r="DL86" s="185"/>
      <c r="DM86" s="185"/>
      <c r="DN86" s="329"/>
      <c r="DO86" s="185"/>
      <c r="DP86" s="185"/>
      <c r="DQ86" s="185"/>
      <c r="DR86" s="185"/>
      <c r="DS86" s="185"/>
      <c r="DT86" s="185"/>
      <c r="DU86" s="185"/>
      <c r="DV86" s="185"/>
      <c r="DW86" s="185"/>
      <c r="DX86" s="185"/>
      <c r="DY86" s="331"/>
      <c r="DZ86" s="174"/>
      <c r="EA86" s="174"/>
      <c r="EB86" s="174"/>
      <c r="EC86" s="174"/>
      <c r="ED86" s="174"/>
      <c r="EE86" s="126"/>
      <c r="EF86" s="332"/>
      <c r="EG86" s="332"/>
      <c r="EH86" s="332"/>
      <c r="EI86" s="126"/>
      <c r="EJ86" s="332"/>
      <c r="EK86" s="332"/>
      <c r="EL86" s="332"/>
      <c r="EM86" s="332"/>
      <c r="EN86" s="332"/>
      <c r="EO86" s="332"/>
      <c r="EP86" s="332"/>
      <c r="EQ86" s="332"/>
      <c r="ER86" s="332"/>
      <c r="ES86" s="332"/>
      <c r="ET86" s="331"/>
      <c r="EU86" s="331"/>
      <c r="EV86" s="331"/>
      <c r="EW86" s="332"/>
      <c r="EX86" s="332"/>
      <c r="EY86" s="332"/>
      <c r="EZ86" s="332"/>
      <c r="FA86" s="173"/>
      <c r="FB86" s="173"/>
      <c r="FC86" s="173"/>
      <c r="FD86" s="173"/>
      <c r="FE86" s="173"/>
      <c r="FF86" s="173"/>
      <c r="FG86" s="173"/>
      <c r="FH86" s="173"/>
      <c r="FI86" s="173"/>
      <c r="FJ86" s="174"/>
      <c r="FK86" s="174"/>
      <c r="FL86" s="174"/>
      <c r="FM86" s="330"/>
      <c r="FN86" s="185"/>
      <c r="FO86" s="185"/>
      <c r="FP86" s="185"/>
      <c r="FQ86" s="174"/>
      <c r="FR86" s="330"/>
      <c r="FS86" s="185"/>
      <c r="FT86" s="185"/>
      <c r="FU86" s="185"/>
      <c r="FV86" s="185"/>
      <c r="FW86" s="185"/>
      <c r="FX86" s="185"/>
      <c r="FY86" s="185"/>
      <c r="FZ86" s="185"/>
      <c r="GA86" s="67"/>
      <c r="GB86" s="284"/>
      <c r="GC86" s="284"/>
      <c r="GD86" s="284"/>
      <c r="GE86" s="284"/>
      <c r="GF86" s="284"/>
      <c r="GG86" s="284"/>
      <c r="GH86" s="284"/>
      <c r="GI86" s="67"/>
      <c r="GJ86" s="67"/>
      <c r="GK86" s="67"/>
      <c r="GL86" s="67"/>
      <c r="GM86" s="67"/>
      <c r="GN86" s="71"/>
      <c r="GO86" s="71"/>
      <c r="GP86" s="71"/>
      <c r="GQ86" s="71"/>
      <c r="GR86" s="70"/>
      <c r="GS86" s="70"/>
      <c r="GT86" s="70"/>
      <c r="GU86" s="70"/>
      <c r="GV86" s="70"/>
      <c r="GW86" s="70"/>
      <c r="GX86" s="73"/>
      <c r="GY86" s="74"/>
    </row>
    <row r="87" spans="1:207" s="75" customFormat="1">
      <c r="A87" s="95"/>
      <c r="B87" s="173"/>
      <c r="C87" s="173"/>
      <c r="D87" s="173"/>
      <c r="E87" s="173"/>
      <c r="F87" s="173"/>
      <c r="G87" s="173"/>
      <c r="H87" s="173"/>
      <c r="I87" s="173"/>
      <c r="J87" s="173"/>
      <c r="K87" s="173"/>
      <c r="L87" s="173"/>
      <c r="M87" s="173"/>
      <c r="N87" s="185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328"/>
      <c r="Z87" s="328"/>
      <c r="AA87" s="328"/>
      <c r="AB87" s="328"/>
      <c r="AC87" s="328"/>
      <c r="AD87" s="185"/>
      <c r="AE87" s="185"/>
      <c r="AF87" s="185"/>
      <c r="AG87" s="185"/>
      <c r="AH87" s="185"/>
      <c r="AI87" s="185"/>
      <c r="AJ87" s="329"/>
      <c r="AK87" s="185"/>
      <c r="AL87" s="185"/>
      <c r="AM87" s="185"/>
      <c r="AN87" s="173"/>
      <c r="AO87" s="173"/>
      <c r="AP87" s="173"/>
      <c r="AQ87" s="173"/>
      <c r="AR87" s="173"/>
      <c r="AS87" s="173"/>
      <c r="AT87" s="173"/>
      <c r="AU87" s="173"/>
      <c r="AV87" s="173"/>
      <c r="AW87" s="173"/>
      <c r="AX87" s="173"/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  <c r="BJ87" s="173"/>
      <c r="BK87" s="173"/>
      <c r="BL87" s="173"/>
      <c r="BM87" s="173"/>
      <c r="BN87" s="173"/>
      <c r="BO87" s="173"/>
      <c r="BP87" s="173"/>
      <c r="BQ87" s="173"/>
      <c r="BR87" s="173"/>
      <c r="BS87" s="173"/>
      <c r="BT87" s="173"/>
      <c r="BU87" s="173"/>
      <c r="BV87" s="173"/>
      <c r="BW87" s="173"/>
      <c r="BX87" s="185"/>
      <c r="BY87" s="185"/>
      <c r="BZ87" s="185"/>
      <c r="CA87" s="329"/>
      <c r="CB87" s="185"/>
      <c r="CC87" s="185"/>
      <c r="CD87" s="185"/>
      <c r="CE87" s="185"/>
      <c r="CF87" s="329"/>
      <c r="CG87" s="185"/>
      <c r="CH87" s="330"/>
      <c r="CI87" s="185"/>
      <c r="CJ87" s="185"/>
      <c r="CK87" s="185"/>
      <c r="CL87" s="185"/>
      <c r="CM87" s="330"/>
      <c r="CN87" s="185"/>
      <c r="CO87" s="185"/>
      <c r="CP87" s="185"/>
      <c r="CQ87" s="185"/>
      <c r="CR87" s="330"/>
      <c r="CS87" s="185"/>
      <c r="CT87" s="185"/>
      <c r="CU87" s="185"/>
      <c r="CV87" s="185"/>
      <c r="CW87" s="185"/>
      <c r="CX87" s="185"/>
      <c r="CY87" s="185"/>
      <c r="CZ87" s="185"/>
      <c r="DA87" s="185"/>
      <c r="DB87" s="185"/>
      <c r="DC87" s="185"/>
      <c r="DD87" s="185"/>
      <c r="DE87" s="185"/>
      <c r="DF87" s="185"/>
      <c r="DG87" s="330"/>
      <c r="DH87" s="185"/>
      <c r="DI87" s="185"/>
      <c r="DJ87" s="185"/>
      <c r="DK87" s="185"/>
      <c r="DL87" s="185"/>
      <c r="DM87" s="185"/>
      <c r="DN87" s="329"/>
      <c r="DO87" s="185"/>
      <c r="DP87" s="185"/>
      <c r="DQ87" s="185"/>
      <c r="DR87" s="185"/>
      <c r="DS87" s="185"/>
      <c r="DT87" s="185"/>
      <c r="DU87" s="185"/>
      <c r="DV87" s="185"/>
      <c r="DW87" s="185"/>
      <c r="DX87" s="185"/>
      <c r="DY87" s="331"/>
      <c r="DZ87" s="174"/>
      <c r="EA87" s="174"/>
      <c r="EB87" s="174"/>
      <c r="EC87" s="174"/>
      <c r="ED87" s="174"/>
      <c r="EE87" s="126"/>
      <c r="EF87" s="332"/>
      <c r="EG87" s="332"/>
      <c r="EH87" s="332"/>
      <c r="EI87" s="126"/>
      <c r="EJ87" s="332"/>
      <c r="EK87" s="332"/>
      <c r="EL87" s="332"/>
      <c r="EM87" s="332"/>
      <c r="EN87" s="332"/>
      <c r="EO87" s="332"/>
      <c r="EP87" s="332"/>
      <c r="EQ87" s="332"/>
      <c r="ER87" s="332"/>
      <c r="ES87" s="332"/>
      <c r="ET87" s="331"/>
      <c r="EU87" s="331"/>
      <c r="EV87" s="331"/>
      <c r="EW87" s="332"/>
      <c r="EX87" s="332"/>
      <c r="EY87" s="332"/>
      <c r="EZ87" s="332"/>
      <c r="FA87" s="173"/>
      <c r="FB87" s="173"/>
      <c r="FC87" s="173"/>
      <c r="FD87" s="173"/>
      <c r="FE87" s="173"/>
      <c r="FF87" s="173"/>
      <c r="FG87" s="173"/>
      <c r="FH87" s="173"/>
      <c r="FI87" s="173"/>
      <c r="FJ87" s="174"/>
      <c r="FK87" s="174"/>
      <c r="FL87" s="174"/>
      <c r="FM87" s="330"/>
      <c r="FN87" s="185"/>
      <c r="FO87" s="185"/>
      <c r="FP87" s="185"/>
      <c r="FQ87" s="174"/>
      <c r="FR87" s="330"/>
      <c r="FS87" s="185"/>
      <c r="FT87" s="185"/>
      <c r="FU87" s="185"/>
      <c r="FV87" s="185"/>
      <c r="FW87" s="185"/>
      <c r="FX87" s="185"/>
      <c r="FY87" s="185"/>
      <c r="FZ87" s="185"/>
      <c r="GA87" s="67"/>
      <c r="GB87" s="284"/>
      <c r="GC87" s="284"/>
      <c r="GD87" s="284"/>
      <c r="GE87" s="284"/>
      <c r="GF87" s="284"/>
      <c r="GG87" s="284"/>
      <c r="GH87" s="284"/>
      <c r="GI87" s="67"/>
      <c r="GJ87" s="67"/>
      <c r="GK87" s="67"/>
      <c r="GL87" s="67"/>
      <c r="GM87" s="67"/>
      <c r="GN87" s="71"/>
      <c r="GO87" s="71"/>
      <c r="GP87" s="71"/>
      <c r="GQ87" s="71"/>
      <c r="GR87" s="70"/>
      <c r="GS87" s="70"/>
      <c r="GT87" s="70"/>
      <c r="GU87" s="70"/>
      <c r="GV87" s="70"/>
      <c r="GW87" s="70"/>
      <c r="GX87" s="73"/>
      <c r="GY87" s="74"/>
    </row>
    <row r="88" spans="1:207" s="75" customFormat="1">
      <c r="A88" s="95"/>
      <c r="B88" s="173"/>
      <c r="C88" s="173"/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85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328"/>
      <c r="Z88" s="328"/>
      <c r="AA88" s="328"/>
      <c r="AB88" s="328"/>
      <c r="AC88" s="328"/>
      <c r="AD88" s="185"/>
      <c r="AE88" s="185"/>
      <c r="AF88" s="185"/>
      <c r="AG88" s="185"/>
      <c r="AH88" s="185"/>
      <c r="AI88" s="185"/>
      <c r="AJ88" s="329"/>
      <c r="AK88" s="185"/>
      <c r="AL88" s="185"/>
      <c r="AM88" s="185"/>
      <c r="AN88" s="173"/>
      <c r="AO88" s="173"/>
      <c r="AP88" s="173"/>
      <c r="AQ88" s="173"/>
      <c r="AR88" s="173"/>
      <c r="AS88" s="173"/>
      <c r="AT88" s="173"/>
      <c r="AU88" s="173"/>
      <c r="AV88" s="173"/>
      <c r="AW88" s="173"/>
      <c r="AX88" s="173"/>
      <c r="AY88" s="173"/>
      <c r="AZ88" s="173"/>
      <c r="BA88" s="173"/>
      <c r="BB88" s="173"/>
      <c r="BC88" s="173"/>
      <c r="BD88" s="173"/>
      <c r="BE88" s="173"/>
      <c r="BF88" s="173"/>
      <c r="BG88" s="173"/>
      <c r="BH88" s="173"/>
      <c r="BI88" s="173"/>
      <c r="BJ88" s="173"/>
      <c r="BK88" s="173"/>
      <c r="BL88" s="173"/>
      <c r="BM88" s="173"/>
      <c r="BN88" s="173"/>
      <c r="BO88" s="173"/>
      <c r="BP88" s="173"/>
      <c r="BQ88" s="173"/>
      <c r="BR88" s="173"/>
      <c r="BS88" s="173"/>
      <c r="BT88" s="173"/>
      <c r="BU88" s="173"/>
      <c r="BV88" s="173"/>
      <c r="BW88" s="173"/>
      <c r="BX88" s="185"/>
      <c r="BY88" s="185"/>
      <c r="BZ88" s="185"/>
      <c r="CA88" s="329"/>
      <c r="CB88" s="185"/>
      <c r="CC88" s="185"/>
      <c r="CD88" s="185"/>
      <c r="CE88" s="185"/>
      <c r="CF88" s="329"/>
      <c r="CG88" s="185"/>
      <c r="CH88" s="330"/>
      <c r="CI88" s="185"/>
      <c r="CJ88" s="185"/>
      <c r="CK88" s="185"/>
      <c r="CL88" s="185"/>
      <c r="CM88" s="330"/>
      <c r="CN88" s="185"/>
      <c r="CO88" s="185"/>
      <c r="CP88" s="185"/>
      <c r="CQ88" s="185"/>
      <c r="CR88" s="330"/>
      <c r="CS88" s="185"/>
      <c r="CT88" s="185"/>
      <c r="CU88" s="185"/>
      <c r="CV88" s="185"/>
      <c r="CW88" s="185"/>
      <c r="CX88" s="185"/>
      <c r="CY88" s="185"/>
      <c r="CZ88" s="185"/>
      <c r="DA88" s="185"/>
      <c r="DB88" s="185"/>
      <c r="DC88" s="185"/>
      <c r="DD88" s="185"/>
      <c r="DE88" s="185"/>
      <c r="DF88" s="185"/>
      <c r="DG88" s="330"/>
      <c r="DH88" s="185"/>
      <c r="DI88" s="185"/>
      <c r="DJ88" s="185"/>
      <c r="DK88" s="185"/>
      <c r="DL88" s="185"/>
      <c r="DM88" s="185"/>
      <c r="DN88" s="329"/>
      <c r="DO88" s="185"/>
      <c r="DP88" s="185"/>
      <c r="DQ88" s="185"/>
      <c r="DR88" s="185"/>
      <c r="DS88" s="185"/>
      <c r="DT88" s="185"/>
      <c r="DU88" s="185"/>
      <c r="DV88" s="185"/>
      <c r="DW88" s="185"/>
      <c r="DX88" s="185"/>
      <c r="DY88" s="331"/>
      <c r="DZ88" s="174"/>
      <c r="EA88" s="174"/>
      <c r="EB88" s="174"/>
      <c r="EC88" s="174"/>
      <c r="ED88" s="174"/>
      <c r="EE88" s="126"/>
      <c r="EF88" s="332"/>
      <c r="EG88" s="332"/>
      <c r="EH88" s="332"/>
      <c r="EI88" s="126"/>
      <c r="EJ88" s="332"/>
      <c r="EK88" s="332"/>
      <c r="EL88" s="332"/>
      <c r="EM88" s="332"/>
      <c r="EN88" s="332"/>
      <c r="EO88" s="332"/>
      <c r="EP88" s="332"/>
      <c r="EQ88" s="332"/>
      <c r="ER88" s="332"/>
      <c r="ES88" s="332"/>
      <c r="ET88" s="331"/>
      <c r="EU88" s="331"/>
      <c r="EV88" s="331"/>
      <c r="EW88" s="332"/>
      <c r="EX88" s="332"/>
      <c r="EY88" s="332"/>
      <c r="EZ88" s="332"/>
      <c r="FA88" s="173"/>
      <c r="FB88" s="173"/>
      <c r="FC88" s="173"/>
      <c r="FD88" s="173"/>
      <c r="FE88" s="173"/>
      <c r="FF88" s="173"/>
      <c r="FG88" s="173"/>
      <c r="FH88" s="173"/>
      <c r="FI88" s="173"/>
      <c r="FJ88" s="174"/>
      <c r="FK88" s="174"/>
      <c r="FL88" s="174"/>
      <c r="FM88" s="330"/>
      <c r="FN88" s="185"/>
      <c r="FO88" s="185"/>
      <c r="FP88" s="185"/>
      <c r="FQ88" s="174"/>
      <c r="FR88" s="330"/>
      <c r="FS88" s="185"/>
      <c r="FT88" s="185"/>
      <c r="FU88" s="185"/>
      <c r="FV88" s="185"/>
      <c r="FW88" s="185"/>
      <c r="FX88" s="185"/>
      <c r="FY88" s="185"/>
      <c r="FZ88" s="185"/>
      <c r="GA88" s="67"/>
      <c r="GB88" s="284"/>
      <c r="GC88" s="284"/>
      <c r="GD88" s="284"/>
      <c r="GE88" s="284"/>
      <c r="GF88" s="284"/>
      <c r="GG88" s="284"/>
      <c r="GH88" s="284"/>
      <c r="GI88" s="67"/>
      <c r="GJ88" s="67"/>
      <c r="GK88" s="67"/>
      <c r="GL88" s="67"/>
      <c r="GM88" s="67"/>
      <c r="GN88" s="71"/>
      <c r="GO88" s="71"/>
      <c r="GP88" s="71"/>
      <c r="GQ88" s="71"/>
      <c r="GR88" s="70"/>
      <c r="GS88" s="70"/>
      <c r="GT88" s="70"/>
      <c r="GU88" s="70"/>
      <c r="GV88" s="70"/>
      <c r="GW88" s="70"/>
      <c r="GX88" s="73"/>
      <c r="GY88" s="74"/>
    </row>
    <row r="89" spans="1:207" s="75" customFormat="1">
      <c r="A89" s="95"/>
      <c r="B89" s="173"/>
      <c r="C89" s="173"/>
      <c r="D89" s="173"/>
      <c r="E89" s="173"/>
      <c r="F89" s="173"/>
      <c r="G89" s="173"/>
      <c r="H89" s="173"/>
      <c r="I89" s="173"/>
      <c r="J89" s="173"/>
      <c r="K89" s="173"/>
      <c r="L89" s="173"/>
      <c r="M89" s="173"/>
      <c r="N89" s="185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328"/>
      <c r="Z89" s="328"/>
      <c r="AA89" s="328"/>
      <c r="AB89" s="328"/>
      <c r="AC89" s="328"/>
      <c r="AD89" s="185"/>
      <c r="AE89" s="185"/>
      <c r="AF89" s="185"/>
      <c r="AG89" s="185"/>
      <c r="AH89" s="185"/>
      <c r="AI89" s="185"/>
      <c r="AJ89" s="329"/>
      <c r="AK89" s="185"/>
      <c r="AL89" s="185"/>
      <c r="AM89" s="185"/>
      <c r="AN89" s="173"/>
      <c r="AO89" s="173"/>
      <c r="AP89" s="173"/>
      <c r="AQ89" s="173"/>
      <c r="AR89" s="173"/>
      <c r="AS89" s="173"/>
      <c r="AT89" s="173"/>
      <c r="AU89" s="173"/>
      <c r="AV89" s="173"/>
      <c r="AW89" s="173"/>
      <c r="AX89" s="173"/>
      <c r="AY89" s="173"/>
      <c r="AZ89" s="173"/>
      <c r="BA89" s="173"/>
      <c r="BB89" s="173"/>
      <c r="BC89" s="173"/>
      <c r="BD89" s="173"/>
      <c r="BE89" s="173"/>
      <c r="BF89" s="173"/>
      <c r="BG89" s="173"/>
      <c r="BH89" s="173"/>
      <c r="BI89" s="173"/>
      <c r="BJ89" s="173"/>
      <c r="BK89" s="173"/>
      <c r="BL89" s="173"/>
      <c r="BM89" s="173"/>
      <c r="BN89" s="173"/>
      <c r="BO89" s="173"/>
      <c r="BP89" s="173"/>
      <c r="BQ89" s="173"/>
      <c r="BR89" s="173"/>
      <c r="BS89" s="173"/>
      <c r="BT89" s="173"/>
      <c r="BU89" s="173"/>
      <c r="BV89" s="173"/>
      <c r="BW89" s="173"/>
      <c r="BX89" s="185"/>
      <c r="BY89" s="185"/>
      <c r="BZ89" s="185"/>
      <c r="CA89" s="329"/>
      <c r="CB89" s="185"/>
      <c r="CC89" s="185"/>
      <c r="CD89" s="185"/>
      <c r="CE89" s="185"/>
      <c r="CF89" s="329"/>
      <c r="CG89" s="185"/>
      <c r="CH89" s="330"/>
      <c r="CI89" s="185"/>
      <c r="CJ89" s="185"/>
      <c r="CK89" s="185"/>
      <c r="CL89" s="185"/>
      <c r="CM89" s="330"/>
      <c r="CN89" s="185"/>
      <c r="CO89" s="185"/>
      <c r="CP89" s="185"/>
      <c r="CQ89" s="185"/>
      <c r="CR89" s="330"/>
      <c r="CS89" s="185"/>
      <c r="CT89" s="185"/>
      <c r="CU89" s="185"/>
      <c r="CV89" s="185"/>
      <c r="CW89" s="185"/>
      <c r="CX89" s="185"/>
      <c r="CY89" s="185"/>
      <c r="CZ89" s="185"/>
      <c r="DA89" s="185"/>
      <c r="DB89" s="185"/>
      <c r="DC89" s="185"/>
      <c r="DD89" s="185"/>
      <c r="DE89" s="185"/>
      <c r="DF89" s="185"/>
      <c r="DG89" s="330"/>
      <c r="DH89" s="185"/>
      <c r="DI89" s="185"/>
      <c r="DJ89" s="185"/>
      <c r="DK89" s="185"/>
      <c r="DL89" s="185"/>
      <c r="DM89" s="185"/>
      <c r="DN89" s="329"/>
      <c r="DO89" s="185"/>
      <c r="DP89" s="185"/>
      <c r="DQ89" s="185"/>
      <c r="DR89" s="185"/>
      <c r="DS89" s="185"/>
      <c r="DT89" s="185"/>
      <c r="DU89" s="185"/>
      <c r="DV89" s="185"/>
      <c r="DW89" s="185"/>
      <c r="DX89" s="185"/>
      <c r="DY89" s="331"/>
      <c r="DZ89" s="174"/>
      <c r="EA89" s="174"/>
      <c r="EB89" s="174"/>
      <c r="EC89" s="174"/>
      <c r="ED89" s="174"/>
      <c r="EE89" s="126"/>
      <c r="EF89" s="332"/>
      <c r="EG89" s="332"/>
      <c r="EH89" s="332"/>
      <c r="EI89" s="126"/>
      <c r="EJ89" s="332"/>
      <c r="EK89" s="332"/>
      <c r="EL89" s="332"/>
      <c r="EM89" s="332"/>
      <c r="EN89" s="332"/>
      <c r="EO89" s="332"/>
      <c r="EP89" s="332"/>
      <c r="EQ89" s="332"/>
      <c r="ER89" s="332"/>
      <c r="ES89" s="332"/>
      <c r="ET89" s="331"/>
      <c r="EU89" s="331"/>
      <c r="EV89" s="331"/>
      <c r="EW89" s="332"/>
      <c r="EX89" s="332"/>
      <c r="EY89" s="332"/>
      <c r="EZ89" s="332"/>
      <c r="FA89" s="173"/>
      <c r="FB89" s="173"/>
      <c r="FC89" s="173"/>
      <c r="FD89" s="173"/>
      <c r="FE89" s="173"/>
      <c r="FF89" s="173"/>
      <c r="FG89" s="173"/>
      <c r="FH89" s="173"/>
      <c r="FI89" s="173"/>
      <c r="FJ89" s="174"/>
      <c r="FK89" s="174"/>
      <c r="FL89" s="174"/>
      <c r="FM89" s="330"/>
      <c r="FN89" s="185"/>
      <c r="FO89" s="185"/>
      <c r="FP89" s="185"/>
      <c r="FQ89" s="174"/>
      <c r="FR89" s="330"/>
      <c r="FS89" s="185"/>
      <c r="FT89" s="185"/>
      <c r="FU89" s="185"/>
      <c r="FV89" s="185"/>
      <c r="FW89" s="185"/>
      <c r="FX89" s="185"/>
      <c r="FY89" s="185"/>
      <c r="FZ89" s="185"/>
      <c r="GA89" s="67"/>
      <c r="GB89" s="284"/>
      <c r="GC89" s="284"/>
      <c r="GD89" s="284"/>
      <c r="GE89" s="284"/>
      <c r="GF89" s="284"/>
      <c r="GG89" s="284"/>
      <c r="GH89" s="284"/>
      <c r="GI89" s="67"/>
      <c r="GJ89" s="67"/>
      <c r="GK89" s="67"/>
      <c r="GL89" s="67"/>
      <c r="GM89" s="67"/>
      <c r="GN89" s="71"/>
      <c r="GO89" s="71"/>
      <c r="GP89" s="71"/>
      <c r="GQ89" s="71"/>
      <c r="GR89" s="70"/>
      <c r="GS89" s="70"/>
      <c r="GT89" s="70"/>
      <c r="GU89" s="70"/>
      <c r="GV89" s="70"/>
      <c r="GW89" s="70"/>
      <c r="GX89" s="73"/>
      <c r="GY89" s="74"/>
    </row>
    <row r="90" spans="1:207" s="75" customFormat="1">
      <c r="A90" s="95"/>
      <c r="B90" s="173"/>
      <c r="C90" s="173"/>
      <c r="D90" s="173"/>
      <c r="E90" s="173"/>
      <c r="F90" s="173"/>
      <c r="G90" s="173"/>
      <c r="H90" s="173"/>
      <c r="I90" s="173"/>
      <c r="J90" s="173"/>
      <c r="K90" s="173"/>
      <c r="L90" s="173"/>
      <c r="M90" s="173"/>
      <c r="N90" s="185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328"/>
      <c r="Z90" s="328"/>
      <c r="AA90" s="328"/>
      <c r="AB90" s="328"/>
      <c r="AC90" s="328"/>
      <c r="AD90" s="185"/>
      <c r="AE90" s="185"/>
      <c r="AF90" s="185"/>
      <c r="AG90" s="185"/>
      <c r="AH90" s="185"/>
      <c r="AI90" s="185"/>
      <c r="AJ90" s="329"/>
      <c r="AK90" s="185"/>
      <c r="AL90" s="185"/>
      <c r="AM90" s="185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/>
      <c r="BE90" s="173"/>
      <c r="BF90" s="173"/>
      <c r="BG90" s="173"/>
      <c r="BH90" s="173"/>
      <c r="BI90" s="173"/>
      <c r="BJ90" s="173"/>
      <c r="BK90" s="173"/>
      <c r="BL90" s="173"/>
      <c r="BM90" s="173"/>
      <c r="BN90" s="173"/>
      <c r="BO90" s="173"/>
      <c r="BP90" s="173"/>
      <c r="BQ90" s="173"/>
      <c r="BR90" s="173"/>
      <c r="BS90" s="173"/>
      <c r="BT90" s="173"/>
      <c r="BU90" s="173"/>
      <c r="BV90" s="173"/>
      <c r="BW90" s="173"/>
      <c r="BX90" s="185"/>
      <c r="BY90" s="185"/>
      <c r="BZ90" s="185"/>
      <c r="CA90" s="329"/>
      <c r="CB90" s="185"/>
      <c r="CC90" s="185"/>
      <c r="CD90" s="185"/>
      <c r="CE90" s="185"/>
      <c r="CF90" s="329"/>
      <c r="CG90" s="185"/>
      <c r="CH90" s="330"/>
      <c r="CI90" s="185"/>
      <c r="CJ90" s="185"/>
      <c r="CK90" s="185"/>
      <c r="CL90" s="185"/>
      <c r="CM90" s="330"/>
      <c r="CN90" s="185"/>
      <c r="CO90" s="185"/>
      <c r="CP90" s="185"/>
      <c r="CQ90" s="185"/>
      <c r="CR90" s="330"/>
      <c r="CS90" s="185"/>
      <c r="CT90" s="185"/>
      <c r="CU90" s="185"/>
      <c r="CV90" s="185"/>
      <c r="CW90" s="185"/>
      <c r="CX90" s="185"/>
      <c r="CY90" s="185"/>
      <c r="CZ90" s="185"/>
      <c r="DA90" s="185"/>
      <c r="DB90" s="185"/>
      <c r="DC90" s="185"/>
      <c r="DD90" s="185"/>
      <c r="DE90" s="185"/>
      <c r="DF90" s="185"/>
      <c r="DG90" s="330"/>
      <c r="DH90" s="185"/>
      <c r="DI90" s="185"/>
      <c r="DJ90" s="185"/>
      <c r="DK90" s="185"/>
      <c r="DL90" s="185"/>
      <c r="DM90" s="185"/>
      <c r="DN90" s="329"/>
      <c r="DO90" s="185"/>
      <c r="DP90" s="185"/>
      <c r="DQ90" s="185"/>
      <c r="DR90" s="185"/>
      <c r="DS90" s="185"/>
      <c r="DT90" s="185"/>
      <c r="DU90" s="185"/>
      <c r="DV90" s="185"/>
      <c r="DW90" s="185"/>
      <c r="DX90" s="185"/>
      <c r="DY90" s="331"/>
      <c r="DZ90" s="174"/>
      <c r="EA90" s="174"/>
      <c r="EB90" s="174"/>
      <c r="EC90" s="174"/>
      <c r="ED90" s="174"/>
      <c r="EE90" s="126"/>
      <c r="EF90" s="332"/>
      <c r="EG90" s="332"/>
      <c r="EH90" s="332"/>
      <c r="EI90" s="126"/>
      <c r="EJ90" s="332"/>
      <c r="EK90" s="332"/>
      <c r="EL90" s="332"/>
      <c r="EM90" s="332"/>
      <c r="EN90" s="332"/>
      <c r="EO90" s="332"/>
      <c r="EP90" s="332"/>
      <c r="EQ90" s="332"/>
      <c r="ER90" s="332"/>
      <c r="ES90" s="332"/>
      <c r="ET90" s="331"/>
      <c r="EU90" s="331"/>
      <c r="EV90" s="331"/>
      <c r="EW90" s="332"/>
      <c r="EX90" s="332"/>
      <c r="EY90" s="332"/>
      <c r="EZ90" s="332"/>
      <c r="FA90" s="173"/>
      <c r="FB90" s="173"/>
      <c r="FC90" s="173"/>
      <c r="FD90" s="173"/>
      <c r="FE90" s="173"/>
      <c r="FF90" s="173"/>
      <c r="FG90" s="173"/>
      <c r="FH90" s="173"/>
      <c r="FI90" s="173"/>
      <c r="FJ90" s="174"/>
      <c r="FK90" s="174"/>
      <c r="FL90" s="174"/>
      <c r="FM90" s="330"/>
      <c r="FN90" s="185"/>
      <c r="FO90" s="185"/>
      <c r="FP90" s="185"/>
      <c r="FQ90" s="174"/>
      <c r="FR90" s="330"/>
      <c r="FS90" s="185"/>
      <c r="FT90" s="185"/>
      <c r="FU90" s="185"/>
      <c r="FV90" s="185"/>
      <c r="FW90" s="185"/>
      <c r="FX90" s="185"/>
      <c r="FY90" s="185"/>
      <c r="FZ90" s="185"/>
      <c r="GA90" s="67"/>
      <c r="GB90" s="284"/>
      <c r="GC90" s="284"/>
      <c r="GD90" s="284"/>
      <c r="GE90" s="284"/>
      <c r="GF90" s="284"/>
      <c r="GG90" s="284"/>
      <c r="GH90" s="284"/>
      <c r="GI90" s="67"/>
      <c r="GJ90" s="67"/>
      <c r="GK90" s="67"/>
      <c r="GL90" s="67"/>
      <c r="GM90" s="67"/>
      <c r="GN90" s="71"/>
      <c r="GO90" s="71"/>
      <c r="GP90" s="71"/>
      <c r="GQ90" s="71"/>
      <c r="GR90" s="70"/>
      <c r="GS90" s="70"/>
      <c r="GT90" s="70"/>
      <c r="GU90" s="70"/>
      <c r="GV90" s="70"/>
      <c r="GW90" s="70"/>
      <c r="GX90" s="73"/>
      <c r="GY90" s="74"/>
    </row>
    <row r="91" spans="1:207" s="75" customFormat="1">
      <c r="A91" s="95"/>
      <c r="B91" s="173"/>
      <c r="C91" s="173"/>
      <c r="D91" s="173"/>
      <c r="E91" s="173"/>
      <c r="F91" s="173"/>
      <c r="G91" s="173"/>
      <c r="H91" s="173"/>
      <c r="I91" s="173"/>
      <c r="J91" s="173"/>
      <c r="K91" s="173"/>
      <c r="L91" s="173"/>
      <c r="M91" s="173"/>
      <c r="N91" s="185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328"/>
      <c r="Z91" s="328"/>
      <c r="AA91" s="328"/>
      <c r="AB91" s="328"/>
      <c r="AC91" s="328"/>
      <c r="AD91" s="185"/>
      <c r="AE91" s="185"/>
      <c r="AF91" s="185"/>
      <c r="AG91" s="185"/>
      <c r="AH91" s="185"/>
      <c r="AI91" s="185"/>
      <c r="AJ91" s="329"/>
      <c r="AK91" s="185"/>
      <c r="AL91" s="185"/>
      <c r="AM91" s="185"/>
      <c r="AN91" s="173"/>
      <c r="AO91" s="173"/>
      <c r="AP91" s="173"/>
      <c r="AQ91" s="173"/>
      <c r="AR91" s="173"/>
      <c r="AS91" s="173"/>
      <c r="AT91" s="173"/>
      <c r="AU91" s="173"/>
      <c r="AV91" s="173"/>
      <c r="AW91" s="173"/>
      <c r="AX91" s="173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  <c r="BJ91" s="173"/>
      <c r="BK91" s="173"/>
      <c r="BL91" s="173"/>
      <c r="BM91" s="173"/>
      <c r="BN91" s="173"/>
      <c r="BO91" s="173"/>
      <c r="BP91" s="173"/>
      <c r="BQ91" s="173"/>
      <c r="BR91" s="173"/>
      <c r="BS91" s="173"/>
      <c r="BT91" s="173"/>
      <c r="BU91" s="173"/>
      <c r="BV91" s="173"/>
      <c r="BW91" s="173"/>
      <c r="BX91" s="185"/>
      <c r="BY91" s="185"/>
      <c r="BZ91" s="185"/>
      <c r="CA91" s="329"/>
      <c r="CB91" s="185"/>
      <c r="CC91" s="185"/>
      <c r="CD91" s="185"/>
      <c r="CE91" s="185"/>
      <c r="CF91" s="329"/>
      <c r="CG91" s="185"/>
      <c r="CH91" s="330"/>
      <c r="CI91" s="185"/>
      <c r="CJ91" s="185"/>
      <c r="CK91" s="185"/>
      <c r="CL91" s="185"/>
      <c r="CM91" s="330"/>
      <c r="CN91" s="185"/>
      <c r="CO91" s="185"/>
      <c r="CP91" s="185"/>
      <c r="CQ91" s="185"/>
      <c r="CR91" s="330"/>
      <c r="CS91" s="185"/>
      <c r="CT91" s="185"/>
      <c r="CU91" s="185"/>
      <c r="CV91" s="185"/>
      <c r="CW91" s="185"/>
      <c r="CX91" s="185"/>
      <c r="CY91" s="185"/>
      <c r="CZ91" s="185"/>
      <c r="DA91" s="185"/>
      <c r="DB91" s="185"/>
      <c r="DC91" s="185"/>
      <c r="DD91" s="185"/>
      <c r="DE91" s="185"/>
      <c r="DF91" s="185"/>
      <c r="DG91" s="330"/>
      <c r="DH91" s="185"/>
      <c r="DI91" s="185"/>
      <c r="DJ91" s="185"/>
      <c r="DK91" s="185"/>
      <c r="DL91" s="185"/>
      <c r="DM91" s="185"/>
      <c r="DN91" s="329"/>
      <c r="DO91" s="185"/>
      <c r="DP91" s="185"/>
      <c r="DQ91" s="185"/>
      <c r="DR91" s="185"/>
      <c r="DS91" s="185"/>
      <c r="DT91" s="185"/>
      <c r="DU91" s="185"/>
      <c r="DV91" s="185"/>
      <c r="DW91" s="185"/>
      <c r="DX91" s="185"/>
      <c r="DY91" s="331"/>
      <c r="DZ91" s="174"/>
      <c r="EA91" s="174"/>
      <c r="EB91" s="174"/>
      <c r="EC91" s="174"/>
      <c r="ED91" s="174"/>
      <c r="EE91" s="126"/>
      <c r="EF91" s="332"/>
      <c r="EG91" s="332"/>
      <c r="EH91" s="332"/>
      <c r="EI91" s="126"/>
      <c r="EJ91" s="332"/>
      <c r="EK91" s="332"/>
      <c r="EL91" s="332"/>
      <c r="EM91" s="332"/>
      <c r="EN91" s="332"/>
      <c r="EO91" s="332"/>
      <c r="EP91" s="332"/>
      <c r="EQ91" s="332"/>
      <c r="ER91" s="332"/>
      <c r="ES91" s="332"/>
      <c r="ET91" s="331"/>
      <c r="EU91" s="331"/>
      <c r="EV91" s="331"/>
      <c r="EW91" s="332"/>
      <c r="EX91" s="332"/>
      <c r="EY91" s="332"/>
      <c r="EZ91" s="332"/>
      <c r="FA91" s="173"/>
      <c r="FB91" s="173"/>
      <c r="FC91" s="173"/>
      <c r="FD91" s="173"/>
      <c r="FE91" s="173"/>
      <c r="FF91" s="173"/>
      <c r="FG91" s="173"/>
      <c r="FH91" s="173"/>
      <c r="FI91" s="173"/>
      <c r="FJ91" s="174"/>
      <c r="FK91" s="174"/>
      <c r="FL91" s="174"/>
      <c r="FM91" s="330"/>
      <c r="FN91" s="185"/>
      <c r="FO91" s="185"/>
      <c r="FP91" s="185"/>
      <c r="FQ91" s="174"/>
      <c r="FR91" s="330"/>
      <c r="FS91" s="185"/>
      <c r="FT91" s="185"/>
      <c r="FU91" s="185"/>
      <c r="FV91" s="185"/>
      <c r="FW91" s="185"/>
      <c r="FX91" s="185"/>
      <c r="FY91" s="185"/>
      <c r="FZ91" s="185"/>
      <c r="GA91" s="67"/>
      <c r="GB91" s="284"/>
      <c r="GC91" s="284"/>
      <c r="GD91" s="284"/>
      <c r="GE91" s="284"/>
      <c r="GF91" s="284"/>
      <c r="GG91" s="284"/>
      <c r="GH91" s="284"/>
      <c r="GI91" s="67"/>
      <c r="GJ91" s="67"/>
      <c r="GK91" s="67"/>
      <c r="GL91" s="67"/>
      <c r="GM91" s="67"/>
      <c r="GN91" s="71"/>
      <c r="GO91" s="71"/>
      <c r="GP91" s="71"/>
      <c r="GQ91" s="71"/>
      <c r="GR91" s="70"/>
      <c r="GS91" s="70"/>
      <c r="GT91" s="70"/>
      <c r="GU91" s="70"/>
      <c r="GV91" s="70"/>
      <c r="GW91" s="70"/>
      <c r="GX91" s="73"/>
      <c r="GY91" s="74"/>
    </row>
    <row r="92" spans="1:207" s="75" customFormat="1">
      <c r="A92" s="95"/>
      <c r="B92" s="173"/>
      <c r="C92" s="173"/>
      <c r="D92" s="173"/>
      <c r="E92" s="173"/>
      <c r="F92" s="173"/>
      <c r="G92" s="173"/>
      <c r="H92" s="173"/>
      <c r="I92" s="173"/>
      <c r="J92" s="173"/>
      <c r="K92" s="173"/>
      <c r="L92" s="173"/>
      <c r="M92" s="173"/>
      <c r="N92" s="185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328"/>
      <c r="Z92" s="328"/>
      <c r="AA92" s="328"/>
      <c r="AB92" s="328"/>
      <c r="AC92" s="328"/>
      <c r="AD92" s="185"/>
      <c r="AE92" s="185"/>
      <c r="AF92" s="185"/>
      <c r="AG92" s="185"/>
      <c r="AH92" s="185"/>
      <c r="AI92" s="185"/>
      <c r="AJ92" s="329"/>
      <c r="AK92" s="185"/>
      <c r="AL92" s="185"/>
      <c r="AM92" s="185"/>
      <c r="AN92" s="173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3"/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  <c r="BJ92" s="173"/>
      <c r="BK92" s="173"/>
      <c r="BL92" s="173"/>
      <c r="BM92" s="173"/>
      <c r="BN92" s="173"/>
      <c r="BO92" s="173"/>
      <c r="BP92" s="173"/>
      <c r="BQ92" s="173"/>
      <c r="BR92" s="173"/>
      <c r="BS92" s="173"/>
      <c r="BT92" s="173"/>
      <c r="BU92" s="173"/>
      <c r="BV92" s="173"/>
      <c r="BW92" s="173"/>
      <c r="BX92" s="185"/>
      <c r="BY92" s="185"/>
      <c r="BZ92" s="185"/>
      <c r="CA92" s="329"/>
      <c r="CB92" s="185"/>
      <c r="CC92" s="185"/>
      <c r="CD92" s="185"/>
      <c r="CE92" s="185"/>
      <c r="CF92" s="329"/>
      <c r="CG92" s="185"/>
      <c r="CH92" s="330"/>
      <c r="CI92" s="185"/>
      <c r="CJ92" s="185"/>
      <c r="CK92" s="185"/>
      <c r="CL92" s="185"/>
      <c r="CM92" s="330"/>
      <c r="CN92" s="185"/>
      <c r="CO92" s="185"/>
      <c r="CP92" s="185"/>
      <c r="CQ92" s="185"/>
      <c r="CR92" s="330"/>
      <c r="CS92" s="185"/>
      <c r="CT92" s="185"/>
      <c r="CU92" s="185"/>
      <c r="CV92" s="185"/>
      <c r="CW92" s="185"/>
      <c r="CX92" s="185"/>
      <c r="CY92" s="185"/>
      <c r="CZ92" s="185"/>
      <c r="DA92" s="185"/>
      <c r="DB92" s="185"/>
      <c r="DC92" s="185"/>
      <c r="DD92" s="185"/>
      <c r="DE92" s="185"/>
      <c r="DF92" s="185"/>
      <c r="DG92" s="330"/>
      <c r="DH92" s="185"/>
      <c r="DI92" s="185"/>
      <c r="DJ92" s="185"/>
      <c r="DK92" s="185"/>
      <c r="DL92" s="185"/>
      <c r="DM92" s="185"/>
      <c r="DN92" s="329"/>
      <c r="DO92" s="185"/>
      <c r="DP92" s="185"/>
      <c r="DQ92" s="185"/>
      <c r="DR92" s="185"/>
      <c r="DS92" s="185"/>
      <c r="DT92" s="185"/>
      <c r="DU92" s="185"/>
      <c r="DV92" s="185"/>
      <c r="DW92" s="185"/>
      <c r="DX92" s="185"/>
      <c r="DY92" s="331"/>
      <c r="DZ92" s="174"/>
      <c r="EA92" s="174"/>
      <c r="EB92" s="174"/>
      <c r="EC92" s="174"/>
      <c r="ED92" s="174"/>
      <c r="EE92" s="126"/>
      <c r="EF92" s="332"/>
      <c r="EG92" s="332"/>
      <c r="EH92" s="332"/>
      <c r="EI92" s="126"/>
      <c r="EJ92" s="332"/>
      <c r="EK92" s="332"/>
      <c r="EL92" s="332"/>
      <c r="EM92" s="332"/>
      <c r="EN92" s="332"/>
      <c r="EO92" s="332"/>
      <c r="EP92" s="332"/>
      <c r="EQ92" s="332"/>
      <c r="ER92" s="332"/>
      <c r="ES92" s="332"/>
      <c r="ET92" s="331"/>
      <c r="EU92" s="331"/>
      <c r="EV92" s="331"/>
      <c r="EW92" s="332"/>
      <c r="EX92" s="332"/>
      <c r="EY92" s="332"/>
      <c r="EZ92" s="332"/>
      <c r="FA92" s="173"/>
      <c r="FB92" s="173"/>
      <c r="FC92" s="173"/>
      <c r="FD92" s="173"/>
      <c r="FE92" s="173"/>
      <c r="FF92" s="173"/>
      <c r="FG92" s="173"/>
      <c r="FH92" s="173"/>
      <c r="FI92" s="173"/>
      <c r="FJ92" s="174"/>
      <c r="FK92" s="174"/>
      <c r="FL92" s="174"/>
      <c r="FM92" s="330"/>
      <c r="FN92" s="185"/>
      <c r="FO92" s="185"/>
      <c r="FP92" s="185"/>
      <c r="FQ92" s="174"/>
      <c r="FR92" s="330"/>
      <c r="FS92" s="185"/>
      <c r="FT92" s="185"/>
      <c r="FU92" s="185"/>
      <c r="FV92" s="185"/>
      <c r="FW92" s="185"/>
      <c r="FX92" s="185"/>
      <c r="FY92" s="185"/>
      <c r="FZ92" s="185"/>
      <c r="GA92" s="67"/>
      <c r="GB92" s="284"/>
      <c r="GC92" s="284"/>
      <c r="GD92" s="284"/>
      <c r="GE92" s="284"/>
      <c r="GF92" s="284"/>
      <c r="GG92" s="284"/>
      <c r="GH92" s="284"/>
      <c r="GI92" s="67"/>
      <c r="GJ92" s="67"/>
      <c r="GK92" s="67"/>
      <c r="GL92" s="67"/>
      <c r="GM92" s="67"/>
      <c r="GN92" s="71"/>
      <c r="GO92" s="71"/>
      <c r="GP92" s="71"/>
      <c r="GQ92" s="71"/>
      <c r="GR92" s="70"/>
      <c r="GS92" s="70"/>
      <c r="GT92" s="70"/>
      <c r="GU92" s="70"/>
      <c r="GV92" s="70"/>
      <c r="GW92" s="70"/>
      <c r="GX92" s="73"/>
      <c r="GY92" s="74"/>
    </row>
    <row r="93" spans="1:207" s="63" customFormat="1">
      <c r="A93" s="95"/>
      <c r="B93" s="173"/>
      <c r="C93" s="173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85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328"/>
      <c r="Z93" s="328"/>
      <c r="AA93" s="328"/>
      <c r="AB93" s="328"/>
      <c r="AC93" s="328"/>
      <c r="AD93" s="185"/>
      <c r="AE93" s="185"/>
      <c r="AF93" s="185"/>
      <c r="AG93" s="185"/>
      <c r="AH93" s="185"/>
      <c r="AI93" s="185"/>
      <c r="AJ93" s="329"/>
      <c r="AK93" s="185"/>
      <c r="AL93" s="185"/>
      <c r="AM93" s="185"/>
      <c r="AN93" s="173"/>
      <c r="AO93" s="173"/>
      <c r="AP93" s="173"/>
      <c r="AQ93" s="173"/>
      <c r="AR93" s="173"/>
      <c r="AS93" s="173"/>
      <c r="AT93" s="173"/>
      <c r="AU93" s="173"/>
      <c r="AV93" s="173"/>
      <c r="AW93" s="173"/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  <c r="BJ93" s="173"/>
      <c r="BK93" s="173"/>
      <c r="BL93" s="173"/>
      <c r="BM93" s="173"/>
      <c r="BN93" s="173"/>
      <c r="BO93" s="173"/>
      <c r="BP93" s="173"/>
      <c r="BQ93" s="173"/>
      <c r="BR93" s="173"/>
      <c r="BS93" s="173"/>
      <c r="BT93" s="173"/>
      <c r="BU93" s="173"/>
      <c r="BV93" s="173"/>
      <c r="BW93" s="173"/>
      <c r="BX93" s="185"/>
      <c r="BY93" s="185"/>
      <c r="BZ93" s="185"/>
      <c r="CA93" s="329"/>
      <c r="CB93" s="185"/>
      <c r="CC93" s="185"/>
      <c r="CD93" s="185"/>
      <c r="CE93" s="185"/>
      <c r="CF93" s="329"/>
      <c r="CG93" s="185"/>
      <c r="CH93" s="330"/>
      <c r="CI93" s="185"/>
      <c r="CJ93" s="185"/>
      <c r="CK93" s="185"/>
      <c r="CL93" s="185"/>
      <c r="CM93" s="330"/>
      <c r="CN93" s="185"/>
      <c r="CO93" s="185"/>
      <c r="CP93" s="185"/>
      <c r="CQ93" s="185"/>
      <c r="CR93" s="330"/>
      <c r="CS93" s="185"/>
      <c r="CT93" s="185"/>
      <c r="CU93" s="185"/>
      <c r="CV93" s="185"/>
      <c r="CW93" s="185"/>
      <c r="CX93" s="185"/>
      <c r="CY93" s="185"/>
      <c r="CZ93" s="185"/>
      <c r="DA93" s="185"/>
      <c r="DB93" s="185"/>
      <c r="DC93" s="185"/>
      <c r="DD93" s="185"/>
      <c r="DE93" s="185"/>
      <c r="DF93" s="185"/>
      <c r="DG93" s="330"/>
      <c r="DH93" s="185"/>
      <c r="DI93" s="185"/>
      <c r="DJ93" s="185"/>
      <c r="DK93" s="185"/>
      <c r="DL93" s="185"/>
      <c r="DM93" s="185"/>
      <c r="DN93" s="329"/>
      <c r="DO93" s="185"/>
      <c r="DP93" s="185"/>
      <c r="DQ93" s="185"/>
      <c r="DR93" s="185"/>
      <c r="DS93" s="185"/>
      <c r="DT93" s="185"/>
      <c r="DU93" s="185"/>
      <c r="DV93" s="185"/>
      <c r="DW93" s="185"/>
      <c r="DX93" s="185"/>
      <c r="DY93" s="331"/>
      <c r="DZ93" s="174"/>
      <c r="EA93" s="174"/>
      <c r="EB93" s="174"/>
      <c r="EC93" s="174"/>
      <c r="ED93" s="174"/>
      <c r="EE93" s="126"/>
      <c r="EF93" s="332"/>
      <c r="EG93" s="332"/>
      <c r="EH93" s="332"/>
      <c r="EI93" s="126"/>
      <c r="EJ93" s="332"/>
      <c r="EK93" s="332"/>
      <c r="EL93" s="332"/>
      <c r="EM93" s="332"/>
      <c r="EN93" s="332"/>
      <c r="EO93" s="332"/>
      <c r="EP93" s="332"/>
      <c r="EQ93" s="332"/>
      <c r="ER93" s="332"/>
      <c r="ES93" s="332"/>
      <c r="ET93" s="331"/>
      <c r="EU93" s="331"/>
      <c r="EV93" s="331"/>
      <c r="EW93" s="332"/>
      <c r="EX93" s="332"/>
      <c r="EY93" s="332"/>
      <c r="EZ93" s="332"/>
      <c r="FA93" s="173"/>
      <c r="FB93" s="173"/>
      <c r="FC93" s="173"/>
      <c r="FD93" s="173"/>
      <c r="FE93" s="173"/>
      <c r="FF93" s="173"/>
      <c r="FG93" s="173"/>
      <c r="FH93" s="173"/>
      <c r="FI93" s="173"/>
      <c r="FJ93" s="174"/>
      <c r="FK93" s="174"/>
      <c r="FL93" s="174"/>
      <c r="FM93" s="330"/>
      <c r="FN93" s="185"/>
      <c r="FO93" s="185"/>
      <c r="FP93" s="185"/>
      <c r="FQ93" s="174"/>
      <c r="FR93" s="330"/>
      <c r="FS93" s="185"/>
      <c r="FT93" s="185"/>
      <c r="FU93" s="185"/>
      <c r="FV93" s="185"/>
      <c r="FW93" s="185"/>
      <c r="FX93" s="185"/>
      <c r="FY93" s="185"/>
      <c r="FZ93" s="185"/>
      <c r="GB93" s="94"/>
      <c r="GC93" s="94"/>
      <c r="GD93" s="94"/>
      <c r="GE93" s="94"/>
      <c r="GF93" s="94"/>
      <c r="GG93" s="94"/>
      <c r="GH93" s="94"/>
    </row>
    <row r="94" spans="1:207" s="63" customFormat="1">
      <c r="A94" s="95"/>
      <c r="B94" s="173"/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85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328"/>
      <c r="Z94" s="328"/>
      <c r="AA94" s="328"/>
      <c r="AB94" s="328"/>
      <c r="AC94" s="328"/>
      <c r="AD94" s="185"/>
      <c r="AE94" s="185"/>
      <c r="AF94" s="185"/>
      <c r="AG94" s="185"/>
      <c r="AH94" s="185"/>
      <c r="AI94" s="185"/>
      <c r="AJ94" s="329"/>
      <c r="AK94" s="185"/>
      <c r="AL94" s="185"/>
      <c r="AM94" s="185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  <c r="BU94" s="173"/>
      <c r="BV94" s="173"/>
      <c r="BW94" s="173"/>
      <c r="BX94" s="185"/>
      <c r="BY94" s="185"/>
      <c r="BZ94" s="185"/>
      <c r="CA94" s="329"/>
      <c r="CB94" s="185"/>
      <c r="CC94" s="185"/>
      <c r="CD94" s="185"/>
      <c r="CE94" s="185"/>
      <c r="CF94" s="329"/>
      <c r="CG94" s="185"/>
      <c r="CH94" s="330"/>
      <c r="CI94" s="185"/>
      <c r="CJ94" s="185"/>
      <c r="CK94" s="185"/>
      <c r="CL94" s="185"/>
      <c r="CM94" s="330"/>
      <c r="CN94" s="185"/>
      <c r="CO94" s="185"/>
      <c r="CP94" s="185"/>
      <c r="CQ94" s="185"/>
      <c r="CR94" s="330"/>
      <c r="CS94" s="185"/>
      <c r="CT94" s="185"/>
      <c r="CU94" s="185"/>
      <c r="CV94" s="185"/>
      <c r="CW94" s="185"/>
      <c r="CX94" s="185"/>
      <c r="CY94" s="185"/>
      <c r="CZ94" s="185"/>
      <c r="DA94" s="185"/>
      <c r="DB94" s="185"/>
      <c r="DC94" s="185"/>
      <c r="DD94" s="185"/>
      <c r="DE94" s="185"/>
      <c r="DF94" s="185"/>
      <c r="DG94" s="330"/>
      <c r="DH94" s="185"/>
      <c r="DI94" s="185"/>
      <c r="DJ94" s="185"/>
      <c r="DK94" s="185"/>
      <c r="DL94" s="185"/>
      <c r="DM94" s="185"/>
      <c r="DN94" s="329"/>
      <c r="DO94" s="185"/>
      <c r="DP94" s="185"/>
      <c r="DQ94" s="185"/>
      <c r="DR94" s="185"/>
      <c r="DS94" s="185"/>
      <c r="DT94" s="185"/>
      <c r="DU94" s="185"/>
      <c r="DV94" s="185"/>
      <c r="DW94" s="185"/>
      <c r="DX94" s="185"/>
      <c r="DY94" s="331"/>
      <c r="DZ94" s="174"/>
      <c r="EA94" s="174"/>
      <c r="EB94" s="174"/>
      <c r="EC94" s="174"/>
      <c r="ED94" s="174"/>
      <c r="EE94" s="126"/>
      <c r="EF94" s="332"/>
      <c r="EG94" s="332"/>
      <c r="EH94" s="332"/>
      <c r="EI94" s="126"/>
      <c r="EJ94" s="332"/>
      <c r="EK94" s="332"/>
      <c r="EL94" s="332"/>
      <c r="EM94" s="332"/>
      <c r="EN94" s="332"/>
      <c r="EO94" s="332"/>
      <c r="EP94" s="332"/>
      <c r="EQ94" s="332"/>
      <c r="ER94" s="332"/>
      <c r="ES94" s="332"/>
      <c r="ET94" s="331"/>
      <c r="EU94" s="331"/>
      <c r="EV94" s="331"/>
      <c r="EW94" s="332"/>
      <c r="EX94" s="332"/>
      <c r="EY94" s="332"/>
      <c r="EZ94" s="332"/>
      <c r="FA94" s="173"/>
      <c r="FB94" s="173"/>
      <c r="FC94" s="173"/>
      <c r="FD94" s="173"/>
      <c r="FE94" s="173"/>
      <c r="FF94" s="173"/>
      <c r="FG94" s="173"/>
      <c r="FH94" s="173"/>
      <c r="FI94" s="173"/>
      <c r="FJ94" s="174"/>
      <c r="FK94" s="174"/>
      <c r="FL94" s="174"/>
      <c r="FM94" s="330"/>
      <c r="FN94" s="185"/>
      <c r="FO94" s="185"/>
      <c r="FP94" s="185"/>
      <c r="FQ94" s="174"/>
      <c r="FR94" s="330"/>
      <c r="FS94" s="185"/>
      <c r="FT94" s="185"/>
      <c r="FU94" s="185"/>
      <c r="FV94" s="185"/>
      <c r="FW94" s="185"/>
      <c r="FX94" s="185"/>
      <c r="FY94" s="185"/>
      <c r="FZ94" s="185"/>
      <c r="GB94" s="94"/>
      <c r="GC94" s="94"/>
      <c r="GD94" s="94"/>
      <c r="GE94" s="94"/>
      <c r="GF94" s="94"/>
      <c r="GG94" s="94"/>
      <c r="GH94" s="94"/>
    </row>
    <row r="95" spans="1:207" s="63" customFormat="1">
      <c r="A95" s="95"/>
      <c r="B95" s="173"/>
      <c r="C95" s="173"/>
      <c r="D95" s="173"/>
      <c r="E95" s="173"/>
      <c r="F95" s="173"/>
      <c r="G95" s="173"/>
      <c r="H95" s="173"/>
      <c r="I95" s="173"/>
      <c r="J95" s="173"/>
      <c r="K95" s="173"/>
      <c r="L95" s="173"/>
      <c r="M95" s="173"/>
      <c r="N95" s="185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328"/>
      <c r="Z95" s="328"/>
      <c r="AA95" s="328"/>
      <c r="AB95" s="328"/>
      <c r="AC95" s="328"/>
      <c r="AD95" s="185"/>
      <c r="AE95" s="185"/>
      <c r="AF95" s="185"/>
      <c r="AG95" s="185"/>
      <c r="AH95" s="185"/>
      <c r="AI95" s="185"/>
      <c r="AJ95" s="329"/>
      <c r="AK95" s="185"/>
      <c r="AL95" s="185"/>
      <c r="AM95" s="185"/>
      <c r="AN95" s="173"/>
      <c r="AO95" s="173"/>
      <c r="AP95" s="173"/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173"/>
      <c r="BC95" s="173"/>
      <c r="BD95" s="173"/>
      <c r="BE95" s="173"/>
      <c r="BF95" s="173"/>
      <c r="BG95" s="173"/>
      <c r="BH95" s="173"/>
      <c r="BI95" s="173"/>
      <c r="BJ95" s="173"/>
      <c r="BK95" s="173"/>
      <c r="BL95" s="173"/>
      <c r="BM95" s="173"/>
      <c r="BN95" s="173"/>
      <c r="BO95" s="173"/>
      <c r="BP95" s="173"/>
      <c r="BQ95" s="173"/>
      <c r="BR95" s="173"/>
      <c r="BS95" s="173"/>
      <c r="BT95" s="173"/>
      <c r="BU95" s="173"/>
      <c r="BV95" s="173"/>
      <c r="BW95" s="173"/>
      <c r="BX95" s="185"/>
      <c r="BY95" s="185"/>
      <c r="BZ95" s="185"/>
      <c r="CA95" s="329"/>
      <c r="CB95" s="185"/>
      <c r="CC95" s="185"/>
      <c r="CD95" s="185"/>
      <c r="CE95" s="185"/>
      <c r="CF95" s="329"/>
      <c r="CG95" s="185"/>
      <c r="CH95" s="330"/>
      <c r="CI95" s="185"/>
      <c r="CJ95" s="185"/>
      <c r="CK95" s="185"/>
      <c r="CL95" s="185"/>
      <c r="CM95" s="330"/>
      <c r="CN95" s="185"/>
      <c r="CO95" s="185"/>
      <c r="CP95" s="185"/>
      <c r="CQ95" s="185"/>
      <c r="CR95" s="330"/>
      <c r="CS95" s="185"/>
      <c r="CT95" s="185"/>
      <c r="CU95" s="185"/>
      <c r="CV95" s="185"/>
      <c r="CW95" s="185"/>
      <c r="CX95" s="185"/>
      <c r="CY95" s="185"/>
      <c r="CZ95" s="185"/>
      <c r="DA95" s="185"/>
      <c r="DB95" s="185"/>
      <c r="DC95" s="185"/>
      <c r="DD95" s="185"/>
      <c r="DE95" s="185"/>
      <c r="DF95" s="185"/>
      <c r="DG95" s="330"/>
      <c r="DH95" s="185"/>
      <c r="DI95" s="185"/>
      <c r="DJ95" s="185"/>
      <c r="DK95" s="185"/>
      <c r="DL95" s="185"/>
      <c r="DM95" s="185"/>
      <c r="DN95" s="329"/>
      <c r="DO95" s="185"/>
      <c r="DP95" s="185"/>
      <c r="DQ95" s="185"/>
      <c r="DR95" s="185"/>
      <c r="DS95" s="185"/>
      <c r="DT95" s="185"/>
      <c r="DU95" s="185"/>
      <c r="DV95" s="185"/>
      <c r="DW95" s="185"/>
      <c r="DX95" s="185"/>
      <c r="DY95" s="331"/>
      <c r="DZ95" s="174"/>
      <c r="EA95" s="174"/>
      <c r="EB95" s="174"/>
      <c r="EC95" s="174"/>
      <c r="ED95" s="174"/>
      <c r="EE95" s="126"/>
      <c r="EF95" s="332"/>
      <c r="EG95" s="332"/>
      <c r="EH95" s="332"/>
      <c r="EI95" s="126"/>
      <c r="EJ95" s="332"/>
      <c r="EK95" s="332"/>
      <c r="EL95" s="332"/>
      <c r="EM95" s="332"/>
      <c r="EN95" s="332"/>
      <c r="EO95" s="332"/>
      <c r="EP95" s="332"/>
      <c r="EQ95" s="332"/>
      <c r="ER95" s="332"/>
      <c r="ES95" s="332"/>
      <c r="ET95" s="331"/>
      <c r="EU95" s="331"/>
      <c r="EV95" s="331"/>
      <c r="EW95" s="332"/>
      <c r="EX95" s="332"/>
      <c r="EY95" s="332"/>
      <c r="EZ95" s="332"/>
      <c r="FA95" s="173"/>
      <c r="FB95" s="173"/>
      <c r="FC95" s="173"/>
      <c r="FD95" s="173"/>
      <c r="FE95" s="173"/>
      <c r="FF95" s="173"/>
      <c r="FG95" s="173"/>
      <c r="FH95" s="173"/>
      <c r="FI95" s="173"/>
      <c r="FJ95" s="174"/>
      <c r="FK95" s="174"/>
      <c r="FL95" s="174"/>
      <c r="FM95" s="330"/>
      <c r="FN95" s="185"/>
      <c r="FO95" s="185"/>
      <c r="FP95" s="185"/>
      <c r="FQ95" s="174"/>
      <c r="FR95" s="330"/>
      <c r="FS95" s="185"/>
      <c r="FT95" s="185"/>
      <c r="FU95" s="185"/>
      <c r="FV95" s="185"/>
      <c r="FW95" s="185"/>
      <c r="FX95" s="185"/>
      <c r="FY95" s="185"/>
      <c r="FZ95" s="185"/>
      <c r="GB95" s="94"/>
      <c r="GC95" s="94"/>
      <c r="GD95" s="94"/>
      <c r="GE95" s="94"/>
      <c r="GF95" s="94"/>
      <c r="GG95" s="94"/>
      <c r="GH95" s="94"/>
    </row>
    <row r="96" spans="1:207" s="63" customFormat="1">
      <c r="A96" s="95"/>
      <c r="B96" s="173"/>
      <c r="C96" s="173"/>
      <c r="D96" s="173"/>
      <c r="E96" s="173"/>
      <c r="F96" s="173"/>
      <c r="G96" s="173"/>
      <c r="H96" s="173"/>
      <c r="I96" s="173"/>
      <c r="J96" s="173"/>
      <c r="K96" s="173"/>
      <c r="L96" s="173"/>
      <c r="M96" s="173"/>
      <c r="N96" s="185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328"/>
      <c r="Z96" s="328"/>
      <c r="AA96" s="328"/>
      <c r="AB96" s="328"/>
      <c r="AC96" s="328"/>
      <c r="AD96" s="185"/>
      <c r="AE96" s="185"/>
      <c r="AF96" s="185"/>
      <c r="AG96" s="185"/>
      <c r="AH96" s="185"/>
      <c r="AI96" s="185"/>
      <c r="AJ96" s="329"/>
      <c r="AK96" s="185"/>
      <c r="AL96" s="185"/>
      <c r="AM96" s="185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85"/>
      <c r="BY96" s="185"/>
      <c r="BZ96" s="185"/>
      <c r="CA96" s="329"/>
      <c r="CB96" s="185"/>
      <c r="CC96" s="185"/>
      <c r="CD96" s="185"/>
      <c r="CE96" s="185"/>
      <c r="CF96" s="329"/>
      <c r="CG96" s="185"/>
      <c r="CH96" s="330"/>
      <c r="CI96" s="185"/>
      <c r="CJ96" s="185"/>
      <c r="CK96" s="185"/>
      <c r="CL96" s="185"/>
      <c r="CM96" s="330"/>
      <c r="CN96" s="185"/>
      <c r="CO96" s="185"/>
      <c r="CP96" s="185"/>
      <c r="CQ96" s="185"/>
      <c r="CR96" s="330"/>
      <c r="CS96" s="185"/>
      <c r="CT96" s="185"/>
      <c r="CU96" s="185"/>
      <c r="CV96" s="185"/>
      <c r="CW96" s="185"/>
      <c r="CX96" s="185"/>
      <c r="CY96" s="185"/>
      <c r="CZ96" s="185"/>
      <c r="DA96" s="185"/>
      <c r="DB96" s="185"/>
      <c r="DC96" s="185"/>
      <c r="DD96" s="185"/>
      <c r="DE96" s="185"/>
      <c r="DF96" s="185"/>
      <c r="DG96" s="330"/>
      <c r="DH96" s="185"/>
      <c r="DI96" s="185"/>
      <c r="DJ96" s="185"/>
      <c r="DK96" s="185"/>
      <c r="DL96" s="185"/>
      <c r="DM96" s="185"/>
      <c r="DN96" s="329"/>
      <c r="DO96" s="185"/>
      <c r="DP96" s="185"/>
      <c r="DQ96" s="185"/>
      <c r="DR96" s="185"/>
      <c r="DS96" s="185"/>
      <c r="DT96" s="185"/>
      <c r="DU96" s="185"/>
      <c r="DV96" s="185"/>
      <c r="DW96" s="185"/>
      <c r="DX96" s="185"/>
      <c r="DY96" s="331"/>
      <c r="DZ96" s="174"/>
      <c r="EA96" s="174"/>
      <c r="EB96" s="174"/>
      <c r="EC96" s="174"/>
      <c r="ED96" s="174"/>
      <c r="EE96" s="126"/>
      <c r="EF96" s="332"/>
      <c r="EG96" s="332"/>
      <c r="EH96" s="332"/>
      <c r="EI96" s="126"/>
      <c r="EJ96" s="332"/>
      <c r="EK96" s="332"/>
      <c r="EL96" s="332"/>
      <c r="EM96" s="332"/>
      <c r="EN96" s="332"/>
      <c r="EO96" s="332"/>
      <c r="EP96" s="332"/>
      <c r="EQ96" s="332"/>
      <c r="ER96" s="332"/>
      <c r="ES96" s="332"/>
      <c r="ET96" s="331"/>
      <c r="EU96" s="331"/>
      <c r="EV96" s="331"/>
      <c r="EW96" s="332"/>
      <c r="EX96" s="332"/>
      <c r="EY96" s="332"/>
      <c r="EZ96" s="332"/>
      <c r="FA96" s="173"/>
      <c r="FB96" s="173"/>
      <c r="FC96" s="173"/>
      <c r="FD96" s="173"/>
      <c r="FE96" s="173"/>
      <c r="FF96" s="173"/>
      <c r="FG96" s="173"/>
      <c r="FH96" s="173"/>
      <c r="FI96" s="173"/>
      <c r="FJ96" s="174"/>
      <c r="FK96" s="174"/>
      <c r="FL96" s="174"/>
      <c r="FM96" s="330"/>
      <c r="FN96" s="185"/>
      <c r="FO96" s="185"/>
      <c r="FP96" s="185"/>
      <c r="FQ96" s="174"/>
      <c r="FR96" s="330"/>
      <c r="FS96" s="185"/>
      <c r="FT96" s="185"/>
      <c r="FU96" s="185"/>
      <c r="FV96" s="185"/>
      <c r="FW96" s="185"/>
      <c r="FX96" s="185"/>
      <c r="FY96" s="185"/>
      <c r="FZ96" s="185"/>
      <c r="GB96" s="94"/>
      <c r="GC96" s="94"/>
      <c r="GD96" s="94"/>
      <c r="GE96" s="94"/>
      <c r="GF96" s="94"/>
      <c r="GG96" s="94"/>
      <c r="GH96" s="94"/>
    </row>
    <row r="97" spans="1:190" s="63" customFormat="1">
      <c r="A97" s="95"/>
      <c r="B97" s="173"/>
      <c r="C97" s="173"/>
      <c r="D97" s="173"/>
      <c r="E97" s="173"/>
      <c r="F97" s="173"/>
      <c r="G97" s="173"/>
      <c r="H97" s="173"/>
      <c r="I97" s="173"/>
      <c r="J97" s="173"/>
      <c r="K97" s="173"/>
      <c r="L97" s="173"/>
      <c r="M97" s="173"/>
      <c r="N97" s="185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328"/>
      <c r="Z97" s="328"/>
      <c r="AA97" s="328"/>
      <c r="AB97" s="328"/>
      <c r="AC97" s="328"/>
      <c r="AD97" s="185"/>
      <c r="AE97" s="185"/>
      <c r="AF97" s="185"/>
      <c r="AG97" s="185"/>
      <c r="AH97" s="185"/>
      <c r="AI97" s="185"/>
      <c r="AJ97" s="329"/>
      <c r="AK97" s="185"/>
      <c r="AL97" s="185"/>
      <c r="AM97" s="185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  <c r="BP97" s="173"/>
      <c r="BQ97" s="173"/>
      <c r="BR97" s="173"/>
      <c r="BS97" s="173"/>
      <c r="BT97" s="173"/>
      <c r="BU97" s="173"/>
      <c r="BV97" s="173"/>
      <c r="BW97" s="173"/>
      <c r="BX97" s="185"/>
      <c r="BY97" s="185"/>
      <c r="BZ97" s="185"/>
      <c r="CA97" s="329"/>
      <c r="CB97" s="185"/>
      <c r="CC97" s="185"/>
      <c r="CD97" s="185"/>
      <c r="CE97" s="185"/>
      <c r="CF97" s="329"/>
      <c r="CG97" s="185"/>
      <c r="CH97" s="330"/>
      <c r="CI97" s="185"/>
      <c r="CJ97" s="185"/>
      <c r="CK97" s="185"/>
      <c r="CL97" s="185"/>
      <c r="CM97" s="330"/>
      <c r="CN97" s="185"/>
      <c r="CO97" s="185"/>
      <c r="CP97" s="185"/>
      <c r="CQ97" s="185"/>
      <c r="CR97" s="330"/>
      <c r="CS97" s="185"/>
      <c r="CT97" s="185"/>
      <c r="CU97" s="185"/>
      <c r="CV97" s="185"/>
      <c r="CW97" s="185"/>
      <c r="CX97" s="185"/>
      <c r="CY97" s="185"/>
      <c r="CZ97" s="185"/>
      <c r="DA97" s="185"/>
      <c r="DB97" s="185"/>
      <c r="DC97" s="185"/>
      <c r="DD97" s="185"/>
      <c r="DE97" s="185"/>
      <c r="DF97" s="185"/>
      <c r="DG97" s="330"/>
      <c r="DH97" s="185"/>
      <c r="DI97" s="185"/>
      <c r="DJ97" s="185"/>
      <c r="DK97" s="185"/>
      <c r="DL97" s="185"/>
      <c r="DM97" s="185"/>
      <c r="DN97" s="329"/>
      <c r="DO97" s="185"/>
      <c r="DP97" s="185"/>
      <c r="DQ97" s="185"/>
      <c r="DR97" s="185"/>
      <c r="DS97" s="185"/>
      <c r="DT97" s="185"/>
      <c r="DU97" s="185"/>
      <c r="DV97" s="185"/>
      <c r="DW97" s="185"/>
      <c r="DX97" s="185"/>
      <c r="DY97" s="331"/>
      <c r="DZ97" s="174"/>
      <c r="EA97" s="174"/>
      <c r="EB97" s="174"/>
      <c r="EC97" s="174"/>
      <c r="ED97" s="174"/>
      <c r="EE97" s="126"/>
      <c r="EF97" s="332"/>
      <c r="EG97" s="332"/>
      <c r="EH97" s="332"/>
      <c r="EI97" s="126"/>
      <c r="EJ97" s="332"/>
      <c r="EK97" s="332"/>
      <c r="EL97" s="332"/>
      <c r="EM97" s="332"/>
      <c r="EN97" s="332"/>
      <c r="EO97" s="332"/>
      <c r="EP97" s="332"/>
      <c r="EQ97" s="332"/>
      <c r="ER97" s="332"/>
      <c r="ES97" s="332"/>
      <c r="ET97" s="331"/>
      <c r="EU97" s="331"/>
      <c r="EV97" s="331"/>
      <c r="EW97" s="332"/>
      <c r="EX97" s="332"/>
      <c r="EY97" s="332"/>
      <c r="EZ97" s="332"/>
      <c r="FA97" s="173"/>
      <c r="FB97" s="173"/>
      <c r="FC97" s="173"/>
      <c r="FD97" s="173"/>
      <c r="FE97" s="173"/>
      <c r="FF97" s="173"/>
      <c r="FG97" s="173"/>
      <c r="FH97" s="173"/>
      <c r="FI97" s="173"/>
      <c r="FJ97" s="174"/>
      <c r="FK97" s="174"/>
      <c r="FL97" s="174"/>
      <c r="FM97" s="330"/>
      <c r="FN97" s="185"/>
      <c r="FO97" s="185"/>
      <c r="FP97" s="185"/>
      <c r="FQ97" s="174"/>
      <c r="FR97" s="330"/>
      <c r="FS97" s="185"/>
      <c r="FT97" s="185"/>
      <c r="FU97" s="185"/>
      <c r="FV97" s="185"/>
      <c r="FW97" s="185"/>
      <c r="FX97" s="185"/>
      <c r="FY97" s="185"/>
      <c r="FZ97" s="185"/>
      <c r="GB97" s="94"/>
      <c r="GC97" s="94"/>
      <c r="GD97" s="94"/>
      <c r="GE97" s="94"/>
      <c r="GF97" s="94"/>
      <c r="GG97" s="94"/>
      <c r="GH97" s="94"/>
    </row>
    <row r="98" spans="1:190" s="63" customFormat="1">
      <c r="A98" s="95"/>
      <c r="B98" s="173"/>
      <c r="C98" s="173"/>
      <c r="D98" s="173"/>
      <c r="E98" s="173"/>
      <c r="F98" s="173"/>
      <c r="G98" s="173"/>
      <c r="H98" s="173"/>
      <c r="I98" s="173"/>
      <c r="J98" s="173"/>
      <c r="K98" s="173"/>
      <c r="L98" s="173"/>
      <c r="M98" s="173"/>
      <c r="N98" s="185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328"/>
      <c r="Z98" s="328"/>
      <c r="AA98" s="328"/>
      <c r="AB98" s="328"/>
      <c r="AC98" s="328"/>
      <c r="AD98" s="185"/>
      <c r="AE98" s="185"/>
      <c r="AF98" s="185"/>
      <c r="AG98" s="185"/>
      <c r="AH98" s="185"/>
      <c r="AI98" s="185"/>
      <c r="AJ98" s="329"/>
      <c r="AK98" s="185"/>
      <c r="AL98" s="185"/>
      <c r="AM98" s="185"/>
      <c r="AN98" s="173"/>
      <c r="AO98" s="173"/>
      <c r="AP98" s="173"/>
      <c r="AQ98" s="173"/>
      <c r="AR98" s="173"/>
      <c r="AS98" s="173"/>
      <c r="AT98" s="173"/>
      <c r="AU98" s="173"/>
      <c r="AV98" s="173"/>
      <c r="AW98" s="173"/>
      <c r="AX98" s="173"/>
      <c r="AY98" s="173"/>
      <c r="AZ98" s="173"/>
      <c r="BA98" s="173"/>
      <c r="BB98" s="173"/>
      <c r="BC98" s="173"/>
      <c r="BD98" s="173"/>
      <c r="BE98" s="173"/>
      <c r="BF98" s="173"/>
      <c r="BG98" s="173"/>
      <c r="BH98" s="173"/>
      <c r="BI98" s="173"/>
      <c r="BJ98" s="173"/>
      <c r="BK98" s="173"/>
      <c r="BL98" s="173"/>
      <c r="BM98" s="173"/>
      <c r="BN98" s="173"/>
      <c r="BO98" s="173"/>
      <c r="BP98" s="173"/>
      <c r="BQ98" s="173"/>
      <c r="BR98" s="173"/>
      <c r="BS98" s="173"/>
      <c r="BT98" s="173"/>
      <c r="BU98" s="173"/>
      <c r="BV98" s="173"/>
      <c r="BW98" s="173"/>
      <c r="BX98" s="185"/>
      <c r="BY98" s="185"/>
      <c r="BZ98" s="185"/>
      <c r="CA98" s="329"/>
      <c r="CB98" s="185"/>
      <c r="CC98" s="185"/>
      <c r="CD98" s="185"/>
      <c r="CE98" s="185"/>
      <c r="CF98" s="329"/>
      <c r="CG98" s="185"/>
      <c r="CH98" s="330"/>
      <c r="CI98" s="185"/>
      <c r="CJ98" s="185"/>
      <c r="CK98" s="185"/>
      <c r="CL98" s="185"/>
      <c r="CM98" s="330"/>
      <c r="CN98" s="185"/>
      <c r="CO98" s="185"/>
      <c r="CP98" s="185"/>
      <c r="CQ98" s="185"/>
      <c r="CR98" s="330"/>
      <c r="CS98" s="185"/>
      <c r="CT98" s="185"/>
      <c r="CU98" s="185"/>
      <c r="CV98" s="185"/>
      <c r="CW98" s="185"/>
      <c r="CX98" s="185"/>
      <c r="CY98" s="185"/>
      <c r="CZ98" s="185"/>
      <c r="DA98" s="185"/>
      <c r="DB98" s="185"/>
      <c r="DC98" s="185"/>
      <c r="DD98" s="185"/>
      <c r="DE98" s="185"/>
      <c r="DF98" s="185"/>
      <c r="DG98" s="330"/>
      <c r="DH98" s="185"/>
      <c r="DI98" s="185"/>
      <c r="DJ98" s="185"/>
      <c r="DK98" s="185"/>
      <c r="DL98" s="185"/>
      <c r="DM98" s="185"/>
      <c r="DN98" s="329"/>
      <c r="DO98" s="185"/>
      <c r="DP98" s="185"/>
      <c r="DQ98" s="185"/>
      <c r="DR98" s="185"/>
      <c r="DS98" s="185"/>
      <c r="DT98" s="185"/>
      <c r="DU98" s="185"/>
      <c r="DV98" s="185"/>
      <c r="DW98" s="185"/>
      <c r="DX98" s="185"/>
      <c r="DY98" s="331"/>
      <c r="DZ98" s="174"/>
      <c r="EA98" s="174"/>
      <c r="EB98" s="174"/>
      <c r="EC98" s="174"/>
      <c r="ED98" s="174"/>
      <c r="EE98" s="126"/>
      <c r="EF98" s="332"/>
      <c r="EG98" s="332"/>
      <c r="EH98" s="332"/>
      <c r="EI98" s="126"/>
      <c r="EJ98" s="332"/>
      <c r="EK98" s="332"/>
      <c r="EL98" s="332"/>
      <c r="EM98" s="332"/>
      <c r="EN98" s="332"/>
      <c r="EO98" s="332"/>
      <c r="EP98" s="332"/>
      <c r="EQ98" s="332"/>
      <c r="ER98" s="332"/>
      <c r="ES98" s="332"/>
      <c r="ET98" s="331"/>
      <c r="EU98" s="331"/>
      <c r="EV98" s="331"/>
      <c r="EW98" s="332"/>
      <c r="EX98" s="332"/>
      <c r="EY98" s="332"/>
      <c r="EZ98" s="332"/>
      <c r="FA98" s="173"/>
      <c r="FB98" s="173"/>
      <c r="FC98" s="173"/>
      <c r="FD98" s="173"/>
      <c r="FE98" s="173"/>
      <c r="FF98" s="173"/>
      <c r="FG98" s="173"/>
      <c r="FH98" s="173"/>
      <c r="FI98" s="173"/>
      <c r="FJ98" s="174"/>
      <c r="FK98" s="174"/>
      <c r="FL98" s="174"/>
      <c r="FM98" s="330"/>
      <c r="FN98" s="185"/>
      <c r="FO98" s="185"/>
      <c r="FP98" s="185"/>
      <c r="FQ98" s="174"/>
      <c r="FR98" s="330"/>
      <c r="FS98" s="185"/>
      <c r="FT98" s="185"/>
      <c r="FU98" s="185"/>
      <c r="FV98" s="185"/>
      <c r="FW98" s="185"/>
      <c r="FX98" s="185"/>
      <c r="FY98" s="185"/>
      <c r="FZ98" s="185"/>
      <c r="GB98" s="94"/>
      <c r="GC98" s="94"/>
      <c r="GD98" s="94"/>
      <c r="GE98" s="94"/>
      <c r="GF98" s="94"/>
      <c r="GG98" s="94"/>
      <c r="GH98" s="94"/>
    </row>
    <row r="99" spans="1:190" s="63" customFormat="1">
      <c r="A99" s="95"/>
      <c r="B99" s="173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85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328"/>
      <c r="Z99" s="328"/>
      <c r="AA99" s="328"/>
      <c r="AB99" s="328"/>
      <c r="AC99" s="328"/>
      <c r="AD99" s="185"/>
      <c r="AE99" s="185"/>
      <c r="AF99" s="185"/>
      <c r="AG99" s="185"/>
      <c r="AH99" s="185"/>
      <c r="AI99" s="185"/>
      <c r="AJ99" s="329"/>
      <c r="AK99" s="185"/>
      <c r="AL99" s="185"/>
      <c r="AM99" s="185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  <c r="BU99" s="173"/>
      <c r="BV99" s="173"/>
      <c r="BW99" s="173"/>
      <c r="BX99" s="185"/>
      <c r="BY99" s="185"/>
      <c r="BZ99" s="185"/>
      <c r="CA99" s="329"/>
      <c r="CB99" s="185"/>
      <c r="CC99" s="185"/>
      <c r="CD99" s="185"/>
      <c r="CE99" s="185"/>
      <c r="CF99" s="329"/>
      <c r="CG99" s="185"/>
      <c r="CH99" s="330"/>
      <c r="CI99" s="185"/>
      <c r="CJ99" s="185"/>
      <c r="CK99" s="185"/>
      <c r="CL99" s="185"/>
      <c r="CM99" s="330"/>
      <c r="CN99" s="185"/>
      <c r="CO99" s="185"/>
      <c r="CP99" s="185"/>
      <c r="CQ99" s="185"/>
      <c r="CR99" s="330"/>
      <c r="CS99" s="185"/>
      <c r="CT99" s="185"/>
      <c r="CU99" s="185"/>
      <c r="CV99" s="185"/>
      <c r="CW99" s="185"/>
      <c r="CX99" s="185"/>
      <c r="CY99" s="185"/>
      <c r="CZ99" s="185"/>
      <c r="DA99" s="185"/>
      <c r="DB99" s="185"/>
      <c r="DC99" s="185"/>
      <c r="DD99" s="185"/>
      <c r="DE99" s="185"/>
      <c r="DF99" s="185"/>
      <c r="DG99" s="330"/>
      <c r="DH99" s="185"/>
      <c r="DI99" s="185"/>
      <c r="DJ99" s="185"/>
      <c r="DK99" s="185"/>
      <c r="DL99" s="185"/>
      <c r="DM99" s="185"/>
      <c r="DN99" s="329"/>
      <c r="DO99" s="185"/>
      <c r="DP99" s="185"/>
      <c r="DQ99" s="185"/>
      <c r="DR99" s="185"/>
      <c r="DS99" s="185"/>
      <c r="DT99" s="185"/>
      <c r="DU99" s="185"/>
      <c r="DV99" s="185"/>
      <c r="DW99" s="185"/>
      <c r="DX99" s="185"/>
      <c r="DY99" s="331"/>
      <c r="DZ99" s="174"/>
      <c r="EA99" s="174"/>
      <c r="EB99" s="174"/>
      <c r="EC99" s="174"/>
      <c r="ED99" s="174"/>
      <c r="EE99" s="126"/>
      <c r="EF99" s="332"/>
      <c r="EG99" s="332"/>
      <c r="EH99" s="332"/>
      <c r="EI99" s="126"/>
      <c r="EJ99" s="332"/>
      <c r="EK99" s="332"/>
      <c r="EL99" s="332"/>
      <c r="EM99" s="332"/>
      <c r="EN99" s="332"/>
      <c r="EO99" s="332"/>
      <c r="EP99" s="332"/>
      <c r="EQ99" s="332"/>
      <c r="ER99" s="332"/>
      <c r="ES99" s="332"/>
      <c r="ET99" s="331"/>
      <c r="EU99" s="331"/>
      <c r="EV99" s="331"/>
      <c r="EW99" s="332"/>
      <c r="EX99" s="332"/>
      <c r="EY99" s="332"/>
      <c r="EZ99" s="332"/>
      <c r="FA99" s="173"/>
      <c r="FB99" s="173"/>
      <c r="FC99" s="173"/>
      <c r="FD99" s="173"/>
      <c r="FE99" s="173"/>
      <c r="FF99" s="173"/>
      <c r="FG99" s="173"/>
      <c r="FH99" s="173"/>
      <c r="FI99" s="173"/>
      <c r="FJ99" s="174"/>
      <c r="FK99" s="174"/>
      <c r="FL99" s="174"/>
      <c r="FM99" s="330"/>
      <c r="FN99" s="185"/>
      <c r="FO99" s="185"/>
      <c r="FP99" s="185"/>
      <c r="FQ99" s="174"/>
      <c r="FR99" s="330"/>
      <c r="FS99" s="185"/>
      <c r="FT99" s="185"/>
      <c r="FU99" s="185"/>
      <c r="FV99" s="185"/>
      <c r="FW99" s="185"/>
      <c r="FX99" s="185"/>
      <c r="FY99" s="185"/>
      <c r="FZ99" s="185"/>
      <c r="GB99" s="94"/>
      <c r="GC99" s="94"/>
      <c r="GD99" s="94"/>
      <c r="GE99" s="94"/>
      <c r="GF99" s="94"/>
      <c r="GG99" s="94"/>
      <c r="GH99" s="94"/>
    </row>
    <row r="100" spans="1:190" s="63" customFormat="1">
      <c r="A100" s="95"/>
      <c r="B100" s="173"/>
      <c r="C100" s="173"/>
      <c r="D100" s="173"/>
      <c r="E100" s="173"/>
      <c r="F100" s="173"/>
      <c r="G100" s="173"/>
      <c r="H100" s="173"/>
      <c r="I100" s="173"/>
      <c r="J100" s="173"/>
      <c r="K100" s="173"/>
      <c r="L100" s="173"/>
      <c r="M100" s="173"/>
      <c r="N100" s="185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328"/>
      <c r="Z100" s="328"/>
      <c r="AA100" s="328"/>
      <c r="AB100" s="328"/>
      <c r="AC100" s="328"/>
      <c r="AD100" s="185"/>
      <c r="AE100" s="185"/>
      <c r="AF100" s="185"/>
      <c r="AG100" s="185"/>
      <c r="AH100" s="185"/>
      <c r="AI100" s="185"/>
      <c r="AJ100" s="329"/>
      <c r="AK100" s="185"/>
      <c r="AL100" s="185"/>
      <c r="AM100" s="185"/>
      <c r="AN100" s="173"/>
      <c r="AO100" s="173"/>
      <c r="AP100" s="173"/>
      <c r="AQ100" s="173"/>
      <c r="AR100" s="173"/>
      <c r="AS100" s="173"/>
      <c r="AT100" s="173"/>
      <c r="AU100" s="173"/>
      <c r="AV100" s="173"/>
      <c r="AW100" s="173"/>
      <c r="AX100" s="173"/>
      <c r="AY100" s="173"/>
      <c r="AZ100" s="173"/>
      <c r="BA100" s="173"/>
      <c r="BB100" s="173"/>
      <c r="BC100" s="173"/>
      <c r="BD100" s="173"/>
      <c r="BE100" s="173"/>
      <c r="BF100" s="173"/>
      <c r="BG100" s="173"/>
      <c r="BH100" s="173"/>
      <c r="BI100" s="173"/>
      <c r="BJ100" s="173"/>
      <c r="BK100" s="173"/>
      <c r="BL100" s="173"/>
      <c r="BM100" s="173"/>
      <c r="BN100" s="173"/>
      <c r="BO100" s="173"/>
      <c r="BP100" s="173"/>
      <c r="BQ100" s="173"/>
      <c r="BR100" s="173"/>
      <c r="BS100" s="173"/>
      <c r="BT100" s="173"/>
      <c r="BU100" s="173"/>
      <c r="BV100" s="173"/>
      <c r="BW100" s="173"/>
      <c r="BX100" s="185"/>
      <c r="BY100" s="185"/>
      <c r="BZ100" s="185"/>
      <c r="CA100" s="329"/>
      <c r="CB100" s="185"/>
      <c r="CC100" s="185"/>
      <c r="CD100" s="185"/>
      <c r="CE100" s="185"/>
      <c r="CF100" s="329"/>
      <c r="CG100" s="185"/>
      <c r="CH100" s="330"/>
      <c r="CI100" s="185"/>
      <c r="CJ100" s="185"/>
      <c r="CK100" s="185"/>
      <c r="CL100" s="185"/>
      <c r="CM100" s="330"/>
      <c r="CN100" s="185"/>
      <c r="CO100" s="185"/>
      <c r="CP100" s="185"/>
      <c r="CQ100" s="185"/>
      <c r="CR100" s="330"/>
      <c r="CS100" s="185"/>
      <c r="CT100" s="185"/>
      <c r="CU100" s="185"/>
      <c r="CV100" s="185"/>
      <c r="CW100" s="185"/>
      <c r="CX100" s="185"/>
      <c r="CY100" s="185"/>
      <c r="CZ100" s="185"/>
      <c r="DA100" s="185"/>
      <c r="DB100" s="185"/>
      <c r="DC100" s="185"/>
      <c r="DD100" s="185"/>
      <c r="DE100" s="185"/>
      <c r="DF100" s="185"/>
      <c r="DG100" s="330"/>
      <c r="DH100" s="185"/>
      <c r="DI100" s="185"/>
      <c r="DJ100" s="185"/>
      <c r="DK100" s="185"/>
      <c r="DL100" s="185"/>
      <c r="DM100" s="185"/>
      <c r="DN100" s="329"/>
      <c r="DO100" s="185"/>
      <c r="DP100" s="185"/>
      <c r="DQ100" s="185"/>
      <c r="DR100" s="185"/>
      <c r="DS100" s="185"/>
      <c r="DT100" s="185"/>
      <c r="DU100" s="185"/>
      <c r="DV100" s="185"/>
      <c r="DW100" s="185"/>
      <c r="DX100" s="185"/>
      <c r="DY100" s="331"/>
      <c r="DZ100" s="174"/>
      <c r="EA100" s="174"/>
      <c r="EB100" s="174"/>
      <c r="EC100" s="174"/>
      <c r="ED100" s="174"/>
      <c r="EE100" s="126"/>
      <c r="EF100" s="332"/>
      <c r="EG100" s="332"/>
      <c r="EH100" s="332"/>
      <c r="EI100" s="126"/>
      <c r="EJ100" s="332"/>
      <c r="EK100" s="332"/>
      <c r="EL100" s="332"/>
      <c r="EM100" s="332"/>
      <c r="EN100" s="332"/>
      <c r="EO100" s="332"/>
      <c r="EP100" s="332"/>
      <c r="EQ100" s="332"/>
      <c r="ER100" s="332"/>
      <c r="ES100" s="332"/>
      <c r="ET100" s="331"/>
      <c r="EU100" s="331"/>
      <c r="EV100" s="331"/>
      <c r="EW100" s="332"/>
      <c r="EX100" s="332"/>
      <c r="EY100" s="332"/>
      <c r="EZ100" s="332"/>
      <c r="FA100" s="173"/>
      <c r="FB100" s="173"/>
      <c r="FC100" s="173"/>
      <c r="FD100" s="173"/>
      <c r="FE100" s="173"/>
      <c r="FF100" s="173"/>
      <c r="FG100" s="173"/>
      <c r="FH100" s="173"/>
      <c r="FI100" s="173"/>
      <c r="FJ100" s="174"/>
      <c r="FK100" s="174"/>
      <c r="FL100" s="174"/>
      <c r="FM100" s="330"/>
      <c r="FN100" s="185"/>
      <c r="FO100" s="185"/>
      <c r="FP100" s="185"/>
      <c r="FQ100" s="174"/>
      <c r="FR100" s="330"/>
      <c r="FS100" s="185"/>
      <c r="FT100" s="185"/>
      <c r="FU100" s="185"/>
      <c r="FV100" s="185"/>
      <c r="FW100" s="185"/>
      <c r="FX100" s="185"/>
      <c r="FY100" s="185"/>
      <c r="FZ100" s="185"/>
      <c r="GB100" s="94"/>
      <c r="GC100" s="94"/>
      <c r="GD100" s="94"/>
      <c r="GE100" s="94"/>
      <c r="GF100" s="94"/>
      <c r="GG100" s="94"/>
      <c r="GH100" s="94"/>
    </row>
    <row r="101" spans="1:190" s="63" customFormat="1">
      <c r="A101" s="95"/>
      <c r="B101" s="173"/>
      <c r="C101" s="173"/>
      <c r="D101" s="173"/>
      <c r="E101" s="173"/>
      <c r="F101" s="173"/>
      <c r="G101" s="173"/>
      <c r="H101" s="173"/>
      <c r="I101" s="173"/>
      <c r="J101" s="173"/>
      <c r="K101" s="173"/>
      <c r="L101" s="173"/>
      <c r="M101" s="173"/>
      <c r="N101" s="185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328"/>
      <c r="Z101" s="328"/>
      <c r="AA101" s="328"/>
      <c r="AB101" s="328"/>
      <c r="AC101" s="328"/>
      <c r="AD101" s="185"/>
      <c r="AE101" s="185"/>
      <c r="AF101" s="185"/>
      <c r="AG101" s="185"/>
      <c r="AH101" s="185"/>
      <c r="AI101" s="185"/>
      <c r="AJ101" s="329"/>
      <c r="AK101" s="185"/>
      <c r="AL101" s="185"/>
      <c r="AM101" s="185"/>
      <c r="AN101" s="173"/>
      <c r="AO101" s="173"/>
      <c r="AP101" s="173"/>
      <c r="AQ101" s="173"/>
      <c r="AR101" s="173"/>
      <c r="AS101" s="173"/>
      <c r="AT101" s="173"/>
      <c r="AU101" s="173"/>
      <c r="AV101" s="173"/>
      <c r="AW101" s="173"/>
      <c r="AX101" s="173"/>
      <c r="AY101" s="173"/>
      <c r="AZ101" s="173"/>
      <c r="BA101" s="173"/>
      <c r="BB101" s="173"/>
      <c r="BC101" s="173"/>
      <c r="BD101" s="173"/>
      <c r="BE101" s="173"/>
      <c r="BF101" s="173"/>
      <c r="BG101" s="173"/>
      <c r="BH101" s="173"/>
      <c r="BI101" s="173"/>
      <c r="BJ101" s="173"/>
      <c r="BK101" s="173"/>
      <c r="BL101" s="173"/>
      <c r="BM101" s="173"/>
      <c r="BN101" s="173"/>
      <c r="BO101" s="173"/>
      <c r="BP101" s="173"/>
      <c r="BQ101" s="173"/>
      <c r="BR101" s="173"/>
      <c r="BS101" s="173"/>
      <c r="BT101" s="173"/>
      <c r="BU101" s="173"/>
      <c r="BV101" s="173"/>
      <c r="BW101" s="173"/>
      <c r="BX101" s="185"/>
      <c r="BY101" s="185"/>
      <c r="BZ101" s="185"/>
      <c r="CA101" s="329"/>
      <c r="CB101" s="185"/>
      <c r="CC101" s="185"/>
      <c r="CD101" s="185"/>
      <c r="CE101" s="185"/>
      <c r="CF101" s="329"/>
      <c r="CG101" s="185"/>
      <c r="CH101" s="330"/>
      <c r="CI101" s="185"/>
      <c r="CJ101" s="185"/>
      <c r="CK101" s="185"/>
      <c r="CL101" s="185"/>
      <c r="CM101" s="330"/>
      <c r="CN101" s="185"/>
      <c r="CO101" s="185"/>
      <c r="CP101" s="185"/>
      <c r="CQ101" s="185"/>
      <c r="CR101" s="330"/>
      <c r="CS101" s="185"/>
      <c r="CT101" s="185"/>
      <c r="CU101" s="185"/>
      <c r="CV101" s="185"/>
      <c r="CW101" s="185"/>
      <c r="CX101" s="185"/>
      <c r="CY101" s="185"/>
      <c r="CZ101" s="185"/>
      <c r="DA101" s="185"/>
      <c r="DB101" s="185"/>
      <c r="DC101" s="185"/>
      <c r="DD101" s="185"/>
      <c r="DE101" s="185"/>
      <c r="DF101" s="185"/>
      <c r="DG101" s="330"/>
      <c r="DH101" s="185"/>
      <c r="DI101" s="185"/>
      <c r="DJ101" s="185"/>
      <c r="DK101" s="185"/>
      <c r="DL101" s="185"/>
      <c r="DM101" s="185"/>
      <c r="DN101" s="329"/>
      <c r="DO101" s="185"/>
      <c r="DP101" s="185"/>
      <c r="DQ101" s="185"/>
      <c r="DR101" s="185"/>
      <c r="DS101" s="185"/>
      <c r="DT101" s="185"/>
      <c r="DU101" s="185"/>
      <c r="DV101" s="185"/>
      <c r="DW101" s="185"/>
      <c r="DX101" s="185"/>
      <c r="DY101" s="331"/>
      <c r="DZ101" s="174"/>
      <c r="EA101" s="174"/>
      <c r="EB101" s="174"/>
      <c r="EC101" s="174"/>
      <c r="ED101" s="174"/>
      <c r="EE101" s="126"/>
      <c r="EF101" s="332"/>
      <c r="EG101" s="332"/>
      <c r="EH101" s="332"/>
      <c r="EI101" s="126"/>
      <c r="EJ101" s="332"/>
      <c r="EK101" s="332"/>
      <c r="EL101" s="332"/>
      <c r="EM101" s="332"/>
      <c r="EN101" s="332"/>
      <c r="EO101" s="332"/>
      <c r="EP101" s="332"/>
      <c r="EQ101" s="332"/>
      <c r="ER101" s="332"/>
      <c r="ES101" s="332"/>
      <c r="ET101" s="331"/>
      <c r="EU101" s="331"/>
      <c r="EV101" s="331"/>
      <c r="EW101" s="332"/>
      <c r="EX101" s="332"/>
      <c r="EY101" s="332"/>
      <c r="EZ101" s="332"/>
      <c r="FA101" s="173"/>
      <c r="FB101" s="173"/>
      <c r="FC101" s="173"/>
      <c r="FD101" s="173"/>
      <c r="FE101" s="173"/>
      <c r="FF101" s="173"/>
      <c r="FG101" s="173"/>
      <c r="FH101" s="173"/>
      <c r="FI101" s="173"/>
      <c r="FJ101" s="174"/>
      <c r="FK101" s="174"/>
      <c r="FL101" s="174"/>
      <c r="FM101" s="330"/>
      <c r="FN101" s="185"/>
      <c r="FO101" s="185"/>
      <c r="FP101" s="185"/>
      <c r="FQ101" s="174"/>
      <c r="FR101" s="330"/>
      <c r="FS101" s="185"/>
      <c r="FT101" s="185"/>
      <c r="FU101" s="185"/>
      <c r="FV101" s="185"/>
      <c r="FW101" s="185"/>
      <c r="FX101" s="185"/>
      <c r="FY101" s="185"/>
      <c r="FZ101" s="185"/>
      <c r="GB101" s="94"/>
      <c r="GC101" s="94"/>
      <c r="GD101" s="94"/>
      <c r="GE101" s="94"/>
      <c r="GF101" s="94"/>
      <c r="GG101" s="94"/>
      <c r="GH101" s="94"/>
    </row>
    <row r="102" spans="1:190" s="63" customFormat="1">
      <c r="A102" s="95"/>
      <c r="B102" s="351"/>
      <c r="C102" s="351"/>
      <c r="D102" s="339"/>
      <c r="E102" s="339"/>
      <c r="F102" s="339"/>
      <c r="G102" s="339"/>
      <c r="H102" s="339"/>
      <c r="I102" s="339"/>
      <c r="J102" s="352"/>
      <c r="K102" s="340"/>
      <c r="L102" s="340"/>
      <c r="M102" s="352"/>
      <c r="N102" s="352"/>
      <c r="O102" s="352"/>
      <c r="P102" s="352"/>
      <c r="Q102" s="352"/>
      <c r="R102" s="352"/>
      <c r="S102" s="352"/>
      <c r="T102" s="352"/>
      <c r="U102" s="352"/>
      <c r="V102" s="352"/>
      <c r="W102" s="340"/>
      <c r="X102" s="340"/>
      <c r="Y102" s="340"/>
      <c r="Z102" s="340"/>
      <c r="AA102" s="340"/>
      <c r="AB102" s="340"/>
      <c r="AC102" s="340"/>
      <c r="AD102" s="340"/>
      <c r="AE102" s="340"/>
      <c r="AF102" s="340"/>
      <c r="AG102" s="340"/>
      <c r="AH102" s="340"/>
      <c r="AI102" s="340"/>
      <c r="AJ102" s="340"/>
      <c r="AK102" s="340"/>
      <c r="AL102" s="340"/>
      <c r="AM102" s="340"/>
      <c r="AN102" s="340"/>
      <c r="AO102" s="344"/>
      <c r="AP102" s="346"/>
      <c r="AQ102" s="340"/>
      <c r="AR102" s="340"/>
      <c r="AS102" s="340"/>
      <c r="AT102" s="340"/>
      <c r="AU102" s="340"/>
      <c r="AV102" s="340"/>
      <c r="AW102" s="340"/>
      <c r="AX102" s="340"/>
      <c r="AY102" s="340"/>
      <c r="AZ102" s="340"/>
      <c r="BA102" s="340"/>
      <c r="BB102" s="340"/>
      <c r="BC102" s="340"/>
      <c r="BD102" s="340"/>
      <c r="BE102" s="340"/>
      <c r="BF102" s="340"/>
      <c r="BG102" s="340"/>
      <c r="BH102" s="340"/>
      <c r="BI102" s="340"/>
      <c r="BJ102" s="340"/>
      <c r="BK102" s="340"/>
      <c r="BL102" s="340"/>
      <c r="BM102" s="340"/>
      <c r="BN102" s="340"/>
      <c r="BO102" s="340"/>
      <c r="BP102" s="340"/>
      <c r="BQ102" s="340"/>
      <c r="BR102" s="340"/>
      <c r="BS102" s="340"/>
      <c r="BT102" s="340"/>
      <c r="BU102" s="340"/>
      <c r="BV102" s="340"/>
      <c r="BW102" s="340"/>
      <c r="BX102" s="340"/>
      <c r="BY102" s="340"/>
      <c r="BZ102" s="340"/>
      <c r="CA102" s="340"/>
      <c r="CB102" s="340"/>
      <c r="CC102" s="340"/>
      <c r="CD102" s="340"/>
      <c r="CE102" s="340"/>
      <c r="CF102" s="340"/>
      <c r="CG102" s="346"/>
      <c r="CH102" s="340"/>
      <c r="CI102" s="346"/>
      <c r="CJ102" s="346"/>
      <c r="CK102" s="346"/>
      <c r="CL102" s="346"/>
      <c r="CM102" s="340"/>
      <c r="CN102" s="340"/>
      <c r="CO102" s="340"/>
      <c r="CP102" s="340"/>
      <c r="CQ102" s="340"/>
      <c r="CR102" s="340"/>
      <c r="CS102" s="340"/>
      <c r="CT102" s="260"/>
      <c r="CU102" s="260"/>
      <c r="CV102" s="260"/>
      <c r="CW102" s="260"/>
      <c r="CX102" s="260"/>
      <c r="CY102" s="260"/>
      <c r="CZ102" s="260"/>
      <c r="DA102" s="260"/>
      <c r="DB102" s="260"/>
      <c r="DC102" s="260"/>
      <c r="DD102" s="260"/>
      <c r="DE102" s="260"/>
      <c r="DF102" s="260"/>
      <c r="DG102" s="260"/>
      <c r="DH102" s="260"/>
      <c r="DI102" s="260"/>
      <c r="DJ102" s="260"/>
      <c r="DK102" s="347"/>
      <c r="DL102" s="347"/>
      <c r="DM102" s="347"/>
      <c r="DN102" s="347"/>
      <c r="DO102" s="353"/>
      <c r="DP102" s="348"/>
      <c r="DQ102" s="348"/>
      <c r="DR102" s="348"/>
      <c r="DS102" s="348"/>
      <c r="DT102" s="348"/>
      <c r="DU102" s="348"/>
      <c r="DV102" s="348"/>
      <c r="DW102" s="348"/>
      <c r="DX102" s="348"/>
      <c r="DY102" s="348"/>
      <c r="DZ102" s="348"/>
      <c r="EA102" s="348"/>
      <c r="EB102" s="348"/>
      <c r="EC102" s="349"/>
      <c r="ED102" s="349"/>
      <c r="EE102" s="349"/>
      <c r="EF102" s="349"/>
      <c r="EG102" s="349"/>
      <c r="EH102" s="349"/>
      <c r="EI102" s="349"/>
      <c r="EJ102" s="349"/>
      <c r="EK102" s="349"/>
      <c r="EL102" s="341"/>
      <c r="EM102" s="339"/>
      <c r="EN102" s="339"/>
      <c r="EO102" s="339"/>
      <c r="EP102" s="341"/>
      <c r="EQ102" s="339"/>
      <c r="ER102" s="339"/>
      <c r="ES102" s="339"/>
      <c r="ET102" s="350"/>
      <c r="EU102" s="350"/>
      <c r="EV102" s="350"/>
      <c r="EW102" s="350"/>
      <c r="EX102" s="350"/>
      <c r="EY102" s="350"/>
      <c r="EZ102" s="350"/>
      <c r="FA102" s="345"/>
      <c r="FB102" s="339"/>
      <c r="FC102" s="339"/>
      <c r="FD102" s="339"/>
      <c r="GB102" s="94"/>
      <c r="GC102" s="94"/>
      <c r="GD102" s="94"/>
      <c r="GE102" s="94"/>
      <c r="GF102" s="94"/>
      <c r="GG102" s="94"/>
      <c r="GH102" s="94"/>
    </row>
    <row r="103" spans="1:190" s="63" customFormat="1">
      <c r="A103" s="95"/>
      <c r="B103" s="351"/>
      <c r="C103" s="351"/>
      <c r="D103" s="339"/>
      <c r="E103" s="339"/>
      <c r="F103" s="339"/>
      <c r="G103" s="339"/>
      <c r="H103" s="339"/>
      <c r="I103" s="339"/>
      <c r="J103" s="352"/>
      <c r="K103" s="340"/>
      <c r="L103" s="340"/>
      <c r="M103" s="352"/>
      <c r="N103" s="352"/>
      <c r="O103" s="352"/>
      <c r="P103" s="352"/>
      <c r="Q103" s="352"/>
      <c r="R103" s="352"/>
      <c r="S103" s="352"/>
      <c r="T103" s="352"/>
      <c r="U103" s="352"/>
      <c r="V103" s="352"/>
      <c r="W103" s="340"/>
      <c r="X103" s="340"/>
      <c r="Y103" s="340"/>
      <c r="Z103" s="340"/>
      <c r="AA103" s="340"/>
      <c r="AB103" s="340"/>
      <c r="AC103" s="340"/>
      <c r="AD103" s="340"/>
      <c r="AE103" s="340"/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4"/>
      <c r="AP103" s="346"/>
      <c r="AQ103" s="340"/>
      <c r="AR103" s="340"/>
      <c r="AS103" s="340"/>
      <c r="AT103" s="340"/>
      <c r="AU103" s="340"/>
      <c r="AV103" s="340"/>
      <c r="AW103" s="340"/>
      <c r="AX103" s="340"/>
      <c r="AY103" s="340"/>
      <c r="AZ103" s="340"/>
      <c r="BA103" s="340"/>
      <c r="BB103" s="340"/>
      <c r="BC103" s="340"/>
      <c r="BD103" s="340"/>
      <c r="BE103" s="340"/>
      <c r="BF103" s="340"/>
      <c r="BG103" s="340"/>
      <c r="BH103" s="340"/>
      <c r="BI103" s="340"/>
      <c r="BJ103" s="340"/>
      <c r="BK103" s="340"/>
      <c r="BL103" s="340"/>
      <c r="BM103" s="340"/>
      <c r="BN103" s="340"/>
      <c r="BO103" s="340"/>
      <c r="BP103" s="340"/>
      <c r="BQ103" s="340"/>
      <c r="BR103" s="340"/>
      <c r="BS103" s="340"/>
      <c r="BT103" s="340"/>
      <c r="BU103" s="340"/>
      <c r="BV103" s="340"/>
      <c r="BW103" s="340"/>
      <c r="BX103" s="340"/>
      <c r="BY103" s="340"/>
      <c r="BZ103" s="340"/>
      <c r="CA103" s="340"/>
      <c r="CB103" s="340"/>
      <c r="CC103" s="340"/>
      <c r="CD103" s="340"/>
      <c r="CE103" s="340"/>
      <c r="CF103" s="340"/>
      <c r="CG103" s="346"/>
      <c r="CH103" s="340"/>
      <c r="CI103" s="346"/>
      <c r="CJ103" s="346"/>
      <c r="CK103" s="346"/>
      <c r="CL103" s="346"/>
      <c r="CM103" s="340"/>
      <c r="CN103" s="340"/>
      <c r="CO103" s="340"/>
      <c r="CP103" s="340"/>
      <c r="CQ103" s="340"/>
      <c r="CR103" s="340"/>
      <c r="CS103" s="340"/>
      <c r="CT103" s="260"/>
      <c r="CU103" s="260"/>
      <c r="CV103" s="260"/>
      <c r="CW103" s="260"/>
      <c r="CX103" s="260"/>
      <c r="CY103" s="260"/>
      <c r="CZ103" s="260"/>
      <c r="DA103" s="260"/>
      <c r="DB103" s="260"/>
      <c r="DC103" s="260"/>
      <c r="DD103" s="260"/>
      <c r="DE103" s="260"/>
      <c r="DF103" s="260"/>
      <c r="DG103" s="260"/>
      <c r="DH103" s="260"/>
      <c r="DI103" s="260"/>
      <c r="DJ103" s="260"/>
      <c r="DK103" s="347"/>
      <c r="DL103" s="347"/>
      <c r="DM103" s="347"/>
      <c r="DN103" s="347"/>
      <c r="DO103" s="353"/>
      <c r="DP103" s="348"/>
      <c r="DQ103" s="348"/>
      <c r="DR103" s="348"/>
      <c r="DS103" s="348"/>
      <c r="DT103" s="348"/>
      <c r="DU103" s="348"/>
      <c r="DV103" s="348"/>
      <c r="DW103" s="348"/>
      <c r="DX103" s="348"/>
      <c r="DY103" s="348"/>
      <c r="DZ103" s="348"/>
      <c r="EA103" s="348"/>
      <c r="EB103" s="348"/>
      <c r="EC103" s="349"/>
      <c r="ED103" s="349"/>
      <c r="EE103" s="349"/>
      <c r="EF103" s="349"/>
      <c r="EG103" s="349"/>
      <c r="EH103" s="349"/>
      <c r="EI103" s="349"/>
      <c r="EJ103" s="349"/>
      <c r="EK103" s="349"/>
      <c r="EL103" s="341"/>
      <c r="EM103" s="339"/>
      <c r="EN103" s="339"/>
      <c r="EO103" s="339"/>
      <c r="EP103" s="341"/>
      <c r="EQ103" s="339"/>
      <c r="ER103" s="339"/>
      <c r="ES103" s="339"/>
      <c r="ET103" s="350"/>
      <c r="EU103" s="350"/>
      <c r="EV103" s="350"/>
      <c r="EW103" s="350"/>
      <c r="EX103" s="350"/>
      <c r="EY103" s="350"/>
      <c r="EZ103" s="350"/>
      <c r="FA103" s="345"/>
      <c r="FB103" s="339"/>
      <c r="FC103" s="339"/>
      <c r="FD103" s="339"/>
      <c r="GB103" s="94"/>
      <c r="GC103" s="94"/>
      <c r="GD103" s="94"/>
      <c r="GE103" s="94"/>
      <c r="GF103" s="94"/>
      <c r="GG103" s="94"/>
      <c r="GH103" s="94"/>
    </row>
    <row r="104" spans="1:190" s="63" customFormat="1">
      <c r="A104" s="95"/>
      <c r="B104" s="351"/>
      <c r="C104" s="351"/>
      <c r="D104" s="339"/>
      <c r="E104" s="339"/>
      <c r="F104" s="339"/>
      <c r="G104" s="339"/>
      <c r="H104" s="339"/>
      <c r="I104" s="339"/>
      <c r="J104" s="352"/>
      <c r="K104" s="340"/>
      <c r="L104" s="340"/>
      <c r="M104" s="352"/>
      <c r="N104" s="352"/>
      <c r="O104" s="352"/>
      <c r="P104" s="352"/>
      <c r="Q104" s="352"/>
      <c r="R104" s="352"/>
      <c r="S104" s="352"/>
      <c r="T104" s="352"/>
      <c r="U104" s="352"/>
      <c r="V104" s="352"/>
      <c r="W104" s="340"/>
      <c r="X104" s="340"/>
      <c r="Y104" s="340"/>
      <c r="Z104" s="340"/>
      <c r="AA104" s="340"/>
      <c r="AB104" s="340"/>
      <c r="AC104" s="340"/>
      <c r="AD104" s="340"/>
      <c r="AE104" s="340"/>
      <c r="AF104" s="340"/>
      <c r="AG104" s="340"/>
      <c r="AH104" s="340"/>
      <c r="AI104" s="340"/>
      <c r="AJ104" s="340"/>
      <c r="AK104" s="340"/>
      <c r="AL104" s="340"/>
      <c r="AM104" s="340"/>
      <c r="AN104" s="340"/>
      <c r="AO104" s="344"/>
      <c r="AP104" s="346"/>
      <c r="AQ104" s="340"/>
      <c r="AR104" s="340"/>
      <c r="AS104" s="340"/>
      <c r="AT104" s="340"/>
      <c r="AU104" s="340"/>
      <c r="AV104" s="340"/>
      <c r="AW104" s="340"/>
      <c r="AX104" s="340"/>
      <c r="AY104" s="340"/>
      <c r="AZ104" s="340"/>
      <c r="BA104" s="340"/>
      <c r="BB104" s="340"/>
      <c r="BC104" s="340"/>
      <c r="BD104" s="340"/>
      <c r="BE104" s="340"/>
      <c r="BF104" s="340"/>
      <c r="BG104" s="340"/>
      <c r="BH104" s="340"/>
      <c r="BI104" s="340"/>
      <c r="BJ104" s="340"/>
      <c r="BK104" s="340"/>
      <c r="BL104" s="340"/>
      <c r="BM104" s="340"/>
      <c r="BN104" s="340"/>
      <c r="BO104" s="340"/>
      <c r="BP104" s="340"/>
      <c r="BQ104" s="340"/>
      <c r="BR104" s="340"/>
      <c r="BS104" s="340"/>
      <c r="BT104" s="340"/>
      <c r="BU104" s="340"/>
      <c r="BV104" s="340"/>
      <c r="BW104" s="340"/>
      <c r="BX104" s="340"/>
      <c r="BY104" s="340"/>
      <c r="BZ104" s="340"/>
      <c r="CA104" s="340"/>
      <c r="CB104" s="340"/>
      <c r="CC104" s="340"/>
      <c r="CD104" s="340"/>
      <c r="CE104" s="340"/>
      <c r="CF104" s="340"/>
      <c r="CG104" s="346"/>
      <c r="CH104" s="340"/>
      <c r="CI104" s="346"/>
      <c r="CJ104" s="346"/>
      <c r="CK104" s="346"/>
      <c r="CL104" s="346"/>
      <c r="CM104" s="340"/>
      <c r="CN104" s="340"/>
      <c r="CO104" s="340"/>
      <c r="CP104" s="340"/>
      <c r="CQ104" s="340"/>
      <c r="CR104" s="340"/>
      <c r="CS104" s="340"/>
      <c r="CT104" s="260"/>
      <c r="CU104" s="260"/>
      <c r="CV104" s="260"/>
      <c r="CW104" s="260"/>
      <c r="CX104" s="260"/>
      <c r="CY104" s="260"/>
      <c r="CZ104" s="260"/>
      <c r="DA104" s="260"/>
      <c r="DB104" s="260"/>
      <c r="DC104" s="260"/>
      <c r="DD104" s="260"/>
      <c r="DE104" s="260"/>
      <c r="DF104" s="260"/>
      <c r="DG104" s="260"/>
      <c r="DH104" s="260"/>
      <c r="DI104" s="260"/>
      <c r="DJ104" s="260"/>
      <c r="DK104" s="347"/>
      <c r="DL104" s="347"/>
      <c r="DM104" s="347"/>
      <c r="DN104" s="347"/>
      <c r="DO104" s="353"/>
      <c r="DP104" s="348"/>
      <c r="DQ104" s="348"/>
      <c r="DR104" s="348"/>
      <c r="DS104" s="348"/>
      <c r="DT104" s="348"/>
      <c r="DU104" s="348"/>
      <c r="DV104" s="348"/>
      <c r="DW104" s="348"/>
      <c r="DX104" s="348"/>
      <c r="DY104" s="348"/>
      <c r="DZ104" s="348"/>
      <c r="EA104" s="348"/>
      <c r="EB104" s="348"/>
      <c r="EC104" s="349"/>
      <c r="ED104" s="349"/>
      <c r="EE104" s="349"/>
      <c r="EF104" s="349"/>
      <c r="EG104" s="349"/>
      <c r="EH104" s="349"/>
      <c r="EI104" s="349"/>
      <c r="EJ104" s="349"/>
      <c r="EK104" s="349"/>
      <c r="EL104" s="341"/>
      <c r="EM104" s="339"/>
      <c r="EN104" s="339"/>
      <c r="EO104" s="339"/>
      <c r="EP104" s="341"/>
      <c r="EQ104" s="339"/>
      <c r="ER104" s="339"/>
      <c r="ES104" s="339"/>
      <c r="ET104" s="350"/>
      <c r="EU104" s="350"/>
      <c r="EV104" s="350"/>
      <c r="EW104" s="350"/>
      <c r="EX104" s="350"/>
      <c r="EY104" s="350"/>
      <c r="EZ104" s="350"/>
      <c r="FA104" s="345"/>
      <c r="FB104" s="339"/>
      <c r="FC104" s="339"/>
      <c r="FD104" s="339"/>
      <c r="GB104" s="94"/>
      <c r="GC104" s="94"/>
      <c r="GD104" s="94"/>
      <c r="GE104" s="94"/>
      <c r="GF104" s="94"/>
      <c r="GG104" s="94"/>
      <c r="GH104" s="94"/>
    </row>
    <row r="105" spans="1:190" s="63" customFormat="1">
      <c r="A105" s="95"/>
      <c r="B105" s="351"/>
      <c r="C105" s="351"/>
      <c r="D105" s="339"/>
      <c r="E105" s="339"/>
      <c r="F105" s="339"/>
      <c r="G105" s="339"/>
      <c r="H105" s="339"/>
      <c r="I105" s="339"/>
      <c r="J105" s="352"/>
      <c r="K105" s="340"/>
      <c r="L105" s="340"/>
      <c r="M105" s="352"/>
      <c r="N105" s="352"/>
      <c r="O105" s="352"/>
      <c r="P105" s="352"/>
      <c r="Q105" s="352"/>
      <c r="R105" s="352"/>
      <c r="S105" s="352"/>
      <c r="T105" s="352"/>
      <c r="U105" s="352"/>
      <c r="V105" s="352"/>
      <c r="W105" s="340"/>
      <c r="X105" s="340"/>
      <c r="Y105" s="340"/>
      <c r="Z105" s="340"/>
      <c r="AA105" s="340"/>
      <c r="AB105" s="340"/>
      <c r="AC105" s="340"/>
      <c r="AD105" s="340"/>
      <c r="AE105" s="340"/>
      <c r="AF105" s="340"/>
      <c r="AG105" s="340"/>
      <c r="AH105" s="340"/>
      <c r="AI105" s="340"/>
      <c r="AJ105" s="340"/>
      <c r="AK105" s="340"/>
      <c r="AL105" s="340"/>
      <c r="AM105" s="340"/>
      <c r="AN105" s="340"/>
      <c r="AO105" s="344"/>
      <c r="AP105" s="346"/>
      <c r="AQ105" s="340"/>
      <c r="AR105" s="340"/>
      <c r="AS105" s="340"/>
      <c r="AT105" s="340"/>
      <c r="AU105" s="340"/>
      <c r="AV105" s="340"/>
      <c r="AW105" s="340"/>
      <c r="AX105" s="340"/>
      <c r="AY105" s="340"/>
      <c r="AZ105" s="340"/>
      <c r="BA105" s="340"/>
      <c r="BB105" s="340"/>
      <c r="BC105" s="340"/>
      <c r="BD105" s="340"/>
      <c r="BE105" s="340"/>
      <c r="BF105" s="340"/>
      <c r="BG105" s="340"/>
      <c r="BH105" s="340"/>
      <c r="BI105" s="340"/>
      <c r="BJ105" s="340"/>
      <c r="BK105" s="340"/>
      <c r="BL105" s="340"/>
      <c r="BM105" s="340"/>
      <c r="BN105" s="340"/>
      <c r="BO105" s="340"/>
      <c r="BP105" s="340"/>
      <c r="BQ105" s="340"/>
      <c r="BR105" s="340"/>
      <c r="BS105" s="340"/>
      <c r="BT105" s="340"/>
      <c r="BU105" s="340"/>
      <c r="BV105" s="340"/>
      <c r="BW105" s="340"/>
      <c r="BX105" s="340"/>
      <c r="BY105" s="340"/>
      <c r="BZ105" s="340"/>
      <c r="CA105" s="340"/>
      <c r="CB105" s="340"/>
      <c r="CC105" s="340"/>
      <c r="CD105" s="340"/>
      <c r="CE105" s="340"/>
      <c r="CF105" s="340"/>
      <c r="CG105" s="346"/>
      <c r="CH105" s="340"/>
      <c r="CI105" s="346"/>
      <c r="CJ105" s="346"/>
      <c r="CK105" s="346"/>
      <c r="CL105" s="346"/>
      <c r="CM105" s="340"/>
      <c r="CN105" s="340"/>
      <c r="CO105" s="340"/>
      <c r="CP105" s="340"/>
      <c r="CQ105" s="340"/>
      <c r="CR105" s="340"/>
      <c r="CS105" s="340"/>
      <c r="CT105" s="260"/>
      <c r="CU105" s="260"/>
      <c r="CV105" s="260"/>
      <c r="CW105" s="260"/>
      <c r="CX105" s="260"/>
      <c r="CY105" s="260"/>
      <c r="CZ105" s="260"/>
      <c r="DA105" s="260"/>
      <c r="DB105" s="260"/>
      <c r="DC105" s="260"/>
      <c r="DD105" s="260"/>
      <c r="DE105" s="260"/>
      <c r="DF105" s="260"/>
      <c r="DG105" s="260"/>
      <c r="DH105" s="260"/>
      <c r="DI105" s="260"/>
      <c r="DJ105" s="260"/>
      <c r="DK105" s="347"/>
      <c r="DL105" s="347"/>
      <c r="DM105" s="347"/>
      <c r="DN105" s="347"/>
      <c r="DO105" s="353"/>
      <c r="DP105" s="348"/>
      <c r="DQ105" s="348"/>
      <c r="DR105" s="348"/>
      <c r="DS105" s="348"/>
      <c r="DT105" s="348"/>
      <c r="DU105" s="348"/>
      <c r="DV105" s="348"/>
      <c r="DW105" s="348"/>
      <c r="DX105" s="348"/>
      <c r="DY105" s="348"/>
      <c r="DZ105" s="348"/>
      <c r="EA105" s="348"/>
      <c r="EB105" s="348"/>
      <c r="EC105" s="349"/>
      <c r="ED105" s="349"/>
      <c r="EE105" s="349"/>
      <c r="EF105" s="349"/>
      <c r="EG105" s="349"/>
      <c r="EH105" s="349"/>
      <c r="EI105" s="349"/>
      <c r="EJ105" s="349"/>
      <c r="EK105" s="349"/>
      <c r="EL105" s="341"/>
      <c r="EM105" s="339"/>
      <c r="EN105" s="339"/>
      <c r="EO105" s="339"/>
      <c r="EP105" s="341"/>
      <c r="EQ105" s="339"/>
      <c r="ER105" s="339"/>
      <c r="ES105" s="339"/>
      <c r="ET105" s="350"/>
      <c r="EU105" s="350"/>
      <c r="EV105" s="350"/>
      <c r="EW105" s="350"/>
      <c r="EX105" s="350"/>
      <c r="EY105" s="350"/>
      <c r="EZ105" s="350"/>
      <c r="FA105" s="345"/>
      <c r="FB105" s="339"/>
      <c r="FC105" s="339"/>
      <c r="FD105" s="339"/>
      <c r="GB105" s="94"/>
      <c r="GC105" s="94"/>
      <c r="GD105" s="94"/>
      <c r="GE105" s="94"/>
      <c r="GF105" s="94"/>
      <c r="GG105" s="94"/>
      <c r="GH105" s="94"/>
    </row>
    <row r="106" spans="1:190" s="63" customFormat="1">
      <c r="A106" s="95"/>
      <c r="B106" s="351"/>
      <c r="C106" s="351"/>
      <c r="D106" s="339"/>
      <c r="E106" s="339"/>
      <c r="F106" s="339"/>
      <c r="G106" s="339"/>
      <c r="H106" s="339"/>
      <c r="I106" s="339"/>
      <c r="J106" s="352"/>
      <c r="K106" s="340"/>
      <c r="L106" s="340"/>
      <c r="M106" s="352"/>
      <c r="N106" s="352"/>
      <c r="O106" s="352"/>
      <c r="P106" s="352"/>
      <c r="Q106" s="352"/>
      <c r="R106" s="352"/>
      <c r="S106" s="352"/>
      <c r="T106" s="352"/>
      <c r="U106" s="352"/>
      <c r="V106" s="352"/>
      <c r="W106" s="340"/>
      <c r="X106" s="340"/>
      <c r="Y106" s="340"/>
      <c r="Z106" s="340"/>
      <c r="AA106" s="340"/>
      <c r="AB106" s="340"/>
      <c r="AC106" s="340"/>
      <c r="AD106" s="340"/>
      <c r="AE106" s="340"/>
      <c r="AF106" s="340"/>
      <c r="AG106" s="340"/>
      <c r="AH106" s="340"/>
      <c r="AI106" s="340"/>
      <c r="AJ106" s="340"/>
      <c r="AK106" s="340"/>
      <c r="AL106" s="340"/>
      <c r="AM106" s="340"/>
      <c r="AN106" s="340"/>
      <c r="AO106" s="344"/>
      <c r="AP106" s="346"/>
      <c r="AQ106" s="340"/>
      <c r="AR106" s="340"/>
      <c r="AS106" s="340"/>
      <c r="AT106" s="340"/>
      <c r="AU106" s="340"/>
      <c r="AV106" s="340"/>
      <c r="AW106" s="340"/>
      <c r="AX106" s="340"/>
      <c r="AY106" s="340"/>
      <c r="AZ106" s="340"/>
      <c r="BA106" s="340"/>
      <c r="BB106" s="340"/>
      <c r="BC106" s="340"/>
      <c r="BD106" s="340"/>
      <c r="BE106" s="340"/>
      <c r="BF106" s="340"/>
      <c r="BG106" s="340"/>
      <c r="BH106" s="340"/>
      <c r="BI106" s="340"/>
      <c r="BJ106" s="340"/>
      <c r="BK106" s="340"/>
      <c r="BL106" s="340"/>
      <c r="BM106" s="340"/>
      <c r="BN106" s="340"/>
      <c r="BO106" s="340"/>
      <c r="BP106" s="340"/>
      <c r="BQ106" s="340"/>
      <c r="BR106" s="340"/>
      <c r="BS106" s="340"/>
      <c r="BT106" s="340"/>
      <c r="BU106" s="340"/>
      <c r="BV106" s="340"/>
      <c r="BW106" s="340"/>
      <c r="BX106" s="340"/>
      <c r="BY106" s="340"/>
      <c r="BZ106" s="340"/>
      <c r="CA106" s="340"/>
      <c r="CB106" s="340"/>
      <c r="CC106" s="340"/>
      <c r="CD106" s="340"/>
      <c r="CE106" s="340"/>
      <c r="CF106" s="340"/>
      <c r="CG106" s="346"/>
      <c r="CH106" s="340"/>
      <c r="CI106" s="346"/>
      <c r="CJ106" s="346"/>
      <c r="CK106" s="346"/>
      <c r="CL106" s="346"/>
      <c r="CM106" s="340"/>
      <c r="CN106" s="340"/>
      <c r="CO106" s="340"/>
      <c r="CP106" s="340"/>
      <c r="CQ106" s="340"/>
      <c r="CR106" s="340"/>
      <c r="CS106" s="340"/>
      <c r="CT106" s="260"/>
      <c r="CU106" s="260"/>
      <c r="CV106" s="260"/>
      <c r="CW106" s="260"/>
      <c r="CX106" s="260"/>
      <c r="CY106" s="260"/>
      <c r="CZ106" s="260"/>
      <c r="DA106" s="260"/>
      <c r="DB106" s="260"/>
      <c r="DC106" s="260"/>
      <c r="DD106" s="260"/>
      <c r="DE106" s="260"/>
      <c r="DF106" s="260"/>
      <c r="DG106" s="260"/>
      <c r="DH106" s="260"/>
      <c r="DI106" s="260"/>
      <c r="DJ106" s="260"/>
      <c r="DK106" s="347"/>
      <c r="DL106" s="347"/>
      <c r="DM106" s="347"/>
      <c r="DN106" s="347"/>
      <c r="DO106" s="353"/>
      <c r="DP106" s="348"/>
      <c r="DQ106" s="348"/>
      <c r="DR106" s="348"/>
      <c r="DS106" s="348"/>
      <c r="DT106" s="348"/>
      <c r="DU106" s="348"/>
      <c r="DV106" s="348"/>
      <c r="DW106" s="348"/>
      <c r="DX106" s="348"/>
      <c r="DY106" s="348"/>
      <c r="DZ106" s="348"/>
      <c r="EA106" s="348"/>
      <c r="EB106" s="348"/>
      <c r="EC106" s="349"/>
      <c r="ED106" s="349"/>
      <c r="EE106" s="349"/>
      <c r="EF106" s="349"/>
      <c r="EG106" s="349"/>
      <c r="EH106" s="349"/>
      <c r="EI106" s="349"/>
      <c r="EJ106" s="349"/>
      <c r="EK106" s="349"/>
      <c r="EL106" s="341"/>
      <c r="EM106" s="339"/>
      <c r="EN106" s="339"/>
      <c r="EO106" s="339"/>
      <c r="EP106" s="341"/>
      <c r="EQ106" s="339"/>
      <c r="ER106" s="339"/>
      <c r="ES106" s="339"/>
      <c r="ET106" s="350"/>
      <c r="EU106" s="350"/>
      <c r="EV106" s="350"/>
      <c r="EW106" s="350"/>
      <c r="EX106" s="350"/>
      <c r="EY106" s="350"/>
      <c r="EZ106" s="350"/>
      <c r="FA106" s="345"/>
      <c r="FB106" s="339"/>
      <c r="FC106" s="339"/>
      <c r="FD106" s="339"/>
      <c r="GB106" s="94"/>
      <c r="GC106" s="94"/>
      <c r="GD106" s="94"/>
      <c r="GE106" s="94"/>
      <c r="GF106" s="94"/>
      <c r="GG106" s="94"/>
      <c r="GH106" s="94"/>
    </row>
    <row r="107" spans="1:190" s="63" customFormat="1">
      <c r="A107" s="95"/>
      <c r="B107" s="351"/>
      <c r="C107" s="351"/>
      <c r="D107" s="339"/>
      <c r="E107" s="339"/>
      <c r="F107" s="339"/>
      <c r="G107" s="339"/>
      <c r="H107" s="339"/>
      <c r="I107" s="339"/>
      <c r="J107" s="352"/>
      <c r="K107" s="340"/>
      <c r="L107" s="340"/>
      <c r="M107" s="352"/>
      <c r="N107" s="352"/>
      <c r="O107" s="352"/>
      <c r="P107" s="352"/>
      <c r="Q107" s="352"/>
      <c r="R107" s="352"/>
      <c r="S107" s="352"/>
      <c r="T107" s="352"/>
      <c r="U107" s="352"/>
      <c r="V107" s="352"/>
      <c r="W107" s="340"/>
      <c r="X107" s="340"/>
      <c r="Y107" s="340"/>
      <c r="Z107" s="340"/>
      <c r="AA107" s="340"/>
      <c r="AB107" s="340"/>
      <c r="AC107" s="340"/>
      <c r="AD107" s="340"/>
      <c r="AE107" s="340"/>
      <c r="AF107" s="340"/>
      <c r="AG107" s="340"/>
      <c r="AH107" s="340"/>
      <c r="AI107" s="340"/>
      <c r="AJ107" s="340"/>
      <c r="AK107" s="340"/>
      <c r="AL107" s="340"/>
      <c r="AM107" s="340"/>
      <c r="AN107" s="340"/>
      <c r="AO107" s="344"/>
      <c r="AP107" s="346"/>
      <c r="AQ107" s="340"/>
      <c r="AR107" s="340"/>
      <c r="AS107" s="340"/>
      <c r="AT107" s="340"/>
      <c r="AU107" s="340"/>
      <c r="AV107" s="340"/>
      <c r="AW107" s="340"/>
      <c r="AX107" s="340"/>
      <c r="AY107" s="340"/>
      <c r="AZ107" s="340"/>
      <c r="BA107" s="340"/>
      <c r="BB107" s="340"/>
      <c r="BC107" s="340"/>
      <c r="BD107" s="340"/>
      <c r="BE107" s="340"/>
      <c r="BF107" s="340"/>
      <c r="BG107" s="340"/>
      <c r="BH107" s="340"/>
      <c r="BI107" s="340"/>
      <c r="BJ107" s="340"/>
      <c r="BK107" s="340"/>
      <c r="BL107" s="340"/>
      <c r="BM107" s="340"/>
      <c r="BN107" s="340"/>
      <c r="BO107" s="340"/>
      <c r="BP107" s="340"/>
      <c r="BQ107" s="340"/>
      <c r="BR107" s="340"/>
      <c r="BS107" s="340"/>
      <c r="BT107" s="340"/>
      <c r="BU107" s="340"/>
      <c r="BV107" s="340"/>
      <c r="BW107" s="340"/>
      <c r="BX107" s="340"/>
      <c r="BY107" s="340"/>
      <c r="BZ107" s="340"/>
      <c r="CA107" s="340"/>
      <c r="CB107" s="340"/>
      <c r="CC107" s="340"/>
      <c r="CD107" s="340"/>
      <c r="CE107" s="340"/>
      <c r="CF107" s="340"/>
      <c r="CG107" s="346"/>
      <c r="CH107" s="340"/>
      <c r="CI107" s="346"/>
      <c r="CJ107" s="346"/>
      <c r="CK107" s="346"/>
      <c r="CL107" s="346"/>
      <c r="CM107" s="340"/>
      <c r="CN107" s="340"/>
      <c r="CO107" s="340"/>
      <c r="CP107" s="340"/>
      <c r="CQ107" s="340"/>
      <c r="CR107" s="340"/>
      <c r="CS107" s="340"/>
      <c r="CT107" s="260"/>
      <c r="CU107" s="260"/>
      <c r="CV107" s="260"/>
      <c r="CW107" s="260"/>
      <c r="CX107" s="260"/>
      <c r="CY107" s="260"/>
      <c r="CZ107" s="260"/>
      <c r="DA107" s="260"/>
      <c r="DB107" s="260"/>
      <c r="DC107" s="260"/>
      <c r="DD107" s="260"/>
      <c r="DE107" s="260"/>
      <c r="DF107" s="260"/>
      <c r="DG107" s="260"/>
      <c r="DH107" s="260"/>
      <c r="DI107" s="260"/>
      <c r="DJ107" s="260"/>
      <c r="DK107" s="347"/>
      <c r="DL107" s="347"/>
      <c r="DM107" s="347"/>
      <c r="DN107" s="347"/>
      <c r="DO107" s="353"/>
      <c r="DP107" s="348"/>
      <c r="DQ107" s="348"/>
      <c r="DR107" s="348"/>
      <c r="DS107" s="348"/>
      <c r="DT107" s="348"/>
      <c r="DU107" s="348"/>
      <c r="DV107" s="348"/>
      <c r="DW107" s="348"/>
      <c r="DX107" s="348"/>
      <c r="DY107" s="348"/>
      <c r="DZ107" s="348"/>
      <c r="EA107" s="348"/>
      <c r="EB107" s="348"/>
      <c r="EC107" s="349"/>
      <c r="ED107" s="349"/>
      <c r="EE107" s="349"/>
      <c r="EF107" s="349"/>
      <c r="EG107" s="349"/>
      <c r="EH107" s="349"/>
      <c r="EI107" s="349"/>
      <c r="EJ107" s="349"/>
      <c r="EK107" s="349"/>
      <c r="EL107" s="341"/>
      <c r="EM107" s="339"/>
      <c r="EN107" s="339"/>
      <c r="EO107" s="339"/>
      <c r="EP107" s="341"/>
      <c r="EQ107" s="339"/>
      <c r="ER107" s="339"/>
      <c r="ES107" s="339"/>
      <c r="ET107" s="350"/>
      <c r="EU107" s="350"/>
      <c r="EV107" s="350"/>
      <c r="EW107" s="350"/>
      <c r="EX107" s="350"/>
      <c r="EY107" s="350"/>
      <c r="EZ107" s="350"/>
      <c r="FA107" s="345"/>
      <c r="FB107" s="339"/>
      <c r="FC107" s="339"/>
      <c r="FD107" s="339"/>
      <c r="GB107" s="94"/>
      <c r="GC107" s="94"/>
      <c r="GD107" s="94"/>
      <c r="GE107" s="94"/>
      <c r="GF107" s="94"/>
      <c r="GG107" s="94"/>
      <c r="GH107" s="94"/>
    </row>
    <row r="108" spans="1:190" s="63" customFormat="1">
      <c r="A108" s="95"/>
      <c r="B108" s="351"/>
      <c r="C108" s="351"/>
      <c r="D108" s="339"/>
      <c r="E108" s="339"/>
      <c r="F108" s="339"/>
      <c r="G108" s="339"/>
      <c r="H108" s="339"/>
      <c r="I108" s="339"/>
      <c r="J108" s="352"/>
      <c r="K108" s="340"/>
      <c r="L108" s="340"/>
      <c r="M108" s="352"/>
      <c r="N108" s="352"/>
      <c r="O108" s="352"/>
      <c r="P108" s="352"/>
      <c r="Q108" s="352"/>
      <c r="R108" s="352"/>
      <c r="S108" s="352"/>
      <c r="T108" s="352"/>
      <c r="U108" s="352"/>
      <c r="V108" s="352"/>
      <c r="W108" s="340"/>
      <c r="X108" s="340"/>
      <c r="Y108" s="340"/>
      <c r="Z108" s="340"/>
      <c r="AA108" s="340"/>
      <c r="AB108" s="340"/>
      <c r="AC108" s="340"/>
      <c r="AD108" s="340"/>
      <c r="AE108" s="340"/>
      <c r="AF108" s="340"/>
      <c r="AG108" s="340"/>
      <c r="AH108" s="340"/>
      <c r="AI108" s="340"/>
      <c r="AJ108" s="340"/>
      <c r="AK108" s="340"/>
      <c r="AL108" s="340"/>
      <c r="AM108" s="340"/>
      <c r="AN108" s="340"/>
      <c r="AO108" s="344"/>
      <c r="AP108" s="346"/>
      <c r="AQ108" s="340"/>
      <c r="AR108" s="340"/>
      <c r="AS108" s="340"/>
      <c r="AT108" s="340"/>
      <c r="AU108" s="340"/>
      <c r="AV108" s="340"/>
      <c r="AW108" s="340"/>
      <c r="AX108" s="340"/>
      <c r="AY108" s="340"/>
      <c r="AZ108" s="340"/>
      <c r="BA108" s="340"/>
      <c r="BB108" s="340"/>
      <c r="BC108" s="340"/>
      <c r="BD108" s="340"/>
      <c r="BE108" s="340"/>
      <c r="BF108" s="340"/>
      <c r="BG108" s="340"/>
      <c r="BH108" s="340"/>
      <c r="BI108" s="340"/>
      <c r="BJ108" s="340"/>
      <c r="BK108" s="340"/>
      <c r="BL108" s="340"/>
      <c r="BM108" s="340"/>
      <c r="BN108" s="340"/>
      <c r="BO108" s="340"/>
      <c r="BP108" s="340"/>
      <c r="BQ108" s="340"/>
      <c r="BR108" s="340"/>
      <c r="BS108" s="340"/>
      <c r="BT108" s="340"/>
      <c r="BU108" s="340"/>
      <c r="BV108" s="340"/>
      <c r="BW108" s="340"/>
      <c r="BX108" s="340"/>
      <c r="BY108" s="340"/>
      <c r="BZ108" s="340"/>
      <c r="CA108" s="340"/>
      <c r="CB108" s="340"/>
      <c r="CC108" s="340"/>
      <c r="CD108" s="340"/>
      <c r="CE108" s="340"/>
      <c r="CF108" s="340"/>
      <c r="CG108" s="346"/>
      <c r="CH108" s="340"/>
      <c r="CI108" s="346"/>
      <c r="CJ108" s="346"/>
      <c r="CK108" s="346"/>
      <c r="CL108" s="346"/>
      <c r="CM108" s="340"/>
      <c r="CN108" s="340"/>
      <c r="CO108" s="340"/>
      <c r="CP108" s="340"/>
      <c r="CQ108" s="340"/>
      <c r="CR108" s="340"/>
      <c r="CS108" s="340"/>
      <c r="CT108" s="260"/>
      <c r="CU108" s="260"/>
      <c r="CV108" s="260"/>
      <c r="CW108" s="260"/>
      <c r="CX108" s="260"/>
      <c r="CY108" s="260"/>
      <c r="CZ108" s="260"/>
      <c r="DA108" s="260"/>
      <c r="DB108" s="260"/>
      <c r="DC108" s="260"/>
      <c r="DD108" s="260"/>
      <c r="DE108" s="260"/>
      <c r="DF108" s="260"/>
      <c r="DG108" s="260"/>
      <c r="DH108" s="260"/>
      <c r="DI108" s="260"/>
      <c r="DJ108" s="260"/>
      <c r="DK108" s="347"/>
      <c r="DL108" s="347"/>
      <c r="DM108" s="347"/>
      <c r="DN108" s="347"/>
      <c r="DO108" s="353"/>
      <c r="DP108" s="348"/>
      <c r="DQ108" s="348"/>
      <c r="DR108" s="348"/>
      <c r="DS108" s="348"/>
      <c r="DT108" s="348"/>
      <c r="DU108" s="348"/>
      <c r="DV108" s="348"/>
      <c r="DW108" s="348"/>
      <c r="DX108" s="348"/>
      <c r="DY108" s="348"/>
      <c r="DZ108" s="348"/>
      <c r="EA108" s="348"/>
      <c r="EB108" s="348"/>
      <c r="EC108" s="349"/>
      <c r="ED108" s="349"/>
      <c r="EE108" s="349"/>
      <c r="EF108" s="349"/>
      <c r="EG108" s="349"/>
      <c r="EH108" s="349"/>
      <c r="EI108" s="349"/>
      <c r="EJ108" s="349"/>
      <c r="EK108" s="349"/>
      <c r="EL108" s="341"/>
      <c r="EM108" s="339"/>
      <c r="EN108" s="339"/>
      <c r="EO108" s="339"/>
      <c r="EP108" s="341"/>
      <c r="EQ108" s="339"/>
      <c r="ER108" s="339"/>
      <c r="ES108" s="339"/>
      <c r="ET108" s="350"/>
      <c r="EU108" s="350"/>
      <c r="EV108" s="350"/>
      <c r="EW108" s="350"/>
      <c r="EX108" s="350"/>
      <c r="EY108" s="350"/>
      <c r="EZ108" s="350"/>
      <c r="FA108" s="345"/>
      <c r="FB108" s="339"/>
      <c r="FC108" s="339"/>
      <c r="FD108" s="339"/>
      <c r="GB108" s="94"/>
      <c r="GC108" s="94"/>
      <c r="GD108" s="94"/>
      <c r="GE108" s="94"/>
      <c r="GF108" s="94"/>
      <c r="GG108" s="94"/>
      <c r="GH108" s="94"/>
    </row>
    <row r="109" spans="1:190" s="63" customFormat="1">
      <c r="A109" s="95"/>
      <c r="B109" s="351"/>
      <c r="C109" s="351"/>
      <c r="D109" s="339"/>
      <c r="E109" s="339"/>
      <c r="F109" s="339"/>
      <c r="G109" s="339"/>
      <c r="H109" s="339"/>
      <c r="I109" s="339"/>
      <c r="J109" s="352"/>
      <c r="K109" s="340"/>
      <c r="L109" s="340"/>
      <c r="M109" s="352"/>
      <c r="N109" s="352"/>
      <c r="O109" s="352"/>
      <c r="P109" s="352"/>
      <c r="Q109" s="352"/>
      <c r="R109" s="352"/>
      <c r="S109" s="352"/>
      <c r="T109" s="352"/>
      <c r="U109" s="352"/>
      <c r="V109" s="352"/>
      <c r="W109" s="340"/>
      <c r="X109" s="340"/>
      <c r="Y109" s="340"/>
      <c r="Z109" s="340"/>
      <c r="AA109" s="340"/>
      <c r="AB109" s="340"/>
      <c r="AC109" s="340"/>
      <c r="AD109" s="340"/>
      <c r="AE109" s="340"/>
      <c r="AF109" s="340"/>
      <c r="AG109" s="340"/>
      <c r="AH109" s="340"/>
      <c r="AI109" s="340"/>
      <c r="AJ109" s="340"/>
      <c r="AK109" s="340"/>
      <c r="AL109" s="340"/>
      <c r="AM109" s="340"/>
      <c r="AN109" s="340"/>
      <c r="AO109" s="344"/>
      <c r="AP109" s="346"/>
      <c r="AQ109" s="340"/>
      <c r="AR109" s="340"/>
      <c r="AS109" s="340"/>
      <c r="AT109" s="340"/>
      <c r="AU109" s="340"/>
      <c r="AV109" s="340"/>
      <c r="AW109" s="340"/>
      <c r="AX109" s="340"/>
      <c r="AY109" s="340"/>
      <c r="AZ109" s="340"/>
      <c r="BA109" s="340"/>
      <c r="BB109" s="340"/>
      <c r="BC109" s="340"/>
      <c r="BD109" s="340"/>
      <c r="BE109" s="340"/>
      <c r="BF109" s="340"/>
      <c r="BG109" s="340"/>
      <c r="BH109" s="340"/>
      <c r="BI109" s="340"/>
      <c r="BJ109" s="340"/>
      <c r="BK109" s="340"/>
      <c r="BL109" s="340"/>
      <c r="BM109" s="340"/>
      <c r="BN109" s="340"/>
      <c r="BO109" s="340"/>
      <c r="BP109" s="340"/>
      <c r="BQ109" s="340"/>
      <c r="BR109" s="340"/>
      <c r="BS109" s="340"/>
      <c r="BT109" s="340"/>
      <c r="BU109" s="340"/>
      <c r="BV109" s="340"/>
      <c r="BW109" s="340"/>
      <c r="BX109" s="340"/>
      <c r="BY109" s="340"/>
      <c r="BZ109" s="340"/>
      <c r="CA109" s="340"/>
      <c r="CB109" s="340"/>
      <c r="CC109" s="340"/>
      <c r="CD109" s="340"/>
      <c r="CE109" s="340"/>
      <c r="CF109" s="340"/>
      <c r="CG109" s="346"/>
      <c r="CH109" s="340"/>
      <c r="CI109" s="346"/>
      <c r="CJ109" s="346"/>
      <c r="CK109" s="346"/>
      <c r="CL109" s="346"/>
      <c r="CM109" s="340"/>
      <c r="CN109" s="340"/>
      <c r="CO109" s="340"/>
      <c r="CP109" s="340"/>
      <c r="CQ109" s="340"/>
      <c r="CR109" s="340"/>
      <c r="CS109" s="340"/>
      <c r="CT109" s="260"/>
      <c r="CU109" s="260"/>
      <c r="CV109" s="260"/>
      <c r="CW109" s="260"/>
      <c r="CX109" s="260"/>
      <c r="CY109" s="260"/>
      <c r="CZ109" s="260"/>
      <c r="DA109" s="260"/>
      <c r="DB109" s="260"/>
      <c r="DC109" s="260"/>
      <c r="DD109" s="260"/>
      <c r="DE109" s="260"/>
      <c r="DF109" s="260"/>
      <c r="DG109" s="260"/>
      <c r="DH109" s="260"/>
      <c r="DI109" s="260"/>
      <c r="DJ109" s="260"/>
      <c r="DK109" s="347"/>
      <c r="DL109" s="347"/>
      <c r="DM109" s="347"/>
      <c r="DN109" s="347"/>
      <c r="DO109" s="353"/>
      <c r="DP109" s="348"/>
      <c r="DQ109" s="348"/>
      <c r="DR109" s="348"/>
      <c r="DS109" s="348"/>
      <c r="DT109" s="348"/>
      <c r="DU109" s="348"/>
      <c r="DV109" s="348"/>
      <c r="DW109" s="348"/>
      <c r="DX109" s="348"/>
      <c r="DY109" s="348"/>
      <c r="DZ109" s="348"/>
      <c r="EA109" s="348"/>
      <c r="EB109" s="348"/>
      <c r="EC109" s="349"/>
      <c r="ED109" s="349"/>
      <c r="EE109" s="349"/>
      <c r="EF109" s="349"/>
      <c r="EG109" s="349"/>
      <c r="EH109" s="349"/>
      <c r="EI109" s="349"/>
      <c r="EJ109" s="349"/>
      <c r="EK109" s="349"/>
      <c r="EL109" s="341"/>
      <c r="EM109" s="339"/>
      <c r="EN109" s="339"/>
      <c r="EO109" s="339"/>
      <c r="EP109" s="341"/>
      <c r="EQ109" s="339"/>
      <c r="ER109" s="339"/>
      <c r="ES109" s="339"/>
      <c r="ET109" s="350"/>
      <c r="EU109" s="350"/>
      <c r="EV109" s="350"/>
      <c r="EW109" s="350"/>
      <c r="EX109" s="350"/>
      <c r="EY109" s="350"/>
      <c r="EZ109" s="350"/>
      <c r="FA109" s="345"/>
      <c r="FB109" s="339"/>
      <c r="FC109" s="339"/>
      <c r="FD109" s="339"/>
      <c r="GB109" s="94"/>
      <c r="GC109" s="94"/>
      <c r="GD109" s="94"/>
      <c r="GE109" s="94"/>
      <c r="GF109" s="94"/>
      <c r="GG109" s="94"/>
      <c r="GH109" s="94"/>
    </row>
    <row r="110" spans="1:190" s="63" customFormat="1">
      <c r="A110" s="95"/>
      <c r="B110" s="351"/>
      <c r="C110" s="351"/>
      <c r="D110" s="339"/>
      <c r="E110" s="339"/>
      <c r="F110" s="339"/>
      <c r="G110" s="339"/>
      <c r="H110" s="339"/>
      <c r="I110" s="339"/>
      <c r="J110" s="352"/>
      <c r="K110" s="340"/>
      <c r="L110" s="340"/>
      <c r="M110" s="352"/>
      <c r="N110" s="352"/>
      <c r="O110" s="352"/>
      <c r="P110" s="352"/>
      <c r="Q110" s="352"/>
      <c r="R110" s="352"/>
      <c r="S110" s="352"/>
      <c r="T110" s="352"/>
      <c r="U110" s="352"/>
      <c r="V110" s="352"/>
      <c r="W110" s="340"/>
      <c r="X110" s="340"/>
      <c r="Y110" s="340"/>
      <c r="Z110" s="340"/>
      <c r="AA110" s="340"/>
      <c r="AB110" s="340"/>
      <c r="AC110" s="340"/>
      <c r="AD110" s="340"/>
      <c r="AE110" s="340"/>
      <c r="AF110" s="340"/>
      <c r="AG110" s="340"/>
      <c r="AH110" s="340"/>
      <c r="AI110" s="340"/>
      <c r="AJ110" s="340"/>
      <c r="AK110" s="340"/>
      <c r="AL110" s="340"/>
      <c r="AM110" s="340"/>
      <c r="AN110" s="340"/>
      <c r="AO110" s="344"/>
      <c r="AP110" s="346"/>
      <c r="AQ110" s="340"/>
      <c r="AR110" s="340"/>
      <c r="AS110" s="340"/>
      <c r="AT110" s="340"/>
      <c r="AU110" s="340"/>
      <c r="AV110" s="340"/>
      <c r="AW110" s="340"/>
      <c r="AX110" s="340"/>
      <c r="AY110" s="340"/>
      <c r="AZ110" s="340"/>
      <c r="BA110" s="340"/>
      <c r="BB110" s="340"/>
      <c r="BC110" s="340"/>
      <c r="BD110" s="340"/>
      <c r="BE110" s="340"/>
      <c r="BF110" s="340"/>
      <c r="BG110" s="340"/>
      <c r="BH110" s="340"/>
      <c r="BI110" s="340"/>
      <c r="BJ110" s="340"/>
      <c r="BK110" s="340"/>
      <c r="BL110" s="340"/>
      <c r="BM110" s="340"/>
      <c r="BN110" s="340"/>
      <c r="BO110" s="340"/>
      <c r="BP110" s="340"/>
      <c r="BQ110" s="340"/>
      <c r="BR110" s="340"/>
      <c r="BS110" s="340"/>
      <c r="BT110" s="340"/>
      <c r="BU110" s="340"/>
      <c r="BV110" s="340"/>
      <c r="BW110" s="340"/>
      <c r="BX110" s="340"/>
      <c r="BY110" s="340"/>
      <c r="BZ110" s="340"/>
      <c r="CA110" s="340"/>
      <c r="CB110" s="340"/>
      <c r="CC110" s="340"/>
      <c r="CD110" s="340"/>
      <c r="CE110" s="340"/>
      <c r="CF110" s="340"/>
      <c r="CG110" s="346"/>
      <c r="CH110" s="340"/>
      <c r="CI110" s="346"/>
      <c r="CJ110" s="346"/>
      <c r="CK110" s="346"/>
      <c r="CL110" s="346"/>
      <c r="CM110" s="340"/>
      <c r="CN110" s="340"/>
      <c r="CO110" s="340"/>
      <c r="CP110" s="340"/>
      <c r="CQ110" s="340"/>
      <c r="CR110" s="340"/>
      <c r="CS110" s="340"/>
      <c r="CT110" s="260"/>
      <c r="CU110" s="260"/>
      <c r="CV110" s="260"/>
      <c r="CW110" s="260"/>
      <c r="CX110" s="260"/>
      <c r="CY110" s="260"/>
      <c r="CZ110" s="260"/>
      <c r="DA110" s="260"/>
      <c r="DB110" s="260"/>
      <c r="DC110" s="260"/>
      <c r="DD110" s="260"/>
      <c r="DE110" s="260"/>
      <c r="DF110" s="260"/>
      <c r="DG110" s="260"/>
      <c r="DH110" s="260"/>
      <c r="DI110" s="260"/>
      <c r="DJ110" s="260"/>
      <c r="DK110" s="347"/>
      <c r="DL110" s="347"/>
      <c r="DM110" s="347"/>
      <c r="DN110" s="347"/>
      <c r="DO110" s="353"/>
      <c r="DP110" s="348"/>
      <c r="DQ110" s="348"/>
      <c r="DR110" s="348"/>
      <c r="DS110" s="348"/>
      <c r="DT110" s="348"/>
      <c r="DU110" s="348"/>
      <c r="DV110" s="348"/>
      <c r="DW110" s="348"/>
      <c r="DX110" s="348"/>
      <c r="DY110" s="348"/>
      <c r="DZ110" s="348"/>
      <c r="EA110" s="348"/>
      <c r="EB110" s="348"/>
      <c r="EC110" s="349"/>
      <c r="ED110" s="349"/>
      <c r="EE110" s="349"/>
      <c r="EF110" s="349"/>
      <c r="EG110" s="349"/>
      <c r="EH110" s="349"/>
      <c r="EI110" s="349"/>
      <c r="EJ110" s="349"/>
      <c r="EK110" s="349"/>
      <c r="EL110" s="341"/>
      <c r="EM110" s="339"/>
      <c r="EN110" s="339"/>
      <c r="EO110" s="339"/>
      <c r="EP110" s="341"/>
      <c r="EQ110" s="339"/>
      <c r="ER110" s="339"/>
      <c r="ES110" s="339"/>
      <c r="ET110" s="350"/>
      <c r="EU110" s="350"/>
      <c r="EV110" s="350"/>
      <c r="EW110" s="350"/>
      <c r="EX110" s="350"/>
      <c r="EY110" s="350"/>
      <c r="EZ110" s="350"/>
      <c r="FA110" s="345"/>
      <c r="FB110" s="339"/>
      <c r="FC110" s="339"/>
      <c r="FD110" s="339"/>
      <c r="GB110" s="94"/>
      <c r="GC110" s="94"/>
      <c r="GD110" s="94"/>
      <c r="GE110" s="94"/>
      <c r="GF110" s="94"/>
      <c r="GG110" s="94"/>
      <c r="GH110" s="94"/>
    </row>
    <row r="111" spans="1:190" s="63" customFormat="1">
      <c r="A111" s="95"/>
      <c r="B111" s="351"/>
      <c r="C111" s="351"/>
      <c r="D111" s="339"/>
      <c r="E111" s="339"/>
      <c r="F111" s="339"/>
      <c r="G111" s="339"/>
      <c r="H111" s="339"/>
      <c r="I111" s="339"/>
      <c r="J111" s="352"/>
      <c r="K111" s="340"/>
      <c r="L111" s="340"/>
      <c r="M111" s="352"/>
      <c r="N111" s="352"/>
      <c r="O111" s="352"/>
      <c r="P111" s="352"/>
      <c r="Q111" s="352"/>
      <c r="R111" s="352"/>
      <c r="S111" s="352"/>
      <c r="T111" s="352"/>
      <c r="U111" s="352"/>
      <c r="V111" s="352"/>
      <c r="W111" s="340"/>
      <c r="X111" s="340"/>
      <c r="Y111" s="340"/>
      <c r="Z111" s="340"/>
      <c r="AA111" s="340"/>
      <c r="AB111" s="340"/>
      <c r="AC111" s="340"/>
      <c r="AD111" s="340"/>
      <c r="AE111" s="340"/>
      <c r="AF111" s="340"/>
      <c r="AG111" s="340"/>
      <c r="AH111" s="340"/>
      <c r="AI111" s="340"/>
      <c r="AJ111" s="340"/>
      <c r="AK111" s="340"/>
      <c r="AL111" s="340"/>
      <c r="AM111" s="340"/>
      <c r="AN111" s="340"/>
      <c r="AO111" s="344"/>
      <c r="AP111" s="346"/>
      <c r="AQ111" s="340"/>
      <c r="AR111" s="340"/>
      <c r="AS111" s="340"/>
      <c r="AT111" s="340"/>
      <c r="AU111" s="340"/>
      <c r="AV111" s="340"/>
      <c r="AW111" s="340"/>
      <c r="AX111" s="340"/>
      <c r="AY111" s="340"/>
      <c r="AZ111" s="340"/>
      <c r="BA111" s="340"/>
      <c r="BB111" s="340"/>
      <c r="BC111" s="340"/>
      <c r="BD111" s="340"/>
      <c r="BE111" s="340"/>
      <c r="BF111" s="340"/>
      <c r="BG111" s="340"/>
      <c r="BH111" s="340"/>
      <c r="BI111" s="340"/>
      <c r="BJ111" s="340"/>
      <c r="BK111" s="340"/>
      <c r="BL111" s="340"/>
      <c r="BM111" s="340"/>
      <c r="BN111" s="340"/>
      <c r="BO111" s="340"/>
      <c r="BP111" s="340"/>
      <c r="BQ111" s="340"/>
      <c r="BR111" s="340"/>
      <c r="BS111" s="340"/>
      <c r="BT111" s="340"/>
      <c r="BU111" s="340"/>
      <c r="BV111" s="340"/>
      <c r="BW111" s="340"/>
      <c r="BX111" s="340"/>
      <c r="BY111" s="340"/>
      <c r="BZ111" s="340"/>
      <c r="CA111" s="340"/>
      <c r="CB111" s="340"/>
      <c r="CC111" s="340"/>
      <c r="CD111" s="340"/>
      <c r="CE111" s="340"/>
      <c r="CF111" s="340"/>
      <c r="CG111" s="346"/>
      <c r="CH111" s="340"/>
      <c r="CI111" s="346"/>
      <c r="CJ111" s="346"/>
      <c r="CK111" s="346"/>
      <c r="CL111" s="346"/>
      <c r="CM111" s="340"/>
      <c r="CN111" s="340"/>
      <c r="CO111" s="340"/>
      <c r="CP111" s="340"/>
      <c r="CQ111" s="340"/>
      <c r="CR111" s="340"/>
      <c r="CS111" s="340"/>
      <c r="CT111" s="260"/>
      <c r="CU111" s="260"/>
      <c r="CV111" s="260"/>
      <c r="CW111" s="260"/>
      <c r="CX111" s="260"/>
      <c r="CY111" s="260"/>
      <c r="CZ111" s="260"/>
      <c r="DA111" s="260"/>
      <c r="DB111" s="260"/>
      <c r="DC111" s="260"/>
      <c r="DD111" s="260"/>
      <c r="DE111" s="260"/>
      <c r="DF111" s="260"/>
      <c r="DG111" s="260"/>
      <c r="DH111" s="260"/>
      <c r="DI111" s="260"/>
      <c r="DJ111" s="260"/>
      <c r="DK111" s="347"/>
      <c r="DL111" s="347"/>
      <c r="DM111" s="347"/>
      <c r="DN111" s="347"/>
      <c r="DO111" s="353"/>
      <c r="DP111" s="348"/>
      <c r="DQ111" s="348"/>
      <c r="DR111" s="348"/>
      <c r="DS111" s="348"/>
      <c r="DT111" s="348"/>
      <c r="DU111" s="348"/>
      <c r="DV111" s="348"/>
      <c r="DW111" s="348"/>
      <c r="DX111" s="348"/>
      <c r="DY111" s="348"/>
      <c r="DZ111" s="348"/>
      <c r="EA111" s="348"/>
      <c r="EB111" s="348"/>
      <c r="EC111" s="349"/>
      <c r="ED111" s="349"/>
      <c r="EE111" s="349"/>
      <c r="EF111" s="349"/>
      <c r="EG111" s="349"/>
      <c r="EH111" s="349"/>
      <c r="EI111" s="349"/>
      <c r="EJ111" s="349"/>
      <c r="EK111" s="349"/>
      <c r="EL111" s="341"/>
      <c r="EM111" s="339"/>
      <c r="EN111" s="339"/>
      <c r="EO111" s="339"/>
      <c r="EP111" s="341"/>
      <c r="EQ111" s="339"/>
      <c r="ER111" s="339"/>
      <c r="ES111" s="339"/>
      <c r="ET111" s="350"/>
      <c r="EU111" s="350"/>
      <c r="EV111" s="350"/>
      <c r="EW111" s="350"/>
      <c r="EX111" s="350"/>
      <c r="EY111" s="350"/>
      <c r="EZ111" s="350"/>
      <c r="FA111" s="345"/>
      <c r="FB111" s="339"/>
      <c r="FC111" s="339"/>
      <c r="FD111" s="339"/>
      <c r="GB111" s="94"/>
      <c r="GC111" s="94"/>
      <c r="GD111" s="94"/>
      <c r="GE111" s="94"/>
      <c r="GF111" s="94"/>
      <c r="GG111" s="94"/>
      <c r="GH111" s="94"/>
    </row>
    <row r="112" spans="1:190" s="63" customFormat="1">
      <c r="A112" s="95"/>
      <c r="B112" s="351"/>
      <c r="C112" s="351"/>
      <c r="D112" s="339"/>
      <c r="E112" s="339"/>
      <c r="F112" s="339"/>
      <c r="G112" s="339"/>
      <c r="H112" s="339"/>
      <c r="I112" s="339"/>
      <c r="J112" s="352"/>
      <c r="K112" s="340"/>
      <c r="L112" s="340"/>
      <c r="M112" s="352"/>
      <c r="N112" s="352"/>
      <c r="O112" s="352"/>
      <c r="P112" s="352"/>
      <c r="Q112" s="352"/>
      <c r="R112" s="352"/>
      <c r="S112" s="352"/>
      <c r="T112" s="352"/>
      <c r="U112" s="352"/>
      <c r="V112" s="352"/>
      <c r="W112" s="340"/>
      <c r="X112" s="340"/>
      <c r="Y112" s="340"/>
      <c r="Z112" s="340"/>
      <c r="AA112" s="340"/>
      <c r="AB112" s="340"/>
      <c r="AC112" s="340"/>
      <c r="AD112" s="340"/>
      <c r="AE112" s="340"/>
      <c r="AF112" s="340"/>
      <c r="AG112" s="340"/>
      <c r="AH112" s="340"/>
      <c r="AI112" s="340"/>
      <c r="AJ112" s="340"/>
      <c r="AK112" s="340"/>
      <c r="AL112" s="340"/>
      <c r="AM112" s="340"/>
      <c r="AN112" s="340"/>
      <c r="AO112" s="344"/>
      <c r="AP112" s="346"/>
      <c r="AQ112" s="340"/>
      <c r="AR112" s="340"/>
      <c r="AS112" s="340"/>
      <c r="AT112" s="340"/>
      <c r="AU112" s="340"/>
      <c r="AV112" s="340"/>
      <c r="AW112" s="340"/>
      <c r="AX112" s="340"/>
      <c r="AY112" s="340"/>
      <c r="AZ112" s="340"/>
      <c r="BA112" s="340"/>
      <c r="BB112" s="340"/>
      <c r="BC112" s="340"/>
      <c r="BD112" s="340"/>
      <c r="BE112" s="340"/>
      <c r="BF112" s="340"/>
      <c r="BG112" s="340"/>
      <c r="BH112" s="340"/>
      <c r="BI112" s="340"/>
      <c r="BJ112" s="340"/>
      <c r="BK112" s="340"/>
      <c r="BL112" s="340"/>
      <c r="BM112" s="340"/>
      <c r="BN112" s="340"/>
      <c r="BO112" s="340"/>
      <c r="BP112" s="340"/>
      <c r="BQ112" s="340"/>
      <c r="BR112" s="340"/>
      <c r="BS112" s="340"/>
      <c r="BT112" s="340"/>
      <c r="BU112" s="340"/>
      <c r="BV112" s="340"/>
      <c r="BW112" s="340"/>
      <c r="BX112" s="340"/>
      <c r="BY112" s="340"/>
      <c r="BZ112" s="340"/>
      <c r="CA112" s="340"/>
      <c r="CB112" s="340"/>
      <c r="CC112" s="340"/>
      <c r="CD112" s="340"/>
      <c r="CE112" s="340"/>
      <c r="CF112" s="340"/>
      <c r="CG112" s="346"/>
      <c r="CH112" s="340"/>
      <c r="CI112" s="346"/>
      <c r="CJ112" s="346"/>
      <c r="CK112" s="346"/>
      <c r="CL112" s="346"/>
      <c r="CM112" s="340"/>
      <c r="CN112" s="340"/>
      <c r="CO112" s="340"/>
      <c r="CP112" s="340"/>
      <c r="CQ112" s="340"/>
      <c r="CR112" s="340"/>
      <c r="CS112" s="340"/>
      <c r="CT112" s="260"/>
      <c r="CU112" s="260"/>
      <c r="CV112" s="260"/>
      <c r="CW112" s="260"/>
      <c r="CX112" s="260"/>
      <c r="CY112" s="260"/>
      <c r="CZ112" s="260"/>
      <c r="DA112" s="260"/>
      <c r="DB112" s="260"/>
      <c r="DC112" s="260"/>
      <c r="DD112" s="260"/>
      <c r="DE112" s="260"/>
      <c r="DF112" s="260"/>
      <c r="DG112" s="260"/>
      <c r="DH112" s="260"/>
      <c r="DI112" s="260"/>
      <c r="DJ112" s="260"/>
      <c r="DK112" s="347"/>
      <c r="DL112" s="347"/>
      <c r="DM112" s="347"/>
      <c r="DN112" s="347"/>
      <c r="DO112" s="353"/>
      <c r="DP112" s="348"/>
      <c r="DQ112" s="348"/>
      <c r="DR112" s="348"/>
      <c r="DS112" s="348"/>
      <c r="DT112" s="348"/>
      <c r="DU112" s="348"/>
      <c r="DV112" s="348"/>
      <c r="DW112" s="348"/>
      <c r="DX112" s="348"/>
      <c r="DY112" s="348"/>
      <c r="DZ112" s="348"/>
      <c r="EA112" s="348"/>
      <c r="EB112" s="348"/>
      <c r="EC112" s="349"/>
      <c r="ED112" s="349"/>
      <c r="EE112" s="349"/>
      <c r="EF112" s="349"/>
      <c r="EG112" s="349"/>
      <c r="EH112" s="349"/>
      <c r="EI112" s="349"/>
      <c r="EJ112" s="349"/>
      <c r="EK112" s="349"/>
      <c r="EL112" s="341"/>
      <c r="EM112" s="339"/>
      <c r="EN112" s="339"/>
      <c r="EO112" s="339"/>
      <c r="EP112" s="341"/>
      <c r="EQ112" s="339"/>
      <c r="ER112" s="339"/>
      <c r="ES112" s="339"/>
      <c r="ET112" s="350"/>
      <c r="EU112" s="350"/>
      <c r="EV112" s="350"/>
      <c r="EW112" s="350"/>
      <c r="EX112" s="350"/>
      <c r="EY112" s="350"/>
      <c r="EZ112" s="350"/>
      <c r="FA112" s="345"/>
      <c r="FB112" s="339"/>
      <c r="FC112" s="339"/>
      <c r="FD112" s="339"/>
      <c r="GB112" s="94"/>
      <c r="GC112" s="94"/>
      <c r="GD112" s="94"/>
      <c r="GE112" s="94"/>
      <c r="GF112" s="94"/>
      <c r="GG112" s="94"/>
      <c r="GH112" s="94"/>
    </row>
    <row r="113" spans="1:190" s="63" customFormat="1">
      <c r="A113" s="95"/>
      <c r="B113" s="351"/>
      <c r="C113" s="351"/>
      <c r="D113" s="339"/>
      <c r="E113" s="339"/>
      <c r="F113" s="339"/>
      <c r="G113" s="339"/>
      <c r="H113" s="339"/>
      <c r="I113" s="339"/>
      <c r="J113" s="352"/>
      <c r="K113" s="340"/>
      <c r="L113" s="340"/>
      <c r="M113" s="352"/>
      <c r="N113" s="352"/>
      <c r="O113" s="352"/>
      <c r="P113" s="352"/>
      <c r="Q113" s="352"/>
      <c r="R113" s="352"/>
      <c r="S113" s="352"/>
      <c r="T113" s="352"/>
      <c r="U113" s="352"/>
      <c r="V113" s="352"/>
      <c r="W113" s="340"/>
      <c r="X113" s="340"/>
      <c r="Y113" s="340"/>
      <c r="Z113" s="340"/>
      <c r="AA113" s="340"/>
      <c r="AB113" s="340"/>
      <c r="AC113" s="340"/>
      <c r="AD113" s="340"/>
      <c r="AE113" s="340"/>
      <c r="AF113" s="340"/>
      <c r="AG113" s="340"/>
      <c r="AH113" s="340"/>
      <c r="AI113" s="340"/>
      <c r="AJ113" s="340"/>
      <c r="AK113" s="340"/>
      <c r="AL113" s="340"/>
      <c r="AM113" s="340"/>
      <c r="AN113" s="340"/>
      <c r="AO113" s="344"/>
      <c r="AP113" s="346"/>
      <c r="AQ113" s="340"/>
      <c r="AR113" s="340"/>
      <c r="AS113" s="340"/>
      <c r="AT113" s="340"/>
      <c r="AU113" s="340"/>
      <c r="AV113" s="340"/>
      <c r="AW113" s="340"/>
      <c r="AX113" s="340"/>
      <c r="AY113" s="340"/>
      <c r="AZ113" s="340"/>
      <c r="BA113" s="340"/>
      <c r="BB113" s="340"/>
      <c r="BC113" s="340"/>
      <c r="BD113" s="340"/>
      <c r="BE113" s="340"/>
      <c r="BF113" s="340"/>
      <c r="BG113" s="340"/>
      <c r="BH113" s="340"/>
      <c r="BI113" s="340"/>
      <c r="BJ113" s="340"/>
      <c r="BK113" s="340"/>
      <c r="BL113" s="340"/>
      <c r="BM113" s="340"/>
      <c r="BN113" s="340"/>
      <c r="BO113" s="340"/>
      <c r="BP113" s="340"/>
      <c r="BQ113" s="340"/>
      <c r="BR113" s="340"/>
      <c r="BS113" s="340"/>
      <c r="BT113" s="340"/>
      <c r="BU113" s="340"/>
      <c r="BV113" s="340"/>
      <c r="BW113" s="340"/>
      <c r="BX113" s="340"/>
      <c r="BY113" s="340"/>
      <c r="BZ113" s="340"/>
      <c r="CA113" s="340"/>
      <c r="CB113" s="340"/>
      <c r="CC113" s="340"/>
      <c r="CD113" s="340"/>
      <c r="CE113" s="340"/>
      <c r="CF113" s="340"/>
      <c r="CG113" s="346"/>
      <c r="CH113" s="340"/>
      <c r="CI113" s="346"/>
      <c r="CJ113" s="346"/>
      <c r="CK113" s="346"/>
      <c r="CL113" s="346"/>
      <c r="CM113" s="340"/>
      <c r="CN113" s="340"/>
      <c r="CO113" s="340"/>
      <c r="CP113" s="340"/>
      <c r="CQ113" s="340"/>
      <c r="CR113" s="340"/>
      <c r="CS113" s="340"/>
      <c r="CT113" s="260"/>
      <c r="CU113" s="260"/>
      <c r="CV113" s="260"/>
      <c r="CW113" s="260"/>
      <c r="CX113" s="260"/>
      <c r="CY113" s="260"/>
      <c r="CZ113" s="260"/>
      <c r="DA113" s="260"/>
      <c r="DB113" s="260"/>
      <c r="DC113" s="260"/>
      <c r="DD113" s="260"/>
      <c r="DE113" s="260"/>
      <c r="DF113" s="260"/>
      <c r="DG113" s="260"/>
      <c r="DH113" s="260"/>
      <c r="DI113" s="260"/>
      <c r="DJ113" s="260"/>
      <c r="DK113" s="347"/>
      <c r="DL113" s="347"/>
      <c r="DM113" s="347"/>
      <c r="DN113" s="347"/>
      <c r="DO113" s="353"/>
      <c r="DP113" s="348"/>
      <c r="DQ113" s="348"/>
      <c r="DR113" s="348"/>
      <c r="DS113" s="348"/>
      <c r="DT113" s="348"/>
      <c r="DU113" s="348"/>
      <c r="DV113" s="348"/>
      <c r="DW113" s="348"/>
      <c r="DX113" s="348"/>
      <c r="DY113" s="348"/>
      <c r="DZ113" s="348"/>
      <c r="EA113" s="348"/>
      <c r="EB113" s="348"/>
      <c r="EC113" s="349"/>
      <c r="ED113" s="349"/>
      <c r="EE113" s="349"/>
      <c r="EF113" s="349"/>
      <c r="EG113" s="349"/>
      <c r="EH113" s="349"/>
      <c r="EI113" s="349"/>
      <c r="EJ113" s="349"/>
      <c r="EK113" s="349"/>
      <c r="EL113" s="341"/>
      <c r="EM113" s="339"/>
      <c r="EN113" s="339"/>
      <c r="EO113" s="339"/>
      <c r="EP113" s="341"/>
      <c r="EQ113" s="339"/>
      <c r="ER113" s="339"/>
      <c r="ES113" s="339"/>
      <c r="ET113" s="350"/>
      <c r="EU113" s="350"/>
      <c r="EV113" s="350"/>
      <c r="EW113" s="350"/>
      <c r="EX113" s="350"/>
      <c r="EY113" s="350"/>
      <c r="EZ113" s="350"/>
      <c r="FA113" s="345"/>
      <c r="FB113" s="339"/>
      <c r="FC113" s="339"/>
      <c r="FD113" s="339"/>
      <c r="GB113" s="94"/>
      <c r="GC113" s="94"/>
      <c r="GD113" s="94"/>
      <c r="GE113" s="94"/>
      <c r="GF113" s="94"/>
      <c r="GG113" s="94"/>
      <c r="GH113" s="94"/>
    </row>
    <row r="114" spans="1:190" s="63" customFormat="1">
      <c r="A114" s="95"/>
      <c r="B114" s="351"/>
      <c r="C114" s="351"/>
      <c r="D114" s="339"/>
      <c r="E114" s="339"/>
      <c r="F114" s="339"/>
      <c r="G114" s="339"/>
      <c r="H114" s="339"/>
      <c r="I114" s="339"/>
      <c r="J114" s="352"/>
      <c r="K114" s="340"/>
      <c r="L114" s="340"/>
      <c r="M114" s="352"/>
      <c r="N114" s="352"/>
      <c r="O114" s="352"/>
      <c r="P114" s="352"/>
      <c r="Q114" s="352"/>
      <c r="R114" s="352"/>
      <c r="S114" s="352"/>
      <c r="T114" s="352"/>
      <c r="U114" s="352"/>
      <c r="V114" s="352"/>
      <c r="W114" s="340"/>
      <c r="X114" s="340"/>
      <c r="Y114" s="340"/>
      <c r="Z114" s="340"/>
      <c r="AA114" s="340"/>
      <c r="AB114" s="340"/>
      <c r="AC114" s="340"/>
      <c r="AD114" s="340"/>
      <c r="AE114" s="340"/>
      <c r="AF114" s="340"/>
      <c r="AG114" s="340"/>
      <c r="AH114" s="340"/>
      <c r="AI114" s="340"/>
      <c r="AJ114" s="340"/>
      <c r="AK114" s="340"/>
      <c r="AL114" s="340"/>
      <c r="AM114" s="340"/>
      <c r="AN114" s="340"/>
      <c r="AO114" s="344"/>
      <c r="AP114" s="346"/>
      <c r="AQ114" s="340"/>
      <c r="AR114" s="340"/>
      <c r="AS114" s="340"/>
      <c r="AT114" s="340"/>
      <c r="AU114" s="340"/>
      <c r="AV114" s="340"/>
      <c r="AW114" s="340"/>
      <c r="AX114" s="340"/>
      <c r="AY114" s="340"/>
      <c r="AZ114" s="340"/>
      <c r="BA114" s="340"/>
      <c r="BB114" s="340"/>
      <c r="BC114" s="340"/>
      <c r="BD114" s="340"/>
      <c r="BE114" s="340"/>
      <c r="BF114" s="340"/>
      <c r="BG114" s="340"/>
      <c r="BH114" s="340"/>
      <c r="BI114" s="340"/>
      <c r="BJ114" s="340"/>
      <c r="BK114" s="340"/>
      <c r="BL114" s="340"/>
      <c r="BM114" s="340"/>
      <c r="BN114" s="340"/>
      <c r="BO114" s="340"/>
      <c r="BP114" s="340"/>
      <c r="BQ114" s="340"/>
      <c r="BR114" s="340"/>
      <c r="BS114" s="340"/>
      <c r="BT114" s="340"/>
      <c r="BU114" s="340"/>
      <c r="BV114" s="340"/>
      <c r="BW114" s="340"/>
      <c r="BX114" s="340"/>
      <c r="BY114" s="340"/>
      <c r="BZ114" s="340"/>
      <c r="CA114" s="340"/>
      <c r="CB114" s="340"/>
      <c r="CC114" s="340"/>
      <c r="CD114" s="340"/>
      <c r="CE114" s="340"/>
      <c r="CF114" s="340"/>
      <c r="CG114" s="346"/>
      <c r="CH114" s="340"/>
      <c r="CI114" s="346"/>
      <c r="CJ114" s="346"/>
      <c r="CK114" s="346"/>
      <c r="CL114" s="346"/>
      <c r="CM114" s="340"/>
      <c r="CN114" s="340"/>
      <c r="CO114" s="340"/>
      <c r="CP114" s="340"/>
      <c r="CQ114" s="340"/>
      <c r="CR114" s="340"/>
      <c r="CS114" s="340"/>
      <c r="CT114" s="260"/>
      <c r="CU114" s="260"/>
      <c r="CV114" s="260"/>
      <c r="CW114" s="260"/>
      <c r="CX114" s="260"/>
      <c r="CY114" s="260"/>
      <c r="CZ114" s="260"/>
      <c r="DA114" s="260"/>
      <c r="DB114" s="260"/>
      <c r="DC114" s="260"/>
      <c r="DD114" s="260"/>
      <c r="DE114" s="260"/>
      <c r="DF114" s="260"/>
      <c r="DG114" s="260"/>
      <c r="DH114" s="260"/>
      <c r="DI114" s="260"/>
      <c r="DJ114" s="260"/>
      <c r="DK114" s="347"/>
      <c r="DL114" s="347"/>
      <c r="DM114" s="347"/>
      <c r="DN114" s="347"/>
      <c r="DO114" s="353"/>
      <c r="DP114" s="348"/>
      <c r="DQ114" s="348"/>
      <c r="DR114" s="348"/>
      <c r="DS114" s="348"/>
      <c r="DT114" s="348"/>
      <c r="DU114" s="348"/>
      <c r="DV114" s="348"/>
      <c r="DW114" s="348"/>
      <c r="DX114" s="348"/>
      <c r="DY114" s="348"/>
      <c r="DZ114" s="348"/>
      <c r="EA114" s="348"/>
      <c r="EB114" s="348"/>
      <c r="EC114" s="349"/>
      <c r="ED114" s="349"/>
      <c r="EE114" s="349"/>
      <c r="EF114" s="349"/>
      <c r="EG114" s="349"/>
      <c r="EH114" s="349"/>
      <c r="EI114" s="349"/>
      <c r="EJ114" s="349"/>
      <c r="EK114" s="349"/>
      <c r="EL114" s="341"/>
      <c r="EM114" s="339"/>
      <c r="EN114" s="339"/>
      <c r="EO114" s="339"/>
      <c r="EP114" s="341"/>
      <c r="EQ114" s="339"/>
      <c r="ER114" s="339"/>
      <c r="ES114" s="339"/>
      <c r="ET114" s="350"/>
      <c r="EU114" s="350"/>
      <c r="EV114" s="350"/>
      <c r="EW114" s="350"/>
      <c r="EX114" s="350"/>
      <c r="EY114" s="350"/>
      <c r="EZ114" s="350"/>
      <c r="FA114" s="345"/>
      <c r="FB114" s="339"/>
      <c r="FC114" s="339"/>
      <c r="FD114" s="339"/>
      <c r="GB114" s="94"/>
      <c r="GC114" s="94"/>
      <c r="GD114" s="94"/>
      <c r="GE114" s="94"/>
      <c r="GF114" s="94"/>
      <c r="GG114" s="94"/>
      <c r="GH114" s="94"/>
    </row>
    <row r="115" spans="1:190" s="63" customFormat="1">
      <c r="A115" s="95"/>
      <c r="B115" s="351"/>
      <c r="C115" s="351"/>
      <c r="D115" s="339"/>
      <c r="E115" s="339"/>
      <c r="F115" s="339"/>
      <c r="G115" s="339"/>
      <c r="H115" s="339"/>
      <c r="I115" s="339"/>
      <c r="J115" s="352"/>
      <c r="K115" s="340"/>
      <c r="L115" s="340"/>
      <c r="M115" s="352"/>
      <c r="N115" s="352"/>
      <c r="O115" s="352"/>
      <c r="P115" s="352"/>
      <c r="Q115" s="352"/>
      <c r="R115" s="352"/>
      <c r="S115" s="352"/>
      <c r="T115" s="352"/>
      <c r="U115" s="352"/>
      <c r="V115" s="352"/>
      <c r="W115" s="340"/>
      <c r="X115" s="340"/>
      <c r="Y115" s="340"/>
      <c r="Z115" s="340"/>
      <c r="AA115" s="340"/>
      <c r="AB115" s="340"/>
      <c r="AC115" s="340"/>
      <c r="AD115" s="340"/>
      <c r="AE115" s="340"/>
      <c r="AF115" s="340"/>
      <c r="AG115" s="340"/>
      <c r="AH115" s="340"/>
      <c r="AI115" s="340"/>
      <c r="AJ115" s="340"/>
      <c r="AK115" s="340"/>
      <c r="AL115" s="340"/>
      <c r="AM115" s="340"/>
      <c r="AN115" s="340"/>
      <c r="AO115" s="344"/>
      <c r="AP115" s="346"/>
      <c r="AQ115" s="340"/>
      <c r="AR115" s="340"/>
      <c r="AS115" s="340"/>
      <c r="AT115" s="340"/>
      <c r="AU115" s="340"/>
      <c r="AV115" s="340"/>
      <c r="AW115" s="340"/>
      <c r="AX115" s="340"/>
      <c r="AY115" s="340"/>
      <c r="AZ115" s="340"/>
      <c r="BA115" s="340"/>
      <c r="BB115" s="340"/>
      <c r="BC115" s="340"/>
      <c r="BD115" s="340"/>
      <c r="BE115" s="340"/>
      <c r="BF115" s="340"/>
      <c r="BG115" s="340"/>
      <c r="BH115" s="340"/>
      <c r="BI115" s="340"/>
      <c r="BJ115" s="340"/>
      <c r="BK115" s="340"/>
      <c r="BL115" s="340"/>
      <c r="BM115" s="340"/>
      <c r="BN115" s="340"/>
      <c r="BO115" s="340"/>
      <c r="BP115" s="340"/>
      <c r="BQ115" s="340"/>
      <c r="BR115" s="340"/>
      <c r="BS115" s="340"/>
      <c r="BT115" s="340"/>
      <c r="BU115" s="340"/>
      <c r="BV115" s="340"/>
      <c r="BW115" s="340"/>
      <c r="BX115" s="340"/>
      <c r="BY115" s="340"/>
      <c r="BZ115" s="340"/>
      <c r="CA115" s="340"/>
      <c r="CB115" s="340"/>
      <c r="CC115" s="340"/>
      <c r="CD115" s="340"/>
      <c r="CE115" s="340"/>
      <c r="CF115" s="340"/>
      <c r="CG115" s="346"/>
      <c r="CH115" s="340"/>
      <c r="CI115" s="346"/>
      <c r="CJ115" s="346"/>
      <c r="CK115" s="346"/>
      <c r="CL115" s="346"/>
      <c r="CM115" s="340"/>
      <c r="CN115" s="340"/>
      <c r="CO115" s="340"/>
      <c r="CP115" s="340"/>
      <c r="CQ115" s="340"/>
      <c r="CR115" s="340"/>
      <c r="CS115" s="340"/>
      <c r="CT115" s="260"/>
      <c r="CU115" s="260"/>
      <c r="CV115" s="260"/>
      <c r="CW115" s="260"/>
      <c r="CX115" s="260"/>
      <c r="CY115" s="260"/>
      <c r="CZ115" s="260"/>
      <c r="DA115" s="260"/>
      <c r="DB115" s="260"/>
      <c r="DC115" s="260"/>
      <c r="DD115" s="260"/>
      <c r="DE115" s="260"/>
      <c r="DF115" s="260"/>
      <c r="DG115" s="260"/>
      <c r="DH115" s="260"/>
      <c r="DI115" s="260"/>
      <c r="DJ115" s="260"/>
      <c r="DK115" s="347"/>
      <c r="DL115" s="347"/>
      <c r="DM115" s="347"/>
      <c r="DN115" s="347"/>
      <c r="DO115" s="353"/>
      <c r="DP115" s="348"/>
      <c r="DQ115" s="348"/>
      <c r="DR115" s="348"/>
      <c r="DS115" s="348"/>
      <c r="DT115" s="348"/>
      <c r="DU115" s="348"/>
      <c r="DV115" s="348"/>
      <c r="DW115" s="348"/>
      <c r="DX115" s="348"/>
      <c r="DY115" s="348"/>
      <c r="DZ115" s="348"/>
      <c r="EA115" s="348"/>
      <c r="EB115" s="348"/>
      <c r="EC115" s="349"/>
      <c r="ED115" s="349"/>
      <c r="EE115" s="349"/>
      <c r="EF115" s="349"/>
      <c r="EG115" s="349"/>
      <c r="EH115" s="349"/>
      <c r="EI115" s="349"/>
      <c r="EJ115" s="349"/>
      <c r="EK115" s="349"/>
      <c r="EL115" s="341"/>
      <c r="EM115" s="339"/>
      <c r="EN115" s="339"/>
      <c r="EO115" s="339"/>
      <c r="EP115" s="341"/>
      <c r="EQ115" s="339"/>
      <c r="ER115" s="339"/>
      <c r="ES115" s="339"/>
      <c r="ET115" s="350"/>
      <c r="EU115" s="350"/>
      <c r="EV115" s="350"/>
      <c r="EW115" s="350"/>
      <c r="EX115" s="350"/>
      <c r="EY115" s="350"/>
      <c r="EZ115" s="350"/>
      <c r="FA115" s="345"/>
      <c r="FB115" s="339"/>
      <c r="FC115" s="339"/>
      <c r="FD115" s="339"/>
      <c r="GB115" s="94"/>
      <c r="GC115" s="94"/>
      <c r="GD115" s="94"/>
      <c r="GE115" s="94"/>
      <c r="GF115" s="94"/>
      <c r="GG115" s="94"/>
      <c r="GH115" s="94"/>
    </row>
    <row r="116" spans="1:190" s="63" customFormat="1">
      <c r="A116" s="95"/>
      <c r="B116" s="351"/>
      <c r="C116" s="351"/>
      <c r="D116" s="339"/>
      <c r="E116" s="339"/>
      <c r="F116" s="339"/>
      <c r="G116" s="339"/>
      <c r="H116" s="339"/>
      <c r="I116" s="339"/>
      <c r="J116" s="352"/>
      <c r="K116" s="340"/>
      <c r="L116" s="340"/>
      <c r="M116" s="352"/>
      <c r="N116" s="352"/>
      <c r="O116" s="352"/>
      <c r="P116" s="352"/>
      <c r="Q116" s="352"/>
      <c r="R116" s="352"/>
      <c r="S116" s="352"/>
      <c r="T116" s="352"/>
      <c r="U116" s="352"/>
      <c r="V116" s="352"/>
      <c r="W116" s="340"/>
      <c r="X116" s="340"/>
      <c r="Y116" s="340"/>
      <c r="Z116" s="340"/>
      <c r="AA116" s="340"/>
      <c r="AB116" s="340"/>
      <c r="AC116" s="340"/>
      <c r="AD116" s="340"/>
      <c r="AE116" s="340"/>
      <c r="AF116" s="340"/>
      <c r="AG116" s="340"/>
      <c r="AH116" s="340"/>
      <c r="AI116" s="340"/>
      <c r="AJ116" s="340"/>
      <c r="AK116" s="340"/>
      <c r="AL116" s="340"/>
      <c r="AM116" s="340"/>
      <c r="AN116" s="340"/>
      <c r="AO116" s="344"/>
      <c r="AP116" s="346"/>
      <c r="AQ116" s="340"/>
      <c r="AR116" s="340"/>
      <c r="AS116" s="340"/>
      <c r="AT116" s="340"/>
      <c r="AU116" s="340"/>
      <c r="AV116" s="340"/>
      <c r="AW116" s="340"/>
      <c r="AX116" s="340"/>
      <c r="AY116" s="340"/>
      <c r="AZ116" s="340"/>
      <c r="BA116" s="340"/>
      <c r="BB116" s="340"/>
      <c r="BC116" s="340"/>
      <c r="BD116" s="340"/>
      <c r="BE116" s="340"/>
      <c r="BF116" s="340"/>
      <c r="BG116" s="340"/>
      <c r="BH116" s="340"/>
      <c r="BI116" s="340"/>
      <c r="BJ116" s="340"/>
      <c r="BK116" s="340"/>
      <c r="BL116" s="340"/>
      <c r="BM116" s="340"/>
      <c r="BN116" s="340"/>
      <c r="BO116" s="340"/>
      <c r="BP116" s="340"/>
      <c r="BQ116" s="340"/>
      <c r="BR116" s="340"/>
      <c r="BS116" s="340"/>
      <c r="BT116" s="340"/>
      <c r="BU116" s="340"/>
      <c r="BV116" s="340"/>
      <c r="BW116" s="340"/>
      <c r="BX116" s="340"/>
      <c r="BY116" s="340"/>
      <c r="BZ116" s="340"/>
      <c r="CA116" s="340"/>
      <c r="CB116" s="340"/>
      <c r="CC116" s="340"/>
      <c r="CD116" s="340"/>
      <c r="CE116" s="340"/>
      <c r="CF116" s="340"/>
      <c r="CG116" s="346"/>
      <c r="CH116" s="340"/>
      <c r="CI116" s="346"/>
      <c r="CJ116" s="346"/>
      <c r="CK116" s="346"/>
      <c r="CL116" s="346"/>
      <c r="CM116" s="340"/>
      <c r="CN116" s="340"/>
      <c r="CO116" s="340"/>
      <c r="CP116" s="340"/>
      <c r="CQ116" s="340"/>
      <c r="CR116" s="340"/>
      <c r="CS116" s="340"/>
      <c r="CT116" s="260"/>
      <c r="CU116" s="260"/>
      <c r="CV116" s="260"/>
      <c r="CW116" s="260"/>
      <c r="CX116" s="260"/>
      <c r="CY116" s="260"/>
      <c r="CZ116" s="260"/>
      <c r="DA116" s="260"/>
      <c r="DB116" s="260"/>
      <c r="DC116" s="260"/>
      <c r="DD116" s="260"/>
      <c r="DE116" s="260"/>
      <c r="DF116" s="260"/>
      <c r="DG116" s="260"/>
      <c r="DH116" s="260"/>
      <c r="DI116" s="260"/>
      <c r="DJ116" s="260"/>
      <c r="DK116" s="347"/>
      <c r="DL116" s="347"/>
      <c r="DM116" s="347"/>
      <c r="DN116" s="347"/>
      <c r="DO116" s="353"/>
      <c r="DP116" s="348"/>
      <c r="DQ116" s="348"/>
      <c r="DR116" s="348"/>
      <c r="DS116" s="348"/>
      <c r="DT116" s="348"/>
      <c r="DU116" s="348"/>
      <c r="DV116" s="348"/>
      <c r="DW116" s="348"/>
      <c r="DX116" s="348"/>
      <c r="DY116" s="348"/>
      <c r="DZ116" s="348"/>
      <c r="EA116" s="348"/>
      <c r="EB116" s="348"/>
      <c r="EC116" s="349"/>
      <c r="ED116" s="349"/>
      <c r="EE116" s="349"/>
      <c r="EF116" s="349"/>
      <c r="EG116" s="349"/>
      <c r="EH116" s="349"/>
      <c r="EI116" s="349"/>
      <c r="EJ116" s="349"/>
      <c r="EK116" s="349"/>
      <c r="EL116" s="341"/>
      <c r="EM116" s="339"/>
      <c r="EN116" s="339"/>
      <c r="EO116" s="339"/>
      <c r="EP116" s="341"/>
      <c r="EQ116" s="339"/>
      <c r="ER116" s="339"/>
      <c r="ES116" s="339"/>
      <c r="ET116" s="350"/>
      <c r="EU116" s="350"/>
      <c r="EV116" s="350"/>
      <c r="EW116" s="350"/>
      <c r="EX116" s="350"/>
      <c r="EY116" s="350"/>
      <c r="EZ116" s="350"/>
      <c r="FA116" s="345"/>
      <c r="FB116" s="339"/>
      <c r="FC116" s="339"/>
      <c r="FD116" s="339"/>
      <c r="GB116" s="94"/>
      <c r="GC116" s="94"/>
      <c r="GD116" s="94"/>
      <c r="GE116" s="94"/>
      <c r="GF116" s="94"/>
      <c r="GG116" s="94"/>
      <c r="GH116" s="94"/>
    </row>
    <row r="117" spans="1:190" s="63" customFormat="1">
      <c r="A117" s="95"/>
      <c r="B117" s="351"/>
      <c r="C117" s="339"/>
      <c r="D117" s="339"/>
      <c r="E117" s="339"/>
      <c r="F117" s="339"/>
      <c r="G117" s="339"/>
      <c r="H117" s="339"/>
      <c r="I117" s="352"/>
      <c r="J117" s="340"/>
      <c r="K117" s="340"/>
      <c r="L117" s="352"/>
      <c r="M117" s="352"/>
      <c r="N117" s="352"/>
      <c r="O117" s="352"/>
      <c r="P117" s="352"/>
      <c r="Q117" s="352"/>
      <c r="R117" s="352"/>
      <c r="S117" s="352"/>
      <c r="T117" s="352"/>
      <c r="U117" s="352"/>
      <c r="V117" s="340"/>
      <c r="W117" s="340"/>
      <c r="X117" s="340"/>
      <c r="Y117" s="340"/>
      <c r="Z117" s="340"/>
      <c r="AA117" s="340"/>
      <c r="AB117" s="340"/>
      <c r="AC117" s="340"/>
      <c r="AD117" s="340"/>
      <c r="AE117" s="340"/>
      <c r="AF117" s="340"/>
      <c r="AG117" s="340"/>
      <c r="AH117" s="340"/>
      <c r="AI117" s="340"/>
      <c r="AJ117" s="340"/>
      <c r="AK117" s="340"/>
      <c r="AL117" s="340"/>
      <c r="AM117" s="340"/>
      <c r="AN117" s="344"/>
      <c r="AO117" s="346"/>
      <c r="AP117" s="340"/>
      <c r="AQ117" s="340"/>
      <c r="AR117" s="340"/>
      <c r="AS117" s="340"/>
      <c r="AT117" s="340"/>
      <c r="AU117" s="340"/>
      <c r="AV117" s="340"/>
      <c r="AW117" s="340"/>
      <c r="AX117" s="340"/>
      <c r="AY117" s="340"/>
      <c r="AZ117" s="340"/>
      <c r="BA117" s="340"/>
      <c r="BB117" s="340"/>
      <c r="BC117" s="340"/>
      <c r="BD117" s="340"/>
      <c r="BE117" s="340"/>
      <c r="BF117" s="340"/>
      <c r="BG117" s="340"/>
      <c r="BH117" s="340"/>
      <c r="BI117" s="340"/>
      <c r="BJ117" s="340"/>
      <c r="BK117" s="340"/>
      <c r="BL117" s="340"/>
      <c r="BM117" s="340"/>
      <c r="BN117" s="340"/>
      <c r="BO117" s="340"/>
      <c r="BP117" s="340"/>
      <c r="BQ117" s="340"/>
      <c r="BR117" s="340"/>
      <c r="BS117" s="340"/>
      <c r="BT117" s="340"/>
      <c r="BU117" s="340"/>
      <c r="BV117" s="340"/>
      <c r="BW117" s="340"/>
      <c r="BX117" s="340"/>
      <c r="BY117" s="340"/>
      <c r="BZ117" s="340"/>
      <c r="CA117" s="340"/>
      <c r="CB117" s="340"/>
      <c r="CC117" s="340"/>
      <c r="CD117" s="340"/>
      <c r="CE117" s="340"/>
      <c r="CF117" s="346"/>
      <c r="CG117" s="340"/>
      <c r="CH117" s="346"/>
      <c r="CI117" s="346"/>
      <c r="CJ117" s="346"/>
      <c r="CK117" s="346"/>
      <c r="CL117" s="340"/>
      <c r="CM117" s="340"/>
      <c r="CN117" s="340"/>
      <c r="CO117" s="340"/>
      <c r="CP117" s="340"/>
      <c r="CQ117" s="340"/>
      <c r="CR117" s="340"/>
      <c r="CS117" s="260"/>
      <c r="CT117" s="260"/>
      <c r="CU117" s="260"/>
      <c r="CV117" s="260"/>
      <c r="CW117" s="260"/>
      <c r="CX117" s="260"/>
      <c r="CY117" s="260"/>
      <c r="CZ117" s="260"/>
      <c r="DA117" s="260"/>
      <c r="DB117" s="260"/>
      <c r="DC117" s="260"/>
      <c r="DD117" s="260"/>
      <c r="DE117" s="260"/>
      <c r="DF117" s="260"/>
      <c r="DG117" s="260"/>
      <c r="DH117" s="260"/>
      <c r="DI117" s="260"/>
      <c r="DJ117" s="347"/>
      <c r="DK117" s="347"/>
      <c r="DL117" s="347"/>
      <c r="DM117" s="347"/>
      <c r="DN117" s="353"/>
      <c r="DO117" s="348"/>
      <c r="DP117" s="348"/>
      <c r="DQ117" s="348"/>
      <c r="DR117" s="348"/>
      <c r="DS117" s="348"/>
      <c r="DT117" s="348"/>
      <c r="DU117" s="348"/>
      <c r="DV117" s="348"/>
      <c r="DW117" s="348"/>
      <c r="DX117" s="348"/>
      <c r="DY117" s="348"/>
      <c r="DZ117" s="348"/>
      <c r="EA117" s="348"/>
      <c r="EB117" s="349"/>
      <c r="EC117" s="349"/>
      <c r="ED117" s="349"/>
      <c r="EE117" s="349"/>
      <c r="EF117" s="349"/>
      <c r="EG117" s="349"/>
      <c r="EH117" s="349"/>
      <c r="EI117" s="349"/>
      <c r="EJ117" s="349"/>
      <c r="EK117" s="341"/>
      <c r="EL117" s="339"/>
      <c r="EM117" s="339"/>
      <c r="EN117" s="339"/>
      <c r="EO117" s="341"/>
      <c r="EP117" s="339"/>
      <c r="EQ117" s="339"/>
      <c r="ER117" s="339"/>
      <c r="ES117" s="350"/>
      <c r="ET117" s="350"/>
      <c r="EU117" s="350"/>
      <c r="EV117" s="350"/>
      <c r="EW117" s="350"/>
      <c r="EX117" s="350"/>
      <c r="EY117" s="350"/>
      <c r="EZ117" s="345"/>
      <c r="FA117" s="339"/>
      <c r="FB117" s="339"/>
      <c r="FC117" s="339"/>
      <c r="GA117" s="94"/>
      <c r="GB117" s="94"/>
      <c r="GC117" s="94"/>
      <c r="GD117" s="94"/>
      <c r="GE117" s="94"/>
      <c r="GF117" s="94"/>
      <c r="GG117" s="94"/>
    </row>
    <row r="118" spans="1:190" s="63" customFormat="1">
      <c r="A118" s="95"/>
      <c r="B118" s="351"/>
      <c r="C118" s="339"/>
      <c r="D118" s="339"/>
      <c r="E118" s="339"/>
      <c r="F118" s="339"/>
      <c r="G118" s="339"/>
      <c r="H118" s="339"/>
      <c r="I118" s="352"/>
      <c r="J118" s="340"/>
      <c r="K118" s="340"/>
      <c r="L118" s="352"/>
      <c r="M118" s="352"/>
      <c r="N118" s="352"/>
      <c r="O118" s="352"/>
      <c r="P118" s="352"/>
      <c r="Q118" s="352"/>
      <c r="R118" s="352"/>
      <c r="S118" s="352"/>
      <c r="T118" s="352"/>
      <c r="U118" s="352"/>
      <c r="V118" s="340"/>
      <c r="W118" s="340"/>
      <c r="X118" s="340"/>
      <c r="Y118" s="340"/>
      <c r="Z118" s="340"/>
      <c r="AA118" s="340"/>
      <c r="AB118" s="340"/>
      <c r="AC118" s="340"/>
      <c r="AD118" s="340"/>
      <c r="AE118" s="340"/>
      <c r="AF118" s="340"/>
      <c r="AG118" s="340"/>
      <c r="AH118" s="340"/>
      <c r="AI118" s="340"/>
      <c r="AJ118" s="340"/>
      <c r="AK118" s="340"/>
      <c r="AL118" s="340"/>
      <c r="AM118" s="340"/>
      <c r="AN118" s="344"/>
      <c r="AO118" s="346"/>
      <c r="AP118" s="340"/>
      <c r="AQ118" s="340"/>
      <c r="AR118" s="340"/>
      <c r="AS118" s="340"/>
      <c r="AT118" s="340"/>
      <c r="AU118" s="340"/>
      <c r="AV118" s="340"/>
      <c r="AW118" s="340"/>
      <c r="AX118" s="340"/>
      <c r="AY118" s="340"/>
      <c r="AZ118" s="340"/>
      <c r="BA118" s="340"/>
      <c r="BB118" s="340"/>
      <c r="BC118" s="340"/>
      <c r="BD118" s="340"/>
      <c r="BE118" s="340"/>
      <c r="BF118" s="340"/>
      <c r="BG118" s="340"/>
      <c r="BH118" s="340"/>
      <c r="BI118" s="340"/>
      <c r="BJ118" s="340"/>
      <c r="BK118" s="340"/>
      <c r="BL118" s="340"/>
      <c r="BM118" s="340"/>
      <c r="BN118" s="340"/>
      <c r="BO118" s="340"/>
      <c r="BP118" s="340"/>
      <c r="BQ118" s="340"/>
      <c r="BR118" s="340"/>
      <c r="BS118" s="340"/>
      <c r="BT118" s="340"/>
      <c r="BU118" s="340"/>
      <c r="BV118" s="340"/>
      <c r="BW118" s="340"/>
      <c r="BX118" s="340"/>
      <c r="BY118" s="340"/>
      <c r="BZ118" s="340"/>
      <c r="CA118" s="340"/>
      <c r="CB118" s="340"/>
      <c r="CC118" s="340"/>
      <c r="CD118" s="340"/>
      <c r="CE118" s="340"/>
      <c r="CF118" s="346"/>
      <c r="CG118" s="340"/>
      <c r="CH118" s="346"/>
      <c r="CI118" s="346"/>
      <c r="CJ118" s="346"/>
      <c r="CK118" s="346"/>
      <c r="CL118" s="340"/>
      <c r="CM118" s="340"/>
      <c r="CN118" s="340"/>
      <c r="CO118" s="340"/>
      <c r="CP118" s="340"/>
      <c r="CQ118" s="340"/>
      <c r="CR118" s="340"/>
      <c r="CS118" s="260"/>
      <c r="CT118" s="260"/>
      <c r="CU118" s="260"/>
      <c r="CV118" s="260"/>
      <c r="CW118" s="260"/>
      <c r="CX118" s="260"/>
      <c r="CY118" s="260"/>
      <c r="CZ118" s="260"/>
      <c r="DA118" s="260"/>
      <c r="DB118" s="260"/>
      <c r="DC118" s="260"/>
      <c r="DD118" s="260"/>
      <c r="DE118" s="260"/>
      <c r="DF118" s="260"/>
      <c r="DG118" s="260"/>
      <c r="DH118" s="260"/>
      <c r="DI118" s="260"/>
      <c r="DJ118" s="347"/>
      <c r="DK118" s="347"/>
      <c r="DL118" s="347"/>
      <c r="DM118" s="347"/>
      <c r="DN118" s="353"/>
      <c r="DO118" s="348"/>
      <c r="DP118" s="348"/>
      <c r="DQ118" s="348"/>
      <c r="DR118" s="348"/>
      <c r="DS118" s="348"/>
      <c r="DT118" s="348"/>
      <c r="DU118" s="348"/>
      <c r="DV118" s="348"/>
      <c r="DW118" s="348"/>
      <c r="DX118" s="348"/>
      <c r="DY118" s="348"/>
      <c r="DZ118" s="348"/>
      <c r="EA118" s="348"/>
      <c r="EB118" s="349"/>
      <c r="EC118" s="349"/>
      <c r="ED118" s="349"/>
      <c r="EE118" s="349"/>
      <c r="EF118" s="349"/>
      <c r="EG118" s="349"/>
      <c r="EH118" s="349"/>
      <c r="EI118" s="349"/>
      <c r="EJ118" s="349"/>
      <c r="EK118" s="341"/>
      <c r="EL118" s="339"/>
      <c r="EM118" s="339"/>
      <c r="EN118" s="339"/>
      <c r="EO118" s="341"/>
      <c r="EP118" s="339"/>
      <c r="EQ118" s="339"/>
      <c r="ER118" s="339"/>
      <c r="ES118" s="350"/>
      <c r="ET118" s="350"/>
      <c r="EU118" s="350"/>
      <c r="EV118" s="350"/>
      <c r="EW118" s="350"/>
      <c r="EX118" s="350"/>
      <c r="EY118" s="350"/>
      <c r="EZ118" s="345"/>
      <c r="FA118" s="339"/>
      <c r="FB118" s="339"/>
      <c r="FC118" s="339"/>
      <c r="GA118" s="94"/>
      <c r="GB118" s="94"/>
      <c r="GC118" s="94"/>
      <c r="GD118" s="94"/>
      <c r="GE118" s="94"/>
      <c r="GF118" s="94"/>
      <c r="GG118" s="94"/>
    </row>
    <row r="119" spans="1:190" s="63" customFormat="1">
      <c r="A119" s="95"/>
      <c r="B119" s="351"/>
      <c r="C119" s="339"/>
      <c r="D119" s="339"/>
      <c r="E119" s="339"/>
      <c r="F119" s="339"/>
      <c r="G119" s="339"/>
      <c r="H119" s="339"/>
      <c r="I119" s="352"/>
      <c r="J119" s="340"/>
      <c r="K119" s="340"/>
      <c r="L119" s="352"/>
      <c r="M119" s="352"/>
      <c r="N119" s="352"/>
      <c r="O119" s="352"/>
      <c r="P119" s="352"/>
      <c r="Q119" s="352"/>
      <c r="R119" s="352"/>
      <c r="S119" s="352"/>
      <c r="T119" s="352"/>
      <c r="U119" s="352"/>
      <c r="V119" s="340"/>
      <c r="W119" s="340"/>
      <c r="X119" s="340"/>
      <c r="Y119" s="340"/>
      <c r="Z119" s="340"/>
      <c r="AA119" s="340"/>
      <c r="AB119" s="340"/>
      <c r="AC119" s="340"/>
      <c r="AD119" s="340"/>
      <c r="AE119" s="340"/>
      <c r="AF119" s="340"/>
      <c r="AG119" s="340"/>
      <c r="AH119" s="340"/>
      <c r="AI119" s="340"/>
      <c r="AJ119" s="340"/>
      <c r="AK119" s="340"/>
      <c r="AL119" s="340"/>
      <c r="AM119" s="340"/>
      <c r="AN119" s="344"/>
      <c r="AO119" s="346"/>
      <c r="AP119" s="340"/>
      <c r="AQ119" s="340"/>
      <c r="AR119" s="340"/>
      <c r="AS119" s="340"/>
      <c r="AT119" s="340"/>
      <c r="AU119" s="340"/>
      <c r="AV119" s="340"/>
      <c r="AW119" s="340"/>
      <c r="AX119" s="340"/>
      <c r="AY119" s="340"/>
      <c r="AZ119" s="340"/>
      <c r="BA119" s="340"/>
      <c r="BB119" s="340"/>
      <c r="BC119" s="340"/>
      <c r="BD119" s="340"/>
      <c r="BE119" s="340"/>
      <c r="BF119" s="340"/>
      <c r="BG119" s="340"/>
      <c r="BH119" s="340"/>
      <c r="BI119" s="340"/>
      <c r="BJ119" s="340"/>
      <c r="BK119" s="340"/>
      <c r="BL119" s="340"/>
      <c r="BM119" s="340"/>
      <c r="BN119" s="340"/>
      <c r="BO119" s="340"/>
      <c r="BP119" s="340"/>
      <c r="BQ119" s="340"/>
      <c r="BR119" s="340"/>
      <c r="BS119" s="340"/>
      <c r="BT119" s="340"/>
      <c r="BU119" s="340"/>
      <c r="BV119" s="340"/>
      <c r="BW119" s="340"/>
      <c r="BX119" s="340"/>
      <c r="BY119" s="340"/>
      <c r="BZ119" s="340"/>
      <c r="CA119" s="340"/>
      <c r="CB119" s="340"/>
      <c r="CC119" s="340"/>
      <c r="CD119" s="340"/>
      <c r="CE119" s="340"/>
      <c r="CF119" s="346"/>
      <c r="CG119" s="340"/>
      <c r="CH119" s="346"/>
      <c r="CI119" s="346"/>
      <c r="CJ119" s="346"/>
      <c r="CK119" s="346"/>
      <c r="CL119" s="340"/>
      <c r="CM119" s="340"/>
      <c r="CN119" s="340"/>
      <c r="CO119" s="340"/>
      <c r="CP119" s="340"/>
      <c r="CQ119" s="340"/>
      <c r="CR119" s="340"/>
      <c r="CS119" s="260"/>
      <c r="CT119" s="260"/>
      <c r="CU119" s="260"/>
      <c r="CV119" s="260"/>
      <c r="CW119" s="260"/>
      <c r="CX119" s="260"/>
      <c r="CY119" s="260"/>
      <c r="CZ119" s="260"/>
      <c r="DA119" s="260"/>
      <c r="DB119" s="260"/>
      <c r="DC119" s="260"/>
      <c r="DD119" s="260"/>
      <c r="DE119" s="260"/>
      <c r="DF119" s="260"/>
      <c r="DG119" s="260"/>
      <c r="DH119" s="260"/>
      <c r="DI119" s="260"/>
      <c r="DJ119" s="347"/>
      <c r="DK119" s="347"/>
      <c r="DL119" s="347"/>
      <c r="DM119" s="347"/>
      <c r="DN119" s="353"/>
      <c r="DO119" s="348"/>
      <c r="DP119" s="348"/>
      <c r="DQ119" s="348"/>
      <c r="DR119" s="348"/>
      <c r="DS119" s="348"/>
      <c r="DT119" s="348"/>
      <c r="DU119" s="348"/>
      <c r="DV119" s="348"/>
      <c r="DW119" s="348"/>
      <c r="DX119" s="348"/>
      <c r="DY119" s="348"/>
      <c r="DZ119" s="348"/>
      <c r="EA119" s="348"/>
      <c r="EB119" s="349"/>
      <c r="EC119" s="349"/>
      <c r="ED119" s="349"/>
      <c r="EE119" s="349"/>
      <c r="EF119" s="349"/>
      <c r="EG119" s="349"/>
      <c r="EH119" s="349"/>
      <c r="EI119" s="349"/>
      <c r="EJ119" s="349"/>
      <c r="EK119" s="341"/>
      <c r="EL119" s="339"/>
      <c r="EM119" s="339"/>
      <c r="EN119" s="339"/>
      <c r="EO119" s="341"/>
      <c r="EP119" s="339"/>
      <c r="EQ119" s="339"/>
      <c r="ER119" s="339"/>
      <c r="ES119" s="350"/>
      <c r="ET119" s="350"/>
      <c r="EU119" s="350"/>
      <c r="EV119" s="350"/>
      <c r="EW119" s="350"/>
      <c r="EX119" s="350"/>
      <c r="EY119" s="350"/>
      <c r="EZ119" s="345"/>
      <c r="FA119" s="339"/>
      <c r="FB119" s="339"/>
      <c r="FC119" s="339"/>
      <c r="GA119" s="94"/>
      <c r="GB119" s="94"/>
      <c r="GC119" s="94"/>
      <c r="GD119" s="94"/>
      <c r="GE119" s="94"/>
      <c r="GF119" s="94"/>
      <c r="GG119" s="94"/>
    </row>
    <row r="120" spans="1:190" s="63" customFormat="1">
      <c r="A120" s="95"/>
      <c r="B120" s="351"/>
      <c r="C120" s="339"/>
      <c r="D120" s="339"/>
      <c r="E120" s="339"/>
      <c r="F120" s="339"/>
      <c r="G120" s="339"/>
      <c r="H120" s="339"/>
      <c r="I120" s="352"/>
      <c r="J120" s="340"/>
      <c r="K120" s="340"/>
      <c r="L120" s="352"/>
      <c r="M120" s="352"/>
      <c r="N120" s="352"/>
      <c r="O120" s="352"/>
      <c r="P120" s="352"/>
      <c r="Q120" s="352"/>
      <c r="R120" s="352"/>
      <c r="S120" s="352"/>
      <c r="T120" s="352"/>
      <c r="U120" s="352"/>
      <c r="V120" s="340"/>
      <c r="W120" s="340"/>
      <c r="X120" s="340"/>
      <c r="Y120" s="340"/>
      <c r="Z120" s="340"/>
      <c r="AA120" s="340"/>
      <c r="AB120" s="340"/>
      <c r="AC120" s="340"/>
      <c r="AD120" s="340"/>
      <c r="AE120" s="340"/>
      <c r="AF120" s="340"/>
      <c r="AG120" s="340"/>
      <c r="AH120" s="340"/>
      <c r="AI120" s="340"/>
      <c r="AJ120" s="340"/>
      <c r="AK120" s="340"/>
      <c r="AL120" s="340"/>
      <c r="AM120" s="340"/>
      <c r="AN120" s="344"/>
      <c r="AO120" s="346"/>
      <c r="AP120" s="340"/>
      <c r="AQ120" s="340"/>
      <c r="AR120" s="340"/>
      <c r="AS120" s="340"/>
      <c r="AT120" s="340"/>
      <c r="AU120" s="340"/>
      <c r="AV120" s="340"/>
      <c r="AW120" s="340"/>
      <c r="AX120" s="340"/>
      <c r="AY120" s="340"/>
      <c r="AZ120" s="340"/>
      <c r="BA120" s="340"/>
      <c r="BB120" s="340"/>
      <c r="BC120" s="340"/>
      <c r="BD120" s="340"/>
      <c r="BE120" s="340"/>
      <c r="BF120" s="340"/>
      <c r="BG120" s="340"/>
      <c r="BH120" s="340"/>
      <c r="BI120" s="340"/>
      <c r="BJ120" s="340"/>
      <c r="BK120" s="340"/>
      <c r="BL120" s="340"/>
      <c r="BM120" s="340"/>
      <c r="BN120" s="340"/>
      <c r="BO120" s="340"/>
      <c r="BP120" s="340"/>
      <c r="BQ120" s="340"/>
      <c r="BR120" s="340"/>
      <c r="BS120" s="340"/>
      <c r="BT120" s="340"/>
      <c r="BU120" s="340"/>
      <c r="BV120" s="340"/>
      <c r="BW120" s="340"/>
      <c r="BX120" s="340"/>
      <c r="BY120" s="340"/>
      <c r="BZ120" s="340"/>
      <c r="CA120" s="340"/>
      <c r="CB120" s="340"/>
      <c r="CC120" s="340"/>
      <c r="CD120" s="340"/>
      <c r="CE120" s="340"/>
      <c r="CF120" s="346"/>
      <c r="CG120" s="340"/>
      <c r="CH120" s="346"/>
      <c r="CI120" s="346"/>
      <c r="CJ120" s="346"/>
      <c r="CK120" s="346"/>
      <c r="CL120" s="340"/>
      <c r="CM120" s="340"/>
      <c r="CN120" s="340"/>
      <c r="CO120" s="340"/>
      <c r="CP120" s="340"/>
      <c r="CQ120" s="340"/>
      <c r="CR120" s="340"/>
      <c r="CS120" s="260"/>
      <c r="CT120" s="260"/>
      <c r="CU120" s="260"/>
      <c r="CV120" s="260"/>
      <c r="CW120" s="260"/>
      <c r="CX120" s="260"/>
      <c r="CY120" s="260"/>
      <c r="CZ120" s="260"/>
      <c r="DA120" s="260"/>
      <c r="DB120" s="260"/>
      <c r="DC120" s="260"/>
      <c r="DD120" s="260"/>
      <c r="DE120" s="260"/>
      <c r="DF120" s="260"/>
      <c r="DG120" s="260"/>
      <c r="DH120" s="260"/>
      <c r="DI120" s="260"/>
      <c r="DJ120" s="347"/>
      <c r="DK120" s="347"/>
      <c r="DL120" s="347"/>
      <c r="DM120" s="347"/>
      <c r="DN120" s="353"/>
      <c r="DO120" s="348"/>
      <c r="DP120" s="348"/>
      <c r="DQ120" s="348"/>
      <c r="DR120" s="348"/>
      <c r="DS120" s="348"/>
      <c r="DT120" s="348"/>
      <c r="DU120" s="348"/>
      <c r="DV120" s="348"/>
      <c r="DW120" s="348"/>
      <c r="DX120" s="348"/>
      <c r="DY120" s="348"/>
      <c r="DZ120" s="348"/>
      <c r="EA120" s="348"/>
      <c r="EB120" s="349"/>
      <c r="EC120" s="349"/>
      <c r="ED120" s="349"/>
      <c r="EE120" s="349"/>
      <c r="EF120" s="349"/>
      <c r="EG120" s="349"/>
      <c r="EH120" s="349"/>
      <c r="EI120" s="349"/>
      <c r="EJ120" s="349"/>
      <c r="EK120" s="341"/>
      <c r="EL120" s="339"/>
      <c r="EM120" s="339"/>
      <c r="EN120" s="339"/>
      <c r="EO120" s="341"/>
      <c r="EP120" s="339"/>
      <c r="EQ120" s="339"/>
      <c r="ER120" s="339"/>
      <c r="ES120" s="350"/>
      <c r="ET120" s="350"/>
      <c r="EU120" s="350"/>
      <c r="EV120" s="350"/>
      <c r="EW120" s="350"/>
      <c r="EX120" s="350"/>
      <c r="EY120" s="350"/>
      <c r="EZ120" s="345"/>
      <c r="FA120" s="339"/>
      <c r="FB120" s="339"/>
      <c r="FC120" s="339"/>
      <c r="GA120" s="94"/>
      <c r="GB120" s="94"/>
      <c r="GC120" s="94"/>
      <c r="GD120" s="94"/>
      <c r="GE120" s="94"/>
      <c r="GF120" s="94"/>
      <c r="GG120" s="94"/>
    </row>
    <row r="121" spans="1:190" s="63" customFormat="1">
      <c r="A121" s="95"/>
      <c r="B121" s="351"/>
      <c r="C121" s="339"/>
      <c r="D121" s="339"/>
      <c r="E121" s="339"/>
      <c r="F121" s="339"/>
      <c r="G121" s="339"/>
      <c r="H121" s="339"/>
      <c r="I121" s="352"/>
      <c r="J121" s="340"/>
      <c r="K121" s="340"/>
      <c r="L121" s="352"/>
      <c r="M121" s="352"/>
      <c r="N121" s="352"/>
      <c r="O121" s="352"/>
      <c r="P121" s="352"/>
      <c r="Q121" s="352"/>
      <c r="R121" s="352"/>
      <c r="S121" s="352"/>
      <c r="T121" s="352"/>
      <c r="U121" s="352"/>
      <c r="V121" s="340"/>
      <c r="W121" s="340"/>
      <c r="X121" s="340"/>
      <c r="Y121" s="340"/>
      <c r="Z121" s="340"/>
      <c r="AA121" s="340"/>
      <c r="AB121" s="340"/>
      <c r="AC121" s="340"/>
      <c r="AD121" s="340"/>
      <c r="AE121" s="340"/>
      <c r="AF121" s="340"/>
      <c r="AG121" s="340"/>
      <c r="AH121" s="340"/>
      <c r="AI121" s="340"/>
      <c r="AJ121" s="340"/>
      <c r="AK121" s="340"/>
      <c r="AL121" s="340"/>
      <c r="AM121" s="340"/>
      <c r="AN121" s="344"/>
      <c r="AO121" s="346"/>
      <c r="AP121" s="340"/>
      <c r="AQ121" s="340"/>
      <c r="AR121" s="340"/>
      <c r="AS121" s="340"/>
      <c r="AT121" s="340"/>
      <c r="AU121" s="340"/>
      <c r="AV121" s="340"/>
      <c r="AW121" s="340"/>
      <c r="AX121" s="340"/>
      <c r="AY121" s="340"/>
      <c r="AZ121" s="340"/>
      <c r="BA121" s="340"/>
      <c r="BB121" s="340"/>
      <c r="BC121" s="340"/>
      <c r="BD121" s="340"/>
      <c r="BE121" s="340"/>
      <c r="BF121" s="340"/>
      <c r="BG121" s="340"/>
      <c r="BH121" s="340"/>
      <c r="BI121" s="340"/>
      <c r="BJ121" s="340"/>
      <c r="BK121" s="340"/>
      <c r="BL121" s="340"/>
      <c r="BM121" s="340"/>
      <c r="BN121" s="340"/>
      <c r="BO121" s="340"/>
      <c r="BP121" s="340"/>
      <c r="BQ121" s="340"/>
      <c r="BR121" s="340"/>
      <c r="BS121" s="340"/>
      <c r="BT121" s="340"/>
      <c r="BU121" s="340"/>
      <c r="BV121" s="340"/>
      <c r="BW121" s="340"/>
      <c r="BX121" s="340"/>
      <c r="BY121" s="340"/>
      <c r="BZ121" s="340"/>
      <c r="CA121" s="340"/>
      <c r="CB121" s="340"/>
      <c r="CC121" s="340"/>
      <c r="CD121" s="340"/>
      <c r="CE121" s="340"/>
      <c r="CF121" s="346"/>
      <c r="CG121" s="340"/>
      <c r="CH121" s="346"/>
      <c r="CI121" s="346"/>
      <c r="CJ121" s="346"/>
      <c r="CK121" s="346"/>
      <c r="CL121" s="340"/>
      <c r="CM121" s="340"/>
      <c r="CN121" s="340"/>
      <c r="CO121" s="340"/>
      <c r="CP121" s="340"/>
      <c r="CQ121" s="340"/>
      <c r="CR121" s="340"/>
      <c r="CS121" s="260"/>
      <c r="CT121" s="260"/>
      <c r="CU121" s="260"/>
      <c r="CV121" s="260"/>
      <c r="CW121" s="260"/>
      <c r="CX121" s="260"/>
      <c r="CY121" s="260"/>
      <c r="CZ121" s="260"/>
      <c r="DA121" s="260"/>
      <c r="DB121" s="260"/>
      <c r="DC121" s="260"/>
      <c r="DD121" s="260"/>
      <c r="DE121" s="260"/>
      <c r="DF121" s="260"/>
      <c r="DG121" s="260"/>
      <c r="DH121" s="260"/>
      <c r="DI121" s="260"/>
      <c r="DJ121" s="347"/>
      <c r="DK121" s="347"/>
      <c r="DL121" s="347"/>
      <c r="DM121" s="347"/>
      <c r="DN121" s="353"/>
      <c r="DO121" s="348"/>
      <c r="DP121" s="348"/>
      <c r="DQ121" s="348"/>
      <c r="DR121" s="348"/>
      <c r="DS121" s="348"/>
      <c r="DT121" s="348"/>
      <c r="DU121" s="348"/>
      <c r="DV121" s="348"/>
      <c r="DW121" s="348"/>
      <c r="DX121" s="348"/>
      <c r="DY121" s="348"/>
      <c r="DZ121" s="348"/>
      <c r="EA121" s="348"/>
      <c r="EB121" s="349"/>
      <c r="EC121" s="349"/>
      <c r="ED121" s="349"/>
      <c r="EE121" s="349"/>
      <c r="EF121" s="349"/>
      <c r="EG121" s="349"/>
      <c r="EH121" s="349"/>
      <c r="EI121" s="349"/>
      <c r="EJ121" s="349"/>
      <c r="EK121" s="341"/>
      <c r="EL121" s="339"/>
      <c r="EM121" s="339"/>
      <c r="EN121" s="339"/>
      <c r="EO121" s="341"/>
      <c r="EP121" s="339"/>
      <c r="EQ121" s="339"/>
      <c r="ER121" s="339"/>
      <c r="ES121" s="350"/>
      <c r="ET121" s="350"/>
      <c r="EU121" s="350"/>
      <c r="EV121" s="350"/>
      <c r="EW121" s="350"/>
      <c r="EX121" s="350"/>
      <c r="EY121" s="350"/>
      <c r="EZ121" s="345"/>
      <c r="FA121" s="339"/>
      <c r="FB121" s="339"/>
      <c r="FC121" s="339"/>
      <c r="GA121" s="94"/>
      <c r="GB121" s="94"/>
      <c r="GC121" s="94"/>
      <c r="GD121" s="94"/>
      <c r="GE121" s="94"/>
      <c r="GF121" s="94"/>
      <c r="GG121" s="94"/>
    </row>
    <row r="122" spans="1:190" s="63" customFormat="1">
      <c r="A122" s="95"/>
      <c r="B122" s="351"/>
      <c r="C122" s="339"/>
      <c r="D122" s="339"/>
      <c r="E122" s="339"/>
      <c r="F122" s="339"/>
      <c r="G122" s="339"/>
      <c r="H122" s="339"/>
      <c r="I122" s="352"/>
      <c r="J122" s="340"/>
      <c r="K122" s="340"/>
      <c r="L122" s="352"/>
      <c r="M122" s="352"/>
      <c r="N122" s="352"/>
      <c r="O122" s="352"/>
      <c r="P122" s="352"/>
      <c r="Q122" s="352"/>
      <c r="R122" s="352"/>
      <c r="S122" s="352"/>
      <c r="T122" s="352"/>
      <c r="U122" s="352"/>
      <c r="V122" s="340"/>
      <c r="W122" s="340"/>
      <c r="X122" s="340"/>
      <c r="Y122" s="340"/>
      <c r="Z122" s="340"/>
      <c r="AA122" s="340"/>
      <c r="AB122" s="340"/>
      <c r="AC122" s="340"/>
      <c r="AD122" s="340"/>
      <c r="AE122" s="340"/>
      <c r="AF122" s="340"/>
      <c r="AG122" s="340"/>
      <c r="AH122" s="340"/>
      <c r="AI122" s="340"/>
      <c r="AJ122" s="340"/>
      <c r="AK122" s="340"/>
      <c r="AL122" s="340"/>
      <c r="AM122" s="340"/>
      <c r="AN122" s="344"/>
      <c r="AO122" s="346"/>
      <c r="AP122" s="340"/>
      <c r="AQ122" s="340"/>
      <c r="AR122" s="340"/>
      <c r="AS122" s="340"/>
      <c r="AT122" s="340"/>
      <c r="AU122" s="340"/>
      <c r="AV122" s="340"/>
      <c r="AW122" s="340"/>
      <c r="AX122" s="340"/>
      <c r="AY122" s="340"/>
      <c r="AZ122" s="340"/>
      <c r="BA122" s="340"/>
      <c r="BB122" s="340"/>
      <c r="BC122" s="340"/>
      <c r="BD122" s="340"/>
      <c r="BE122" s="340"/>
      <c r="BF122" s="340"/>
      <c r="BG122" s="340"/>
      <c r="BH122" s="340"/>
      <c r="BI122" s="340"/>
      <c r="BJ122" s="340"/>
      <c r="BK122" s="340"/>
      <c r="BL122" s="340"/>
      <c r="BM122" s="340"/>
      <c r="BN122" s="340"/>
      <c r="BO122" s="340"/>
      <c r="BP122" s="340"/>
      <c r="BQ122" s="340"/>
      <c r="BR122" s="340"/>
      <c r="BS122" s="340"/>
      <c r="BT122" s="340"/>
      <c r="BU122" s="340"/>
      <c r="BV122" s="340"/>
      <c r="BW122" s="340"/>
      <c r="BX122" s="340"/>
      <c r="BY122" s="340"/>
      <c r="BZ122" s="340"/>
      <c r="CA122" s="340"/>
      <c r="CB122" s="340"/>
      <c r="CC122" s="340"/>
      <c r="CD122" s="340"/>
      <c r="CE122" s="340"/>
      <c r="CF122" s="346"/>
      <c r="CG122" s="340"/>
      <c r="CH122" s="346"/>
      <c r="CI122" s="346"/>
      <c r="CJ122" s="346"/>
      <c r="CK122" s="346"/>
      <c r="CL122" s="340"/>
      <c r="CM122" s="340"/>
      <c r="CN122" s="340"/>
      <c r="CO122" s="340"/>
      <c r="CP122" s="340"/>
      <c r="CQ122" s="340"/>
      <c r="CR122" s="340"/>
      <c r="CS122" s="260"/>
      <c r="CT122" s="260"/>
      <c r="CU122" s="260"/>
      <c r="CV122" s="260"/>
      <c r="CW122" s="260"/>
      <c r="CX122" s="260"/>
      <c r="CY122" s="260"/>
      <c r="CZ122" s="260"/>
      <c r="DA122" s="260"/>
      <c r="DB122" s="260"/>
      <c r="DC122" s="260"/>
      <c r="DD122" s="260"/>
      <c r="DE122" s="260"/>
      <c r="DF122" s="260"/>
      <c r="DG122" s="260"/>
      <c r="DH122" s="260"/>
      <c r="DI122" s="260"/>
      <c r="DJ122" s="347"/>
      <c r="DK122" s="347"/>
      <c r="DL122" s="347"/>
      <c r="DM122" s="347"/>
      <c r="DN122" s="353"/>
      <c r="DO122" s="348"/>
      <c r="DP122" s="348"/>
      <c r="DQ122" s="348"/>
      <c r="DR122" s="348"/>
      <c r="DS122" s="348"/>
      <c r="DT122" s="348"/>
      <c r="DU122" s="348"/>
      <c r="DV122" s="348"/>
      <c r="DW122" s="348"/>
      <c r="DX122" s="348"/>
      <c r="DY122" s="348"/>
      <c r="DZ122" s="348"/>
      <c r="EA122" s="348"/>
      <c r="EB122" s="349"/>
      <c r="EC122" s="349"/>
      <c r="ED122" s="349"/>
      <c r="EE122" s="349"/>
      <c r="EF122" s="349"/>
      <c r="EG122" s="349"/>
      <c r="EH122" s="349"/>
      <c r="EI122" s="349"/>
      <c r="EJ122" s="349"/>
      <c r="EK122" s="341"/>
      <c r="EL122" s="339"/>
      <c r="EM122" s="339"/>
      <c r="EN122" s="339"/>
      <c r="EO122" s="341"/>
      <c r="EP122" s="339"/>
      <c r="EQ122" s="339"/>
      <c r="ER122" s="339"/>
      <c r="ES122" s="350"/>
      <c r="ET122" s="350"/>
      <c r="EU122" s="350"/>
      <c r="EV122" s="350"/>
      <c r="EW122" s="350"/>
      <c r="EX122" s="350"/>
      <c r="EY122" s="350"/>
      <c r="EZ122" s="345"/>
      <c r="FA122" s="339"/>
      <c r="FB122" s="339"/>
      <c r="FC122" s="339"/>
      <c r="GA122" s="94"/>
      <c r="GB122" s="94"/>
      <c r="GC122" s="94"/>
      <c r="GD122" s="94"/>
      <c r="GE122" s="94"/>
      <c r="GF122" s="94"/>
      <c r="GG122" s="94"/>
    </row>
    <row r="123" spans="1:190" s="63" customFormat="1">
      <c r="A123" s="95"/>
      <c r="B123" s="351"/>
      <c r="C123" s="339"/>
      <c r="D123" s="339"/>
      <c r="E123" s="339"/>
      <c r="F123" s="339"/>
      <c r="G123" s="339"/>
      <c r="H123" s="339"/>
      <c r="I123" s="352"/>
      <c r="J123" s="340"/>
      <c r="K123" s="340"/>
      <c r="L123" s="352"/>
      <c r="M123" s="352"/>
      <c r="N123" s="352"/>
      <c r="O123" s="352"/>
      <c r="P123" s="352"/>
      <c r="Q123" s="352"/>
      <c r="R123" s="352"/>
      <c r="S123" s="352"/>
      <c r="T123" s="352"/>
      <c r="U123" s="352"/>
      <c r="V123" s="340"/>
      <c r="W123" s="340"/>
      <c r="X123" s="340"/>
      <c r="Y123" s="340"/>
      <c r="Z123" s="340"/>
      <c r="AA123" s="340"/>
      <c r="AB123" s="340"/>
      <c r="AC123" s="340"/>
      <c r="AD123" s="340"/>
      <c r="AE123" s="340"/>
      <c r="AF123" s="340"/>
      <c r="AG123" s="340"/>
      <c r="AH123" s="340"/>
      <c r="AI123" s="340"/>
      <c r="AJ123" s="340"/>
      <c r="AK123" s="340"/>
      <c r="AL123" s="340"/>
      <c r="AM123" s="340"/>
      <c r="AN123" s="344"/>
      <c r="AO123" s="346"/>
      <c r="AP123" s="340"/>
      <c r="AQ123" s="340"/>
      <c r="AR123" s="340"/>
      <c r="AS123" s="340"/>
      <c r="AT123" s="340"/>
      <c r="AU123" s="340"/>
      <c r="AV123" s="340"/>
      <c r="AW123" s="340"/>
      <c r="AX123" s="340"/>
      <c r="AY123" s="340"/>
      <c r="AZ123" s="340"/>
      <c r="BA123" s="340"/>
      <c r="BB123" s="340"/>
      <c r="BC123" s="340"/>
      <c r="BD123" s="340"/>
      <c r="BE123" s="340"/>
      <c r="BF123" s="340"/>
      <c r="BG123" s="340"/>
      <c r="BH123" s="340"/>
      <c r="BI123" s="340"/>
      <c r="BJ123" s="340"/>
      <c r="BK123" s="340"/>
      <c r="BL123" s="340"/>
      <c r="BM123" s="340"/>
      <c r="BN123" s="340"/>
      <c r="BO123" s="340"/>
      <c r="BP123" s="340"/>
      <c r="BQ123" s="340"/>
      <c r="BR123" s="340"/>
      <c r="BS123" s="340"/>
      <c r="BT123" s="340"/>
      <c r="BU123" s="340"/>
      <c r="BV123" s="340"/>
      <c r="BW123" s="340"/>
      <c r="BX123" s="340"/>
      <c r="BY123" s="340"/>
      <c r="BZ123" s="340"/>
      <c r="CA123" s="340"/>
      <c r="CB123" s="340"/>
      <c r="CC123" s="340"/>
      <c r="CD123" s="340"/>
      <c r="CE123" s="340"/>
      <c r="CF123" s="346"/>
      <c r="CG123" s="340"/>
      <c r="CH123" s="346"/>
      <c r="CI123" s="346"/>
      <c r="CJ123" s="346"/>
      <c r="CK123" s="346"/>
      <c r="CL123" s="340"/>
      <c r="CM123" s="340"/>
      <c r="CN123" s="340"/>
      <c r="CO123" s="340"/>
      <c r="CP123" s="340"/>
      <c r="CQ123" s="340"/>
      <c r="CR123" s="340"/>
      <c r="CS123" s="260"/>
      <c r="CT123" s="260"/>
      <c r="CU123" s="260"/>
      <c r="CV123" s="260"/>
      <c r="CW123" s="260"/>
      <c r="CX123" s="260"/>
      <c r="CY123" s="260"/>
      <c r="CZ123" s="260"/>
      <c r="DA123" s="260"/>
      <c r="DB123" s="260"/>
      <c r="DC123" s="260"/>
      <c r="DD123" s="260"/>
      <c r="DE123" s="260"/>
      <c r="DF123" s="260"/>
      <c r="DG123" s="260"/>
      <c r="DH123" s="260"/>
      <c r="DI123" s="260"/>
      <c r="DJ123" s="347"/>
      <c r="DK123" s="347"/>
      <c r="DL123" s="347"/>
      <c r="DM123" s="347"/>
      <c r="DN123" s="353"/>
      <c r="DO123" s="348"/>
      <c r="DP123" s="348"/>
      <c r="DQ123" s="348"/>
      <c r="DR123" s="348"/>
      <c r="DS123" s="348"/>
      <c r="DT123" s="348"/>
      <c r="DU123" s="348"/>
      <c r="DV123" s="348"/>
      <c r="DW123" s="348"/>
      <c r="DX123" s="348"/>
      <c r="DY123" s="348"/>
      <c r="DZ123" s="348"/>
      <c r="EA123" s="348"/>
      <c r="EB123" s="349"/>
      <c r="EC123" s="349"/>
      <c r="ED123" s="349"/>
      <c r="EE123" s="349"/>
      <c r="EF123" s="349"/>
      <c r="EG123" s="349"/>
      <c r="EH123" s="349"/>
      <c r="EI123" s="349"/>
      <c r="EJ123" s="349"/>
      <c r="EK123" s="341"/>
      <c r="EL123" s="339"/>
      <c r="EM123" s="339"/>
      <c r="EN123" s="339"/>
      <c r="EO123" s="341"/>
      <c r="EP123" s="339"/>
      <c r="EQ123" s="339"/>
      <c r="ER123" s="339"/>
      <c r="ES123" s="350"/>
      <c r="ET123" s="350"/>
      <c r="EU123" s="350"/>
      <c r="EV123" s="350"/>
      <c r="EW123" s="350"/>
      <c r="EX123" s="350"/>
      <c r="EY123" s="350"/>
      <c r="EZ123" s="345"/>
      <c r="FA123" s="339"/>
      <c r="FB123" s="339"/>
      <c r="FC123" s="339"/>
      <c r="GA123" s="94"/>
      <c r="GB123" s="94"/>
      <c r="GC123" s="94"/>
      <c r="GD123" s="94"/>
      <c r="GE123" s="94"/>
      <c r="GF123" s="94"/>
      <c r="GG123" s="94"/>
    </row>
    <row r="124" spans="1:190" s="63" customFormat="1">
      <c r="A124" s="95"/>
      <c r="B124" s="351"/>
      <c r="C124" s="339"/>
      <c r="D124" s="339"/>
      <c r="E124" s="339"/>
      <c r="F124" s="339"/>
      <c r="G124" s="339"/>
      <c r="H124" s="339"/>
      <c r="I124" s="352"/>
      <c r="J124" s="340"/>
      <c r="K124" s="340"/>
      <c r="L124" s="352"/>
      <c r="M124" s="352"/>
      <c r="N124" s="352"/>
      <c r="O124" s="352"/>
      <c r="P124" s="352"/>
      <c r="Q124" s="352"/>
      <c r="R124" s="352"/>
      <c r="S124" s="352"/>
      <c r="T124" s="352"/>
      <c r="U124" s="352"/>
      <c r="V124" s="340"/>
      <c r="W124" s="340"/>
      <c r="X124" s="340"/>
      <c r="Y124" s="340"/>
      <c r="Z124" s="340"/>
      <c r="AA124" s="340"/>
      <c r="AB124" s="340"/>
      <c r="AC124" s="340"/>
      <c r="AD124" s="340"/>
      <c r="AE124" s="340"/>
      <c r="AF124" s="340"/>
      <c r="AG124" s="340"/>
      <c r="AH124" s="340"/>
      <c r="AI124" s="340"/>
      <c r="AJ124" s="340"/>
      <c r="AK124" s="340"/>
      <c r="AL124" s="340"/>
      <c r="AM124" s="340"/>
      <c r="AN124" s="344"/>
      <c r="AO124" s="346"/>
      <c r="AP124" s="340"/>
      <c r="AQ124" s="340"/>
      <c r="AR124" s="340"/>
      <c r="AS124" s="340"/>
      <c r="AT124" s="340"/>
      <c r="AU124" s="340"/>
      <c r="AV124" s="340"/>
      <c r="AW124" s="340"/>
      <c r="AX124" s="340"/>
      <c r="AY124" s="340"/>
      <c r="AZ124" s="340"/>
      <c r="BA124" s="340"/>
      <c r="BB124" s="340"/>
      <c r="BC124" s="340"/>
      <c r="BD124" s="340"/>
      <c r="BE124" s="340"/>
      <c r="BF124" s="340"/>
      <c r="BG124" s="340"/>
      <c r="BH124" s="340"/>
      <c r="BI124" s="340"/>
      <c r="BJ124" s="340"/>
      <c r="BK124" s="340"/>
      <c r="BL124" s="340"/>
      <c r="BM124" s="340"/>
      <c r="BN124" s="340"/>
      <c r="BO124" s="340"/>
      <c r="BP124" s="340"/>
      <c r="BQ124" s="340"/>
      <c r="BR124" s="340"/>
      <c r="BS124" s="340"/>
      <c r="BT124" s="340"/>
      <c r="BU124" s="340"/>
      <c r="BV124" s="340"/>
      <c r="BW124" s="340"/>
      <c r="BX124" s="340"/>
      <c r="BY124" s="340"/>
      <c r="BZ124" s="340"/>
      <c r="CA124" s="340"/>
      <c r="CB124" s="340"/>
      <c r="CC124" s="340"/>
      <c r="CD124" s="340"/>
      <c r="CE124" s="340"/>
      <c r="CF124" s="346"/>
      <c r="CG124" s="340"/>
      <c r="CH124" s="346"/>
      <c r="CI124" s="346"/>
      <c r="CJ124" s="346"/>
      <c r="CK124" s="346"/>
      <c r="CL124" s="340"/>
      <c r="CM124" s="340"/>
      <c r="CN124" s="340"/>
      <c r="CO124" s="340"/>
      <c r="CP124" s="340"/>
      <c r="CQ124" s="340"/>
      <c r="CR124" s="340"/>
      <c r="CS124" s="260"/>
      <c r="CT124" s="260"/>
      <c r="CU124" s="260"/>
      <c r="CV124" s="260"/>
      <c r="CW124" s="260"/>
      <c r="CX124" s="260"/>
      <c r="CY124" s="260"/>
      <c r="CZ124" s="260"/>
      <c r="DA124" s="260"/>
      <c r="DB124" s="260"/>
      <c r="DC124" s="260"/>
      <c r="DD124" s="260"/>
      <c r="DE124" s="260"/>
      <c r="DF124" s="260"/>
      <c r="DG124" s="260"/>
      <c r="DH124" s="260"/>
      <c r="DI124" s="260"/>
      <c r="DJ124" s="347"/>
      <c r="DK124" s="347"/>
      <c r="DL124" s="347"/>
      <c r="DM124" s="347"/>
      <c r="DN124" s="353"/>
      <c r="DO124" s="348"/>
      <c r="DP124" s="348"/>
      <c r="DQ124" s="348"/>
      <c r="DR124" s="348"/>
      <c r="DS124" s="348"/>
      <c r="DT124" s="348"/>
      <c r="DU124" s="348"/>
      <c r="DV124" s="348"/>
      <c r="DW124" s="348"/>
      <c r="DX124" s="348"/>
      <c r="DY124" s="348"/>
      <c r="DZ124" s="348"/>
      <c r="EA124" s="348"/>
      <c r="EB124" s="349"/>
      <c r="EC124" s="349"/>
      <c r="ED124" s="349"/>
      <c r="EE124" s="349"/>
      <c r="EF124" s="349"/>
      <c r="EG124" s="349"/>
      <c r="EH124" s="349"/>
      <c r="EI124" s="349"/>
      <c r="EJ124" s="349"/>
      <c r="EK124" s="341"/>
      <c r="EL124" s="339"/>
      <c r="EM124" s="339"/>
      <c r="EN124" s="339"/>
      <c r="EO124" s="341"/>
      <c r="EP124" s="339"/>
      <c r="EQ124" s="339"/>
      <c r="ER124" s="339"/>
      <c r="ES124" s="350"/>
      <c r="ET124" s="350"/>
      <c r="EU124" s="350"/>
      <c r="EV124" s="350"/>
      <c r="EW124" s="350"/>
      <c r="EX124" s="350"/>
      <c r="EY124" s="350"/>
      <c r="EZ124" s="345"/>
      <c r="FA124" s="339"/>
      <c r="FB124" s="339"/>
      <c r="FC124" s="339"/>
      <c r="GA124" s="94"/>
      <c r="GB124" s="94"/>
      <c r="GC124" s="94"/>
      <c r="GD124" s="94"/>
      <c r="GE124" s="94"/>
      <c r="GF124" s="94"/>
      <c r="GG124" s="94"/>
    </row>
    <row r="125" spans="1:190" s="63" customFormat="1">
      <c r="A125" s="95"/>
      <c r="B125" s="351"/>
      <c r="C125" s="339"/>
      <c r="D125" s="339"/>
      <c r="E125" s="339"/>
      <c r="F125" s="339"/>
      <c r="G125" s="339"/>
      <c r="H125" s="339"/>
      <c r="I125" s="352"/>
      <c r="J125" s="340"/>
      <c r="K125" s="340"/>
      <c r="L125" s="352"/>
      <c r="M125" s="352"/>
      <c r="N125" s="352"/>
      <c r="O125" s="352"/>
      <c r="P125" s="352"/>
      <c r="Q125" s="352"/>
      <c r="R125" s="352"/>
      <c r="S125" s="352"/>
      <c r="T125" s="352"/>
      <c r="U125" s="352"/>
      <c r="V125" s="340"/>
      <c r="W125" s="340"/>
      <c r="X125" s="340"/>
      <c r="Y125" s="340"/>
      <c r="Z125" s="340"/>
      <c r="AA125" s="340"/>
      <c r="AB125" s="340"/>
      <c r="AC125" s="340"/>
      <c r="AD125" s="340"/>
      <c r="AE125" s="340"/>
      <c r="AF125" s="340"/>
      <c r="AG125" s="340"/>
      <c r="AH125" s="340"/>
      <c r="AI125" s="340"/>
      <c r="AJ125" s="340"/>
      <c r="AK125" s="340"/>
      <c r="AL125" s="340"/>
      <c r="AM125" s="340"/>
      <c r="AN125" s="344"/>
      <c r="AO125" s="346"/>
      <c r="AP125" s="340"/>
      <c r="AQ125" s="340"/>
      <c r="AR125" s="340"/>
      <c r="AS125" s="340"/>
      <c r="AT125" s="340"/>
      <c r="AU125" s="340"/>
      <c r="AV125" s="340"/>
      <c r="AW125" s="340"/>
      <c r="AX125" s="340"/>
      <c r="AY125" s="340"/>
      <c r="AZ125" s="340"/>
      <c r="BA125" s="340"/>
      <c r="BB125" s="340"/>
      <c r="BC125" s="340"/>
      <c r="BD125" s="340"/>
      <c r="BE125" s="340"/>
      <c r="BF125" s="340"/>
      <c r="BG125" s="340"/>
      <c r="BH125" s="340"/>
      <c r="BI125" s="340"/>
      <c r="BJ125" s="340"/>
      <c r="BK125" s="340"/>
      <c r="BL125" s="340"/>
      <c r="BM125" s="340"/>
      <c r="BN125" s="340"/>
      <c r="BO125" s="340"/>
      <c r="BP125" s="340"/>
      <c r="BQ125" s="340"/>
      <c r="BR125" s="340"/>
      <c r="BS125" s="340"/>
      <c r="BT125" s="340"/>
      <c r="BU125" s="340"/>
      <c r="BV125" s="340"/>
      <c r="BW125" s="340"/>
      <c r="BX125" s="340"/>
      <c r="BY125" s="340"/>
      <c r="BZ125" s="340"/>
      <c r="CA125" s="340"/>
      <c r="CB125" s="340"/>
      <c r="CC125" s="340"/>
      <c r="CD125" s="340"/>
      <c r="CE125" s="340"/>
      <c r="CF125" s="346"/>
      <c r="CG125" s="340"/>
      <c r="CH125" s="346"/>
      <c r="CI125" s="346"/>
      <c r="CJ125" s="346"/>
      <c r="CK125" s="346"/>
      <c r="CL125" s="340"/>
      <c r="CM125" s="340"/>
      <c r="CN125" s="340"/>
      <c r="CO125" s="340"/>
      <c r="CP125" s="340"/>
      <c r="CQ125" s="340"/>
      <c r="CR125" s="340"/>
      <c r="CS125" s="260"/>
      <c r="CT125" s="260"/>
      <c r="CU125" s="260"/>
      <c r="CV125" s="260"/>
      <c r="CW125" s="260"/>
      <c r="CX125" s="260"/>
      <c r="CY125" s="260"/>
      <c r="CZ125" s="260"/>
      <c r="DA125" s="260"/>
      <c r="DB125" s="260"/>
      <c r="DC125" s="260"/>
      <c r="DD125" s="260"/>
      <c r="DE125" s="260"/>
      <c r="DF125" s="260"/>
      <c r="DG125" s="260"/>
      <c r="DH125" s="260"/>
      <c r="DI125" s="260"/>
      <c r="DJ125" s="347"/>
      <c r="DK125" s="347"/>
      <c r="DL125" s="347"/>
      <c r="DM125" s="347"/>
      <c r="DN125" s="353"/>
      <c r="DO125" s="348"/>
      <c r="DP125" s="348"/>
      <c r="DQ125" s="348"/>
      <c r="DR125" s="348"/>
      <c r="DS125" s="348"/>
      <c r="DT125" s="348"/>
      <c r="DU125" s="348"/>
      <c r="DV125" s="348"/>
      <c r="DW125" s="348"/>
      <c r="DX125" s="348"/>
      <c r="DY125" s="348"/>
      <c r="DZ125" s="348"/>
      <c r="EA125" s="348"/>
      <c r="EB125" s="349"/>
      <c r="EC125" s="349"/>
      <c r="ED125" s="349"/>
      <c r="EE125" s="349"/>
      <c r="EF125" s="349"/>
      <c r="EG125" s="349"/>
      <c r="EH125" s="349"/>
      <c r="EI125" s="349"/>
      <c r="EJ125" s="349"/>
      <c r="EK125" s="341"/>
      <c r="EL125" s="339"/>
      <c r="EM125" s="339"/>
      <c r="EN125" s="339"/>
      <c r="EO125" s="341"/>
      <c r="EP125" s="339"/>
      <c r="EQ125" s="339"/>
      <c r="ER125" s="339"/>
      <c r="ES125" s="350"/>
      <c r="ET125" s="350"/>
      <c r="EU125" s="350"/>
      <c r="EV125" s="350"/>
      <c r="EW125" s="350"/>
      <c r="EX125" s="350"/>
      <c r="EY125" s="350"/>
      <c r="EZ125" s="345"/>
      <c r="FA125" s="339"/>
      <c r="FB125" s="339"/>
      <c r="FC125" s="339"/>
      <c r="GA125" s="94"/>
      <c r="GB125" s="94"/>
      <c r="GC125" s="94"/>
      <c r="GD125" s="94"/>
      <c r="GE125" s="94"/>
      <c r="GF125" s="94"/>
      <c r="GG125" s="94"/>
    </row>
    <row r="126" spans="1:190" s="63" customFormat="1">
      <c r="A126" s="95"/>
      <c r="B126" s="351"/>
      <c r="C126" s="339"/>
      <c r="D126" s="339"/>
      <c r="E126" s="339"/>
      <c r="F126" s="339"/>
      <c r="G126" s="339"/>
      <c r="H126" s="339"/>
      <c r="I126" s="352"/>
      <c r="J126" s="340"/>
      <c r="K126" s="340"/>
      <c r="L126" s="352"/>
      <c r="M126" s="352"/>
      <c r="N126" s="352"/>
      <c r="O126" s="352"/>
      <c r="P126" s="352"/>
      <c r="Q126" s="352"/>
      <c r="R126" s="352"/>
      <c r="S126" s="352"/>
      <c r="T126" s="352"/>
      <c r="U126" s="352"/>
      <c r="V126" s="340"/>
      <c r="W126" s="340"/>
      <c r="X126" s="340"/>
      <c r="Y126" s="340"/>
      <c r="Z126" s="340"/>
      <c r="AA126" s="340"/>
      <c r="AB126" s="340"/>
      <c r="AC126" s="340"/>
      <c r="AD126" s="340"/>
      <c r="AE126" s="340"/>
      <c r="AF126" s="340"/>
      <c r="AG126" s="340"/>
      <c r="AH126" s="340"/>
      <c r="AI126" s="340"/>
      <c r="AJ126" s="340"/>
      <c r="AK126" s="340"/>
      <c r="AL126" s="340"/>
      <c r="AM126" s="340"/>
      <c r="AN126" s="344"/>
      <c r="AO126" s="346"/>
      <c r="AP126" s="340"/>
      <c r="AQ126" s="340"/>
      <c r="AR126" s="340"/>
      <c r="AS126" s="340"/>
      <c r="AT126" s="340"/>
      <c r="AU126" s="340"/>
      <c r="AV126" s="340"/>
      <c r="AW126" s="340"/>
      <c r="AX126" s="340"/>
      <c r="AY126" s="340"/>
      <c r="AZ126" s="340"/>
      <c r="BA126" s="340"/>
      <c r="BB126" s="340"/>
      <c r="BC126" s="340"/>
      <c r="BD126" s="340"/>
      <c r="BE126" s="340"/>
      <c r="BF126" s="340"/>
      <c r="BG126" s="340"/>
      <c r="BH126" s="340"/>
      <c r="BI126" s="340"/>
      <c r="BJ126" s="340"/>
      <c r="BK126" s="340"/>
      <c r="BL126" s="340"/>
      <c r="BM126" s="340"/>
      <c r="BN126" s="340"/>
      <c r="BO126" s="340"/>
      <c r="BP126" s="340"/>
      <c r="BQ126" s="340"/>
      <c r="BR126" s="340"/>
      <c r="BS126" s="340"/>
      <c r="BT126" s="340"/>
      <c r="BU126" s="340"/>
      <c r="BV126" s="340"/>
      <c r="BW126" s="340"/>
      <c r="BX126" s="340"/>
      <c r="BY126" s="340"/>
      <c r="BZ126" s="340"/>
      <c r="CA126" s="340"/>
      <c r="CB126" s="340"/>
      <c r="CC126" s="340"/>
      <c r="CD126" s="340"/>
      <c r="CE126" s="340"/>
      <c r="CF126" s="346"/>
      <c r="CG126" s="340"/>
      <c r="CH126" s="346"/>
      <c r="CI126" s="346"/>
      <c r="CJ126" s="346"/>
      <c r="CK126" s="346"/>
      <c r="CL126" s="340"/>
      <c r="CM126" s="340"/>
      <c r="CN126" s="340"/>
      <c r="CO126" s="340"/>
      <c r="CP126" s="340"/>
      <c r="CQ126" s="340"/>
      <c r="CR126" s="340"/>
      <c r="CS126" s="260"/>
      <c r="CT126" s="260"/>
      <c r="CU126" s="260"/>
      <c r="CV126" s="260"/>
      <c r="CW126" s="260"/>
      <c r="CX126" s="260"/>
      <c r="CY126" s="260"/>
      <c r="CZ126" s="260"/>
      <c r="DA126" s="260"/>
      <c r="DB126" s="260"/>
      <c r="DC126" s="260"/>
      <c r="DD126" s="260"/>
      <c r="DE126" s="260"/>
      <c r="DF126" s="260"/>
      <c r="DG126" s="260"/>
      <c r="DH126" s="260"/>
      <c r="DI126" s="260"/>
      <c r="DJ126" s="347"/>
      <c r="DK126" s="347"/>
      <c r="DL126" s="347"/>
      <c r="DM126" s="347"/>
      <c r="DN126" s="353"/>
      <c r="DO126" s="348"/>
      <c r="DP126" s="348"/>
      <c r="DQ126" s="348"/>
      <c r="DR126" s="348"/>
      <c r="DS126" s="348"/>
      <c r="DT126" s="348"/>
      <c r="DU126" s="348"/>
      <c r="DV126" s="348"/>
      <c r="DW126" s="348"/>
      <c r="DX126" s="348"/>
      <c r="DY126" s="348"/>
      <c r="DZ126" s="348"/>
      <c r="EA126" s="348"/>
      <c r="EB126" s="349"/>
      <c r="EC126" s="349"/>
      <c r="ED126" s="349"/>
      <c r="EE126" s="349"/>
      <c r="EF126" s="349"/>
      <c r="EG126" s="349"/>
      <c r="EH126" s="349"/>
      <c r="EI126" s="349"/>
      <c r="EJ126" s="349"/>
      <c r="EK126" s="341"/>
      <c r="EL126" s="339"/>
      <c r="EM126" s="339"/>
      <c r="EN126" s="339"/>
      <c r="EO126" s="341"/>
      <c r="EP126" s="339"/>
      <c r="EQ126" s="339"/>
      <c r="ER126" s="339"/>
      <c r="ES126" s="350"/>
      <c r="ET126" s="350"/>
      <c r="EU126" s="350"/>
      <c r="EV126" s="350"/>
      <c r="EW126" s="350"/>
      <c r="EX126" s="350"/>
      <c r="EY126" s="350"/>
      <c r="EZ126" s="345"/>
      <c r="FA126" s="339"/>
      <c r="FB126" s="339"/>
      <c r="FC126" s="339"/>
      <c r="GA126" s="94"/>
      <c r="GB126" s="94"/>
      <c r="GC126" s="94"/>
      <c r="GD126" s="94"/>
      <c r="GE126" s="94"/>
      <c r="GF126" s="94"/>
      <c r="GG126" s="94"/>
    </row>
    <row r="127" spans="1:190" s="63" customFormat="1">
      <c r="A127" s="95"/>
      <c r="B127" s="351"/>
      <c r="C127" s="339"/>
      <c r="D127" s="339"/>
      <c r="E127" s="339"/>
      <c r="F127" s="339"/>
      <c r="G127" s="339"/>
      <c r="H127" s="339"/>
      <c r="I127" s="352"/>
      <c r="J127" s="340"/>
      <c r="K127" s="340"/>
      <c r="L127" s="352"/>
      <c r="M127" s="352"/>
      <c r="N127" s="352"/>
      <c r="O127" s="352"/>
      <c r="P127" s="352"/>
      <c r="Q127" s="352"/>
      <c r="R127" s="352"/>
      <c r="S127" s="352"/>
      <c r="T127" s="352"/>
      <c r="U127" s="352"/>
      <c r="V127" s="340"/>
      <c r="W127" s="340"/>
      <c r="X127" s="340"/>
      <c r="Y127" s="340"/>
      <c r="Z127" s="340"/>
      <c r="AA127" s="340"/>
      <c r="AB127" s="340"/>
      <c r="AC127" s="340"/>
      <c r="AD127" s="340"/>
      <c r="AE127" s="340"/>
      <c r="AF127" s="340"/>
      <c r="AG127" s="340"/>
      <c r="AH127" s="340"/>
      <c r="AI127" s="340"/>
      <c r="AJ127" s="340"/>
      <c r="AK127" s="340"/>
      <c r="AL127" s="340"/>
      <c r="AM127" s="340"/>
      <c r="AN127" s="344"/>
      <c r="AO127" s="346"/>
      <c r="AP127" s="340"/>
      <c r="AQ127" s="340"/>
      <c r="AR127" s="340"/>
      <c r="AS127" s="340"/>
      <c r="AT127" s="340"/>
      <c r="AU127" s="340"/>
      <c r="AV127" s="340"/>
      <c r="AW127" s="340"/>
      <c r="AX127" s="340"/>
      <c r="AY127" s="340"/>
      <c r="AZ127" s="340"/>
      <c r="BA127" s="340"/>
      <c r="BB127" s="340"/>
      <c r="BC127" s="340"/>
      <c r="BD127" s="340"/>
      <c r="BE127" s="340"/>
      <c r="BF127" s="340"/>
      <c r="BG127" s="340"/>
      <c r="BH127" s="340"/>
      <c r="BI127" s="340"/>
      <c r="BJ127" s="340"/>
      <c r="BK127" s="340"/>
      <c r="BL127" s="340"/>
      <c r="BM127" s="340"/>
      <c r="BN127" s="340"/>
      <c r="BO127" s="340"/>
      <c r="BP127" s="340"/>
      <c r="BQ127" s="340"/>
      <c r="BR127" s="340"/>
      <c r="BS127" s="340"/>
      <c r="BT127" s="340"/>
      <c r="BU127" s="340"/>
      <c r="BV127" s="340"/>
      <c r="BW127" s="340"/>
      <c r="BX127" s="340"/>
      <c r="BY127" s="340"/>
      <c r="BZ127" s="340"/>
      <c r="CA127" s="340"/>
      <c r="CB127" s="340"/>
      <c r="CC127" s="340"/>
      <c r="CD127" s="340"/>
      <c r="CE127" s="340"/>
      <c r="CF127" s="346"/>
      <c r="CG127" s="340"/>
      <c r="CH127" s="346"/>
      <c r="CI127" s="346"/>
      <c r="CJ127" s="346"/>
      <c r="CK127" s="346"/>
      <c r="CL127" s="340"/>
      <c r="CM127" s="340"/>
      <c r="CN127" s="340"/>
      <c r="CO127" s="340"/>
      <c r="CP127" s="340"/>
      <c r="CQ127" s="340"/>
      <c r="CR127" s="340"/>
      <c r="CS127" s="260"/>
      <c r="CT127" s="260"/>
      <c r="CU127" s="260"/>
      <c r="CV127" s="260"/>
      <c r="CW127" s="260"/>
      <c r="CX127" s="260"/>
      <c r="CY127" s="260"/>
      <c r="CZ127" s="260"/>
      <c r="DA127" s="260"/>
      <c r="DB127" s="260"/>
      <c r="DC127" s="260"/>
      <c r="DD127" s="260"/>
      <c r="DE127" s="260"/>
      <c r="DF127" s="260"/>
      <c r="DG127" s="260"/>
      <c r="DH127" s="260"/>
      <c r="DI127" s="260"/>
      <c r="DJ127" s="347"/>
      <c r="DK127" s="347"/>
      <c r="DL127" s="347"/>
      <c r="DM127" s="347"/>
      <c r="DN127" s="353"/>
      <c r="DO127" s="348"/>
      <c r="DP127" s="348"/>
      <c r="DQ127" s="348"/>
      <c r="DR127" s="348"/>
      <c r="DS127" s="348"/>
      <c r="DT127" s="348"/>
      <c r="DU127" s="348"/>
      <c r="DV127" s="348"/>
      <c r="DW127" s="348"/>
      <c r="DX127" s="348"/>
      <c r="DY127" s="348"/>
      <c r="DZ127" s="348"/>
      <c r="EA127" s="348"/>
      <c r="EB127" s="349"/>
      <c r="EC127" s="349"/>
      <c r="ED127" s="349"/>
      <c r="EE127" s="349"/>
      <c r="EF127" s="349"/>
      <c r="EG127" s="349"/>
      <c r="EH127" s="349"/>
      <c r="EI127" s="349"/>
      <c r="EJ127" s="349"/>
      <c r="EK127" s="341"/>
      <c r="EL127" s="339"/>
      <c r="EM127" s="339"/>
      <c r="EN127" s="339"/>
      <c r="EO127" s="341"/>
      <c r="EP127" s="339"/>
      <c r="EQ127" s="339"/>
      <c r="ER127" s="339"/>
      <c r="ES127" s="350"/>
      <c r="ET127" s="350"/>
      <c r="EU127" s="350"/>
      <c r="EV127" s="350"/>
      <c r="EW127" s="350"/>
      <c r="EX127" s="350"/>
      <c r="EY127" s="350"/>
      <c r="EZ127" s="345"/>
      <c r="FA127" s="339"/>
      <c r="FB127" s="339"/>
      <c r="FC127" s="339"/>
      <c r="GA127" s="94"/>
      <c r="GB127" s="94"/>
      <c r="GC127" s="94"/>
      <c r="GD127" s="94"/>
      <c r="GE127" s="94"/>
      <c r="GF127" s="94"/>
      <c r="GG127" s="94"/>
    </row>
    <row r="128" spans="1:190" s="63" customFormat="1">
      <c r="A128" s="95"/>
      <c r="B128" s="351"/>
      <c r="C128" s="339"/>
      <c r="D128" s="339"/>
      <c r="E128" s="339"/>
      <c r="F128" s="339"/>
      <c r="G128" s="339"/>
      <c r="H128" s="339"/>
      <c r="I128" s="352"/>
      <c r="J128" s="340"/>
      <c r="K128" s="340"/>
      <c r="L128" s="352"/>
      <c r="M128" s="352"/>
      <c r="N128" s="352"/>
      <c r="O128" s="352"/>
      <c r="P128" s="352"/>
      <c r="Q128" s="352"/>
      <c r="R128" s="352"/>
      <c r="S128" s="352"/>
      <c r="T128" s="352"/>
      <c r="U128" s="352"/>
      <c r="V128" s="340"/>
      <c r="W128" s="340"/>
      <c r="X128" s="340"/>
      <c r="Y128" s="340"/>
      <c r="Z128" s="340"/>
      <c r="AA128" s="340"/>
      <c r="AB128" s="340"/>
      <c r="AC128" s="340"/>
      <c r="AD128" s="340"/>
      <c r="AE128" s="340"/>
      <c r="AF128" s="340"/>
      <c r="AG128" s="340"/>
      <c r="AH128" s="340"/>
      <c r="AI128" s="340"/>
      <c r="AJ128" s="340"/>
      <c r="AK128" s="340"/>
      <c r="AL128" s="340"/>
      <c r="AM128" s="340"/>
      <c r="AN128" s="344"/>
      <c r="AO128" s="346"/>
      <c r="AP128" s="340"/>
      <c r="AQ128" s="340"/>
      <c r="AR128" s="340"/>
      <c r="AS128" s="340"/>
      <c r="AT128" s="340"/>
      <c r="AU128" s="340"/>
      <c r="AV128" s="340"/>
      <c r="AW128" s="340"/>
      <c r="AX128" s="340"/>
      <c r="AY128" s="340"/>
      <c r="AZ128" s="340"/>
      <c r="BA128" s="340"/>
      <c r="BB128" s="340"/>
      <c r="BC128" s="340"/>
      <c r="BD128" s="340"/>
      <c r="BE128" s="340"/>
      <c r="BF128" s="340"/>
      <c r="BG128" s="340"/>
      <c r="BH128" s="340"/>
      <c r="BI128" s="340"/>
      <c r="BJ128" s="340"/>
      <c r="BK128" s="340"/>
      <c r="BL128" s="340"/>
      <c r="BM128" s="340"/>
      <c r="BN128" s="340"/>
      <c r="BO128" s="340"/>
      <c r="BP128" s="340"/>
      <c r="BQ128" s="340"/>
      <c r="BR128" s="340"/>
      <c r="BS128" s="340"/>
      <c r="BT128" s="340"/>
      <c r="BU128" s="340"/>
      <c r="BV128" s="340"/>
      <c r="BW128" s="340"/>
      <c r="BX128" s="340"/>
      <c r="BY128" s="340"/>
      <c r="BZ128" s="340"/>
      <c r="CA128" s="340"/>
      <c r="CB128" s="340"/>
      <c r="CC128" s="340"/>
      <c r="CD128" s="340"/>
      <c r="CE128" s="340"/>
      <c r="CF128" s="346"/>
      <c r="CG128" s="340"/>
      <c r="CH128" s="346"/>
      <c r="CI128" s="346"/>
      <c r="CJ128" s="346"/>
      <c r="CK128" s="346"/>
      <c r="CL128" s="340"/>
      <c r="CM128" s="340"/>
      <c r="CN128" s="340"/>
      <c r="CO128" s="340"/>
      <c r="CP128" s="340"/>
      <c r="CQ128" s="340"/>
      <c r="CR128" s="340"/>
      <c r="CS128" s="260"/>
      <c r="CT128" s="260"/>
      <c r="CU128" s="260"/>
      <c r="CV128" s="260"/>
      <c r="CW128" s="260"/>
      <c r="CX128" s="260"/>
      <c r="CY128" s="260"/>
      <c r="CZ128" s="260"/>
      <c r="DA128" s="260"/>
      <c r="DB128" s="260"/>
      <c r="DC128" s="260"/>
      <c r="DD128" s="260"/>
      <c r="DE128" s="260"/>
      <c r="DF128" s="260"/>
      <c r="DG128" s="260"/>
      <c r="DH128" s="260"/>
      <c r="DI128" s="260"/>
      <c r="DJ128" s="347"/>
      <c r="DK128" s="347"/>
      <c r="DL128" s="347"/>
      <c r="DM128" s="347"/>
      <c r="DN128" s="353"/>
      <c r="DO128" s="348"/>
      <c r="DP128" s="348"/>
      <c r="DQ128" s="348"/>
      <c r="DR128" s="348"/>
      <c r="DS128" s="348"/>
      <c r="DT128" s="348"/>
      <c r="DU128" s="348"/>
      <c r="DV128" s="348"/>
      <c r="DW128" s="348"/>
      <c r="DX128" s="348"/>
      <c r="DY128" s="348"/>
      <c r="DZ128" s="348"/>
      <c r="EA128" s="348"/>
      <c r="EB128" s="349"/>
      <c r="EC128" s="349"/>
      <c r="ED128" s="349"/>
      <c r="EE128" s="349"/>
      <c r="EF128" s="349"/>
      <c r="EG128" s="349"/>
      <c r="EH128" s="349"/>
      <c r="EI128" s="349"/>
      <c r="EJ128" s="349"/>
      <c r="EK128" s="341"/>
      <c r="EL128" s="339"/>
      <c r="EM128" s="339"/>
      <c r="EN128" s="339"/>
      <c r="EO128" s="341"/>
      <c r="EP128" s="339"/>
      <c r="EQ128" s="339"/>
      <c r="ER128" s="339"/>
      <c r="ES128" s="350"/>
      <c r="ET128" s="350"/>
      <c r="EU128" s="350"/>
      <c r="EV128" s="350"/>
      <c r="EW128" s="350"/>
      <c r="EX128" s="350"/>
      <c r="EY128" s="350"/>
      <c r="EZ128" s="345"/>
      <c r="FA128" s="339"/>
      <c r="FB128" s="339"/>
      <c r="FC128" s="339"/>
      <c r="GA128" s="94"/>
      <c r="GB128" s="94"/>
      <c r="GC128" s="94"/>
      <c r="GD128" s="94"/>
      <c r="GE128" s="94"/>
      <c r="GF128" s="94"/>
      <c r="GG128" s="94"/>
    </row>
    <row r="129" spans="1:189" s="63" customFormat="1">
      <c r="A129" s="95"/>
      <c r="B129" s="351"/>
      <c r="C129" s="339"/>
      <c r="D129" s="339"/>
      <c r="E129" s="339"/>
      <c r="F129" s="339"/>
      <c r="G129" s="339"/>
      <c r="H129" s="339"/>
      <c r="I129" s="352"/>
      <c r="J129" s="340"/>
      <c r="K129" s="340"/>
      <c r="L129" s="352"/>
      <c r="M129" s="352"/>
      <c r="N129" s="352"/>
      <c r="O129" s="352"/>
      <c r="P129" s="352"/>
      <c r="Q129" s="352"/>
      <c r="R129" s="352"/>
      <c r="S129" s="352"/>
      <c r="T129" s="352"/>
      <c r="U129" s="352"/>
      <c r="V129" s="340"/>
      <c r="W129" s="340"/>
      <c r="X129" s="340"/>
      <c r="Y129" s="340"/>
      <c r="Z129" s="340"/>
      <c r="AA129" s="340"/>
      <c r="AB129" s="340"/>
      <c r="AC129" s="340"/>
      <c r="AD129" s="340"/>
      <c r="AE129" s="340"/>
      <c r="AF129" s="340"/>
      <c r="AG129" s="340"/>
      <c r="AH129" s="340"/>
      <c r="AI129" s="340"/>
      <c r="AJ129" s="340"/>
      <c r="AK129" s="340"/>
      <c r="AL129" s="340"/>
      <c r="AM129" s="340"/>
      <c r="AN129" s="344"/>
      <c r="AO129" s="346"/>
      <c r="AP129" s="340"/>
      <c r="AQ129" s="340"/>
      <c r="AR129" s="340"/>
      <c r="AS129" s="340"/>
      <c r="AT129" s="340"/>
      <c r="AU129" s="340"/>
      <c r="AV129" s="340"/>
      <c r="AW129" s="340"/>
      <c r="AX129" s="340"/>
      <c r="AY129" s="340"/>
      <c r="AZ129" s="340"/>
      <c r="BA129" s="340"/>
      <c r="BB129" s="340"/>
      <c r="BC129" s="340"/>
      <c r="BD129" s="340"/>
      <c r="BE129" s="340"/>
      <c r="BF129" s="340"/>
      <c r="BG129" s="340"/>
      <c r="BH129" s="340"/>
      <c r="BI129" s="340"/>
      <c r="BJ129" s="340"/>
      <c r="BK129" s="340"/>
      <c r="BL129" s="340"/>
      <c r="BM129" s="340"/>
      <c r="BN129" s="340"/>
      <c r="BO129" s="340"/>
      <c r="BP129" s="340"/>
      <c r="BQ129" s="340"/>
      <c r="BR129" s="340"/>
      <c r="BS129" s="340"/>
      <c r="BT129" s="340"/>
      <c r="BU129" s="340"/>
      <c r="BV129" s="340"/>
      <c r="BW129" s="340"/>
      <c r="BX129" s="340"/>
      <c r="BY129" s="340"/>
      <c r="BZ129" s="340"/>
      <c r="CA129" s="340"/>
      <c r="CB129" s="340"/>
      <c r="CC129" s="340"/>
      <c r="CD129" s="340"/>
      <c r="CE129" s="340"/>
      <c r="CF129" s="346"/>
      <c r="CG129" s="340"/>
      <c r="CH129" s="346"/>
      <c r="CI129" s="346"/>
      <c r="CJ129" s="346"/>
      <c r="CK129" s="346"/>
      <c r="CL129" s="340"/>
      <c r="CM129" s="340"/>
      <c r="CN129" s="340"/>
      <c r="CO129" s="340"/>
      <c r="CP129" s="340"/>
      <c r="CQ129" s="340"/>
      <c r="CR129" s="340"/>
      <c r="CS129" s="260"/>
      <c r="CT129" s="260"/>
      <c r="CU129" s="260"/>
      <c r="CV129" s="260"/>
      <c r="CW129" s="260"/>
      <c r="CX129" s="260"/>
      <c r="CY129" s="260"/>
      <c r="CZ129" s="260"/>
      <c r="DA129" s="260"/>
      <c r="DB129" s="260"/>
      <c r="DC129" s="260"/>
      <c r="DD129" s="260"/>
      <c r="DE129" s="260"/>
      <c r="DF129" s="260"/>
      <c r="DG129" s="260"/>
      <c r="DH129" s="260"/>
      <c r="DI129" s="260"/>
      <c r="DJ129" s="347"/>
      <c r="DK129" s="347"/>
      <c r="DL129" s="347"/>
      <c r="DM129" s="347"/>
      <c r="DN129" s="353"/>
      <c r="DO129" s="348"/>
      <c r="DP129" s="348"/>
      <c r="DQ129" s="348"/>
      <c r="DR129" s="348"/>
      <c r="DS129" s="348"/>
      <c r="DT129" s="348"/>
      <c r="DU129" s="348"/>
      <c r="DV129" s="348"/>
      <c r="DW129" s="348"/>
      <c r="DX129" s="348"/>
      <c r="DY129" s="348"/>
      <c r="DZ129" s="348"/>
      <c r="EA129" s="348"/>
      <c r="EB129" s="349"/>
      <c r="EC129" s="349"/>
      <c r="ED129" s="349"/>
      <c r="EE129" s="349"/>
      <c r="EF129" s="349"/>
      <c r="EG129" s="349"/>
      <c r="EH129" s="349"/>
      <c r="EI129" s="349"/>
      <c r="EJ129" s="349"/>
      <c r="EK129" s="341"/>
      <c r="EL129" s="339"/>
      <c r="EM129" s="339"/>
      <c r="EN129" s="339"/>
      <c r="EO129" s="341"/>
      <c r="EP129" s="339"/>
      <c r="EQ129" s="339"/>
      <c r="ER129" s="339"/>
      <c r="ES129" s="350"/>
      <c r="ET129" s="350"/>
      <c r="EU129" s="350"/>
      <c r="EV129" s="350"/>
      <c r="EW129" s="350"/>
      <c r="EX129" s="350"/>
      <c r="EY129" s="350"/>
      <c r="EZ129" s="345"/>
      <c r="FA129" s="339"/>
      <c r="FB129" s="339"/>
      <c r="FC129" s="339"/>
      <c r="GA129" s="94"/>
      <c r="GB129" s="94"/>
      <c r="GC129" s="94"/>
      <c r="GD129" s="94"/>
      <c r="GE129" s="94"/>
      <c r="GF129" s="94"/>
      <c r="GG129" s="94"/>
    </row>
    <row r="130" spans="1:189" s="63" customFormat="1">
      <c r="A130" s="95"/>
      <c r="B130" s="351"/>
      <c r="C130" s="339"/>
      <c r="D130" s="339"/>
      <c r="E130" s="339"/>
      <c r="F130" s="339"/>
      <c r="G130" s="339"/>
      <c r="H130" s="339"/>
      <c r="I130" s="352"/>
      <c r="J130" s="340"/>
      <c r="K130" s="340"/>
      <c r="L130" s="352"/>
      <c r="M130" s="352"/>
      <c r="N130" s="352"/>
      <c r="O130" s="352"/>
      <c r="P130" s="352"/>
      <c r="Q130" s="352"/>
      <c r="R130" s="352"/>
      <c r="S130" s="352"/>
      <c r="T130" s="352"/>
      <c r="U130" s="352"/>
      <c r="V130" s="340"/>
      <c r="W130" s="340"/>
      <c r="X130" s="340"/>
      <c r="Y130" s="340"/>
      <c r="Z130" s="340"/>
      <c r="AA130" s="340"/>
      <c r="AB130" s="340"/>
      <c r="AC130" s="340"/>
      <c r="AD130" s="340"/>
      <c r="AE130" s="340"/>
      <c r="AF130" s="340"/>
      <c r="AG130" s="340"/>
      <c r="AH130" s="340"/>
      <c r="AI130" s="340"/>
      <c r="AJ130" s="340"/>
      <c r="AK130" s="340"/>
      <c r="AL130" s="340"/>
      <c r="AM130" s="340"/>
      <c r="AN130" s="344"/>
      <c r="AO130" s="346"/>
      <c r="AP130" s="340"/>
      <c r="AQ130" s="340"/>
      <c r="AR130" s="340"/>
      <c r="AS130" s="340"/>
      <c r="AT130" s="340"/>
      <c r="AU130" s="340"/>
      <c r="AV130" s="340"/>
      <c r="AW130" s="340"/>
      <c r="AX130" s="340"/>
      <c r="AY130" s="340"/>
      <c r="AZ130" s="340"/>
      <c r="BA130" s="340"/>
      <c r="BB130" s="340"/>
      <c r="BC130" s="340"/>
      <c r="BD130" s="340"/>
      <c r="BE130" s="340"/>
      <c r="BF130" s="340"/>
      <c r="BG130" s="340"/>
      <c r="BH130" s="340"/>
      <c r="BI130" s="340"/>
      <c r="BJ130" s="340"/>
      <c r="BK130" s="340"/>
      <c r="BL130" s="340"/>
      <c r="BM130" s="340"/>
      <c r="BN130" s="340"/>
      <c r="BO130" s="340"/>
      <c r="BP130" s="340"/>
      <c r="BQ130" s="340"/>
      <c r="BR130" s="340"/>
      <c r="BS130" s="340"/>
      <c r="BT130" s="340"/>
      <c r="BU130" s="340"/>
      <c r="BV130" s="340"/>
      <c r="BW130" s="340"/>
      <c r="BX130" s="340"/>
      <c r="BY130" s="340"/>
      <c r="BZ130" s="340"/>
      <c r="CA130" s="340"/>
      <c r="CB130" s="340"/>
      <c r="CC130" s="340"/>
      <c r="CD130" s="340"/>
      <c r="CE130" s="340"/>
      <c r="CF130" s="346"/>
      <c r="CG130" s="340"/>
      <c r="CH130" s="346"/>
      <c r="CI130" s="346"/>
      <c r="CJ130" s="346"/>
      <c r="CK130" s="346"/>
      <c r="CL130" s="340"/>
      <c r="CM130" s="340"/>
      <c r="CN130" s="340"/>
      <c r="CO130" s="340"/>
      <c r="CP130" s="340"/>
      <c r="CQ130" s="340"/>
      <c r="CR130" s="340"/>
      <c r="CS130" s="260"/>
      <c r="CT130" s="260"/>
      <c r="CU130" s="260"/>
      <c r="CV130" s="260"/>
      <c r="CW130" s="260"/>
      <c r="CX130" s="260"/>
      <c r="CY130" s="260"/>
      <c r="CZ130" s="260"/>
      <c r="DA130" s="260"/>
      <c r="DB130" s="260"/>
      <c r="DC130" s="260"/>
      <c r="DD130" s="260"/>
      <c r="DE130" s="260"/>
      <c r="DF130" s="260"/>
      <c r="DG130" s="260"/>
      <c r="DH130" s="260"/>
      <c r="DI130" s="260"/>
      <c r="DJ130" s="347"/>
      <c r="DK130" s="347"/>
      <c r="DL130" s="347"/>
      <c r="DM130" s="347"/>
      <c r="DN130" s="353"/>
      <c r="DO130" s="348"/>
      <c r="DP130" s="348"/>
      <c r="DQ130" s="348"/>
      <c r="DR130" s="348"/>
      <c r="DS130" s="348"/>
      <c r="DT130" s="348"/>
      <c r="DU130" s="348"/>
      <c r="DV130" s="348"/>
      <c r="DW130" s="348"/>
      <c r="DX130" s="348"/>
      <c r="DY130" s="348"/>
      <c r="DZ130" s="348"/>
      <c r="EA130" s="348"/>
      <c r="EB130" s="349"/>
      <c r="EC130" s="349"/>
      <c r="ED130" s="349"/>
      <c r="EE130" s="349"/>
      <c r="EF130" s="349"/>
      <c r="EG130" s="349"/>
      <c r="EH130" s="349"/>
      <c r="EI130" s="349"/>
      <c r="EJ130" s="349"/>
      <c r="EK130" s="341"/>
      <c r="EL130" s="339"/>
      <c r="EM130" s="339"/>
      <c r="EN130" s="339"/>
      <c r="EO130" s="341"/>
      <c r="EP130" s="339"/>
      <c r="EQ130" s="339"/>
      <c r="ER130" s="339"/>
      <c r="ES130" s="350"/>
      <c r="ET130" s="350"/>
      <c r="EU130" s="350"/>
      <c r="EV130" s="350"/>
      <c r="EW130" s="350"/>
      <c r="EX130" s="350"/>
      <c r="EY130" s="350"/>
      <c r="EZ130" s="345"/>
      <c r="FA130" s="339"/>
      <c r="FB130" s="339"/>
      <c r="FC130" s="339"/>
      <c r="GA130" s="94"/>
      <c r="GB130" s="94"/>
      <c r="GC130" s="94"/>
      <c r="GD130" s="94"/>
      <c r="GE130" s="94"/>
      <c r="GF130" s="94"/>
      <c r="GG130" s="94"/>
    </row>
    <row r="131" spans="1:189" s="63" customFormat="1">
      <c r="A131" s="95"/>
      <c r="B131" s="351"/>
      <c r="C131" s="339"/>
      <c r="D131" s="339"/>
      <c r="E131" s="339"/>
      <c r="F131" s="339"/>
      <c r="G131" s="339"/>
      <c r="H131" s="339"/>
      <c r="I131" s="352"/>
      <c r="J131" s="340"/>
      <c r="K131" s="340"/>
      <c r="L131" s="352"/>
      <c r="M131" s="352"/>
      <c r="N131" s="352"/>
      <c r="O131" s="352"/>
      <c r="P131" s="352"/>
      <c r="Q131" s="352"/>
      <c r="R131" s="352"/>
      <c r="S131" s="352"/>
      <c r="T131" s="352"/>
      <c r="U131" s="352"/>
      <c r="V131" s="340"/>
      <c r="W131" s="340"/>
      <c r="X131" s="340"/>
      <c r="Y131" s="340"/>
      <c r="Z131" s="340"/>
      <c r="AA131" s="340"/>
      <c r="AB131" s="340"/>
      <c r="AC131" s="340"/>
      <c r="AD131" s="340"/>
      <c r="AE131" s="340"/>
      <c r="AF131" s="340"/>
      <c r="AG131" s="340"/>
      <c r="AH131" s="340"/>
      <c r="AI131" s="340"/>
      <c r="AJ131" s="340"/>
      <c r="AK131" s="340"/>
      <c r="AL131" s="340"/>
      <c r="AM131" s="340"/>
      <c r="AN131" s="344"/>
      <c r="AO131" s="346"/>
      <c r="AP131" s="340"/>
      <c r="AQ131" s="340"/>
      <c r="AR131" s="340"/>
      <c r="AS131" s="340"/>
      <c r="AT131" s="340"/>
      <c r="AU131" s="340"/>
      <c r="AV131" s="340"/>
      <c r="AW131" s="340"/>
      <c r="AX131" s="340"/>
      <c r="AY131" s="340"/>
      <c r="AZ131" s="340"/>
      <c r="BA131" s="340"/>
      <c r="BB131" s="340"/>
      <c r="BC131" s="340"/>
      <c r="BD131" s="340"/>
      <c r="BE131" s="340"/>
      <c r="BF131" s="340"/>
      <c r="BG131" s="340"/>
      <c r="BH131" s="340"/>
      <c r="BI131" s="340"/>
      <c r="BJ131" s="340"/>
      <c r="BK131" s="340"/>
      <c r="BL131" s="340"/>
      <c r="BM131" s="340"/>
      <c r="BN131" s="340"/>
      <c r="BO131" s="340"/>
      <c r="BP131" s="340"/>
      <c r="BQ131" s="340"/>
      <c r="BR131" s="340"/>
      <c r="BS131" s="340"/>
      <c r="BT131" s="340"/>
      <c r="BU131" s="340"/>
      <c r="BV131" s="340"/>
      <c r="BW131" s="340"/>
      <c r="BX131" s="340"/>
      <c r="BY131" s="340"/>
      <c r="BZ131" s="340"/>
      <c r="CA131" s="340"/>
      <c r="CB131" s="340"/>
      <c r="CC131" s="340"/>
      <c r="CD131" s="340"/>
      <c r="CE131" s="340"/>
      <c r="CF131" s="346"/>
      <c r="CG131" s="340"/>
      <c r="CH131" s="346"/>
      <c r="CI131" s="346"/>
      <c r="CJ131" s="346"/>
      <c r="CK131" s="346"/>
      <c r="CL131" s="340"/>
      <c r="CM131" s="340"/>
      <c r="CN131" s="340"/>
      <c r="CO131" s="340"/>
      <c r="CP131" s="340"/>
      <c r="CQ131" s="340"/>
      <c r="CR131" s="340"/>
      <c r="CS131" s="260"/>
      <c r="CT131" s="260"/>
      <c r="CU131" s="260"/>
      <c r="CV131" s="260"/>
      <c r="CW131" s="260"/>
      <c r="CX131" s="260"/>
      <c r="CY131" s="260"/>
      <c r="CZ131" s="260"/>
      <c r="DA131" s="260"/>
      <c r="DB131" s="260"/>
      <c r="DC131" s="260"/>
      <c r="DD131" s="260"/>
      <c r="DE131" s="260"/>
      <c r="DF131" s="260"/>
      <c r="DG131" s="260"/>
      <c r="DH131" s="260"/>
      <c r="DI131" s="260"/>
      <c r="DJ131" s="347"/>
      <c r="DK131" s="347"/>
      <c r="DL131" s="347"/>
      <c r="DM131" s="347"/>
      <c r="DN131" s="353"/>
      <c r="DO131" s="348"/>
      <c r="DP131" s="348"/>
      <c r="DQ131" s="348"/>
      <c r="DR131" s="348"/>
      <c r="DS131" s="348"/>
      <c r="DT131" s="348"/>
      <c r="DU131" s="348"/>
      <c r="DV131" s="348"/>
      <c r="DW131" s="348"/>
      <c r="DX131" s="348"/>
      <c r="DY131" s="348"/>
      <c r="DZ131" s="348"/>
      <c r="EA131" s="348"/>
      <c r="EB131" s="349"/>
      <c r="EC131" s="349"/>
      <c r="ED131" s="349"/>
      <c r="EE131" s="349"/>
      <c r="EF131" s="349"/>
      <c r="EG131" s="349"/>
      <c r="EH131" s="349"/>
      <c r="EI131" s="349"/>
      <c r="EJ131" s="349"/>
      <c r="EK131" s="341"/>
      <c r="EL131" s="339"/>
      <c r="EM131" s="339"/>
      <c r="EN131" s="339"/>
      <c r="EO131" s="341"/>
      <c r="EP131" s="339"/>
      <c r="EQ131" s="339"/>
      <c r="ER131" s="339"/>
      <c r="ES131" s="350"/>
      <c r="ET131" s="350"/>
      <c r="EU131" s="350"/>
      <c r="EV131" s="350"/>
      <c r="EW131" s="350"/>
      <c r="EX131" s="350"/>
      <c r="EY131" s="350"/>
      <c r="EZ131" s="345"/>
      <c r="FA131" s="339"/>
      <c r="FB131" s="339"/>
      <c r="FC131" s="339"/>
      <c r="GA131" s="94"/>
      <c r="GB131" s="94"/>
      <c r="GC131" s="94"/>
      <c r="GD131" s="94"/>
      <c r="GE131" s="94"/>
      <c r="GF131" s="94"/>
      <c r="GG131" s="94"/>
    </row>
    <row r="132" spans="1:189" s="63" customFormat="1">
      <c r="A132" s="95"/>
      <c r="B132" s="351"/>
      <c r="C132" s="339"/>
      <c r="D132" s="339"/>
      <c r="E132" s="339"/>
      <c r="F132" s="339"/>
      <c r="G132" s="339"/>
      <c r="H132" s="339"/>
      <c r="I132" s="352"/>
      <c r="J132" s="340"/>
      <c r="K132" s="340"/>
      <c r="L132" s="352"/>
      <c r="M132" s="352"/>
      <c r="N132" s="352"/>
      <c r="O132" s="352"/>
      <c r="P132" s="352"/>
      <c r="Q132" s="352"/>
      <c r="R132" s="352"/>
      <c r="S132" s="352"/>
      <c r="T132" s="352"/>
      <c r="U132" s="352"/>
      <c r="V132" s="340"/>
      <c r="W132" s="340"/>
      <c r="X132" s="340"/>
      <c r="Y132" s="340"/>
      <c r="Z132" s="340"/>
      <c r="AA132" s="340"/>
      <c r="AB132" s="340"/>
      <c r="AC132" s="340"/>
      <c r="AD132" s="340"/>
      <c r="AE132" s="340"/>
      <c r="AF132" s="340"/>
      <c r="AG132" s="340"/>
      <c r="AH132" s="340"/>
      <c r="AI132" s="340"/>
      <c r="AJ132" s="340"/>
      <c r="AK132" s="340"/>
      <c r="AL132" s="340"/>
      <c r="AM132" s="340"/>
      <c r="AN132" s="344"/>
      <c r="AO132" s="346"/>
      <c r="AP132" s="340"/>
      <c r="AQ132" s="340"/>
      <c r="AR132" s="340"/>
      <c r="AS132" s="340"/>
      <c r="AT132" s="340"/>
      <c r="AU132" s="340"/>
      <c r="AV132" s="340"/>
      <c r="AW132" s="340"/>
      <c r="AX132" s="340"/>
      <c r="AY132" s="340"/>
      <c r="AZ132" s="340"/>
      <c r="BA132" s="340"/>
      <c r="BB132" s="340"/>
      <c r="BC132" s="340"/>
      <c r="BD132" s="340"/>
      <c r="BE132" s="340"/>
      <c r="BF132" s="340"/>
      <c r="BG132" s="340"/>
      <c r="BH132" s="340"/>
      <c r="BI132" s="340"/>
      <c r="BJ132" s="340"/>
      <c r="BK132" s="340"/>
      <c r="BL132" s="340"/>
      <c r="BM132" s="340"/>
      <c r="BN132" s="340"/>
      <c r="BO132" s="340"/>
      <c r="BP132" s="340"/>
      <c r="BQ132" s="340"/>
      <c r="BR132" s="340"/>
      <c r="BS132" s="340"/>
      <c r="BT132" s="340"/>
      <c r="BU132" s="340"/>
      <c r="BV132" s="340"/>
      <c r="BW132" s="340"/>
      <c r="BX132" s="340"/>
      <c r="BY132" s="340"/>
      <c r="BZ132" s="340"/>
      <c r="CA132" s="340"/>
      <c r="CB132" s="340"/>
      <c r="CC132" s="340"/>
      <c r="CD132" s="340"/>
      <c r="CE132" s="340"/>
      <c r="CF132" s="346"/>
      <c r="CG132" s="340"/>
      <c r="CH132" s="346"/>
      <c r="CI132" s="346"/>
      <c r="CJ132" s="346"/>
      <c r="CK132" s="346"/>
      <c r="CL132" s="340"/>
      <c r="CM132" s="340"/>
      <c r="CN132" s="340"/>
      <c r="CO132" s="340"/>
      <c r="CP132" s="340"/>
      <c r="CQ132" s="340"/>
      <c r="CR132" s="340"/>
      <c r="CS132" s="260"/>
      <c r="CT132" s="260"/>
      <c r="CU132" s="260"/>
      <c r="CV132" s="260"/>
      <c r="CW132" s="260"/>
      <c r="CX132" s="260"/>
      <c r="CY132" s="260"/>
      <c r="CZ132" s="260"/>
      <c r="DA132" s="260"/>
      <c r="DB132" s="260"/>
      <c r="DC132" s="260"/>
      <c r="DD132" s="260"/>
      <c r="DE132" s="260"/>
      <c r="DF132" s="260"/>
      <c r="DG132" s="260"/>
      <c r="DH132" s="260"/>
      <c r="DI132" s="260"/>
      <c r="DJ132" s="347"/>
      <c r="DK132" s="347"/>
      <c r="DL132" s="347"/>
      <c r="DM132" s="347"/>
      <c r="DN132" s="353"/>
      <c r="DO132" s="348"/>
      <c r="DP132" s="348"/>
      <c r="DQ132" s="348"/>
      <c r="DR132" s="348"/>
      <c r="DS132" s="348"/>
      <c r="DT132" s="348"/>
      <c r="DU132" s="348"/>
      <c r="DV132" s="348"/>
      <c r="DW132" s="348"/>
      <c r="DX132" s="348"/>
      <c r="DY132" s="348"/>
      <c r="DZ132" s="348"/>
      <c r="EA132" s="348"/>
      <c r="EB132" s="349"/>
      <c r="EC132" s="349"/>
      <c r="ED132" s="349"/>
      <c r="EE132" s="349"/>
      <c r="EF132" s="349"/>
      <c r="EG132" s="349"/>
      <c r="EH132" s="349"/>
      <c r="EI132" s="349"/>
      <c r="EJ132" s="349"/>
      <c r="EK132" s="341"/>
      <c r="EL132" s="339"/>
      <c r="EM132" s="339"/>
      <c r="EN132" s="339"/>
      <c r="EO132" s="341"/>
      <c r="EP132" s="339"/>
      <c r="EQ132" s="339"/>
      <c r="ER132" s="339"/>
      <c r="ES132" s="350"/>
      <c r="ET132" s="350"/>
      <c r="EU132" s="350"/>
      <c r="EV132" s="350"/>
      <c r="EW132" s="350"/>
      <c r="EX132" s="350"/>
      <c r="EY132" s="350"/>
      <c r="EZ132" s="345"/>
      <c r="FA132" s="339"/>
      <c r="FB132" s="339"/>
      <c r="FC132" s="339"/>
      <c r="GA132" s="94"/>
      <c r="GB132" s="94"/>
      <c r="GC132" s="94"/>
      <c r="GD132" s="94"/>
      <c r="GE132" s="94"/>
      <c r="GF132" s="94"/>
      <c r="GG132" s="94"/>
    </row>
    <row r="133" spans="1:189" s="63" customFormat="1">
      <c r="A133" s="95"/>
      <c r="B133" s="351"/>
      <c r="C133" s="339"/>
      <c r="D133" s="339"/>
      <c r="E133" s="339"/>
      <c r="F133" s="339"/>
      <c r="G133" s="339"/>
      <c r="H133" s="339"/>
      <c r="I133" s="352"/>
      <c r="J133" s="340"/>
      <c r="K133" s="340"/>
      <c r="L133" s="352"/>
      <c r="M133" s="352"/>
      <c r="N133" s="352"/>
      <c r="O133" s="352"/>
      <c r="P133" s="352"/>
      <c r="Q133" s="352"/>
      <c r="R133" s="352"/>
      <c r="S133" s="352"/>
      <c r="T133" s="352"/>
      <c r="U133" s="352"/>
      <c r="V133" s="340"/>
      <c r="W133" s="340"/>
      <c r="X133" s="340"/>
      <c r="Y133" s="340"/>
      <c r="Z133" s="340"/>
      <c r="AA133" s="340"/>
      <c r="AB133" s="340"/>
      <c r="AC133" s="340"/>
      <c r="AD133" s="340"/>
      <c r="AE133" s="340"/>
      <c r="AF133" s="340"/>
      <c r="AG133" s="340"/>
      <c r="AH133" s="340"/>
      <c r="AI133" s="340"/>
      <c r="AJ133" s="340"/>
      <c r="AK133" s="340"/>
      <c r="AL133" s="340"/>
      <c r="AM133" s="340"/>
      <c r="AN133" s="344"/>
      <c r="AO133" s="346"/>
      <c r="AP133" s="340"/>
      <c r="AQ133" s="340"/>
      <c r="AR133" s="340"/>
      <c r="AS133" s="340"/>
      <c r="AT133" s="340"/>
      <c r="AU133" s="340"/>
      <c r="AV133" s="340"/>
      <c r="AW133" s="340"/>
      <c r="AX133" s="340"/>
      <c r="AY133" s="340"/>
      <c r="AZ133" s="340"/>
      <c r="BA133" s="340"/>
      <c r="BB133" s="340"/>
      <c r="BC133" s="340"/>
      <c r="BD133" s="340"/>
      <c r="BE133" s="340"/>
      <c r="BF133" s="340"/>
      <c r="BG133" s="340"/>
      <c r="BH133" s="340"/>
      <c r="BI133" s="340"/>
      <c r="BJ133" s="340"/>
      <c r="BK133" s="340"/>
      <c r="BL133" s="340"/>
      <c r="BM133" s="340"/>
      <c r="BN133" s="340"/>
      <c r="BO133" s="340"/>
      <c r="BP133" s="340"/>
      <c r="BQ133" s="340"/>
      <c r="BR133" s="340"/>
      <c r="BS133" s="340"/>
      <c r="BT133" s="340"/>
      <c r="BU133" s="340"/>
      <c r="BV133" s="340"/>
      <c r="BW133" s="340"/>
      <c r="BX133" s="340"/>
      <c r="BY133" s="340"/>
      <c r="BZ133" s="340"/>
      <c r="CA133" s="340"/>
      <c r="CB133" s="340"/>
      <c r="CC133" s="340"/>
      <c r="CD133" s="340"/>
      <c r="CE133" s="340"/>
      <c r="CF133" s="346"/>
      <c r="CG133" s="340"/>
      <c r="CH133" s="346"/>
      <c r="CI133" s="346"/>
      <c r="CJ133" s="346"/>
      <c r="CK133" s="346"/>
      <c r="CL133" s="340"/>
      <c r="CM133" s="340"/>
      <c r="CN133" s="340"/>
      <c r="CO133" s="340"/>
      <c r="CP133" s="340"/>
      <c r="CQ133" s="340"/>
      <c r="CR133" s="340"/>
      <c r="CS133" s="260"/>
      <c r="CT133" s="260"/>
      <c r="CU133" s="260"/>
      <c r="CV133" s="260"/>
      <c r="CW133" s="260"/>
      <c r="CX133" s="260"/>
      <c r="CY133" s="260"/>
      <c r="CZ133" s="260"/>
      <c r="DA133" s="260"/>
      <c r="DB133" s="260"/>
      <c r="DC133" s="260"/>
      <c r="DD133" s="260"/>
      <c r="DE133" s="260"/>
      <c r="DF133" s="260"/>
      <c r="DG133" s="260"/>
      <c r="DH133" s="260"/>
      <c r="DI133" s="260"/>
      <c r="DJ133" s="347"/>
      <c r="DK133" s="347"/>
      <c r="DL133" s="347"/>
      <c r="DM133" s="347"/>
      <c r="DN133" s="353"/>
      <c r="DO133" s="348"/>
      <c r="DP133" s="348"/>
      <c r="DQ133" s="348"/>
      <c r="DR133" s="348"/>
      <c r="DS133" s="348"/>
      <c r="DT133" s="348"/>
      <c r="DU133" s="348"/>
      <c r="DV133" s="348"/>
      <c r="DW133" s="348"/>
      <c r="DX133" s="348"/>
      <c r="DY133" s="348"/>
      <c r="DZ133" s="348"/>
      <c r="EA133" s="348"/>
      <c r="EB133" s="349"/>
      <c r="EC133" s="349"/>
      <c r="ED133" s="349"/>
      <c r="EE133" s="349"/>
      <c r="EF133" s="349"/>
      <c r="EG133" s="349"/>
      <c r="EH133" s="349"/>
      <c r="EI133" s="349"/>
      <c r="EJ133" s="349"/>
      <c r="EK133" s="341"/>
      <c r="EL133" s="339"/>
      <c r="EM133" s="339"/>
      <c r="EN133" s="339"/>
      <c r="EO133" s="341"/>
      <c r="EP133" s="339"/>
      <c r="EQ133" s="339"/>
      <c r="ER133" s="339"/>
      <c r="ES133" s="350"/>
      <c r="ET133" s="350"/>
      <c r="EU133" s="350"/>
      <c r="EV133" s="350"/>
      <c r="EW133" s="350"/>
      <c r="EX133" s="350"/>
      <c r="EY133" s="350"/>
      <c r="EZ133" s="345"/>
      <c r="FA133" s="339"/>
      <c r="FB133" s="339"/>
      <c r="FC133" s="339"/>
      <c r="GA133" s="94"/>
      <c r="GB133" s="94"/>
      <c r="GC133" s="94"/>
      <c r="GD133" s="94"/>
      <c r="GE133" s="94"/>
      <c r="GF133" s="94"/>
      <c r="GG133" s="94"/>
    </row>
    <row r="134" spans="1:189" s="63" customFormat="1">
      <c r="A134" s="95"/>
      <c r="B134" s="351"/>
      <c r="C134" s="339"/>
      <c r="D134" s="339"/>
      <c r="E134" s="339"/>
      <c r="F134" s="339"/>
      <c r="G134" s="339"/>
      <c r="H134" s="339"/>
      <c r="I134" s="352"/>
      <c r="J134" s="340"/>
      <c r="K134" s="340"/>
      <c r="L134" s="352"/>
      <c r="M134" s="352"/>
      <c r="N134" s="352"/>
      <c r="O134" s="352"/>
      <c r="P134" s="352"/>
      <c r="Q134" s="352"/>
      <c r="R134" s="352"/>
      <c r="S134" s="352"/>
      <c r="T134" s="352"/>
      <c r="U134" s="352"/>
      <c r="V134" s="340"/>
      <c r="W134" s="340"/>
      <c r="X134" s="340"/>
      <c r="Y134" s="340"/>
      <c r="Z134" s="340"/>
      <c r="AA134" s="340"/>
      <c r="AB134" s="340"/>
      <c r="AC134" s="340"/>
      <c r="AD134" s="340"/>
      <c r="AE134" s="340"/>
      <c r="AF134" s="340"/>
      <c r="AG134" s="340"/>
      <c r="AH134" s="340"/>
      <c r="AI134" s="340"/>
      <c r="AJ134" s="340"/>
      <c r="AK134" s="340"/>
      <c r="AL134" s="340"/>
      <c r="AM134" s="340"/>
      <c r="AN134" s="344"/>
      <c r="AO134" s="346"/>
      <c r="AP134" s="340"/>
      <c r="AQ134" s="340"/>
      <c r="AR134" s="340"/>
      <c r="AS134" s="340"/>
      <c r="AT134" s="340"/>
      <c r="AU134" s="340"/>
      <c r="AV134" s="340"/>
      <c r="AW134" s="340"/>
      <c r="AX134" s="340"/>
      <c r="AY134" s="340"/>
      <c r="AZ134" s="340"/>
      <c r="BA134" s="340"/>
      <c r="BB134" s="340"/>
      <c r="BC134" s="340"/>
      <c r="BD134" s="340"/>
      <c r="BE134" s="340"/>
      <c r="BF134" s="340"/>
      <c r="BG134" s="340"/>
      <c r="BH134" s="340"/>
      <c r="BI134" s="340"/>
      <c r="BJ134" s="340"/>
      <c r="BK134" s="340"/>
      <c r="BL134" s="340"/>
      <c r="BM134" s="340"/>
      <c r="BN134" s="340"/>
      <c r="BO134" s="340"/>
      <c r="BP134" s="340"/>
      <c r="BQ134" s="340"/>
      <c r="BR134" s="340"/>
      <c r="BS134" s="340"/>
      <c r="BT134" s="340"/>
      <c r="BU134" s="340"/>
      <c r="BV134" s="340"/>
      <c r="BW134" s="340"/>
      <c r="BX134" s="340"/>
      <c r="BY134" s="340"/>
      <c r="BZ134" s="340"/>
      <c r="CA134" s="340"/>
      <c r="CB134" s="340"/>
      <c r="CC134" s="340"/>
      <c r="CD134" s="340"/>
      <c r="CE134" s="340"/>
      <c r="CF134" s="346"/>
      <c r="CG134" s="340"/>
      <c r="CH134" s="346"/>
      <c r="CI134" s="346"/>
      <c r="CJ134" s="346"/>
      <c r="CK134" s="346"/>
      <c r="CL134" s="340"/>
      <c r="CM134" s="340"/>
      <c r="CN134" s="340"/>
      <c r="CO134" s="340"/>
      <c r="CP134" s="340"/>
      <c r="CQ134" s="340"/>
      <c r="CR134" s="340"/>
      <c r="CS134" s="260"/>
      <c r="CT134" s="260"/>
      <c r="CU134" s="260"/>
      <c r="CV134" s="260"/>
      <c r="CW134" s="260"/>
      <c r="CX134" s="260"/>
      <c r="CY134" s="260"/>
      <c r="CZ134" s="260"/>
      <c r="DA134" s="260"/>
      <c r="DB134" s="260"/>
      <c r="DC134" s="260"/>
      <c r="DD134" s="260"/>
      <c r="DE134" s="260"/>
      <c r="DF134" s="260"/>
      <c r="DG134" s="260"/>
      <c r="DH134" s="260"/>
      <c r="DI134" s="260"/>
      <c r="DJ134" s="347"/>
      <c r="DK134" s="347"/>
      <c r="DL134" s="347"/>
      <c r="DM134" s="347"/>
      <c r="DN134" s="353"/>
      <c r="DO134" s="348"/>
      <c r="DP134" s="348"/>
      <c r="DQ134" s="348"/>
      <c r="DR134" s="348"/>
      <c r="DS134" s="348"/>
      <c r="DT134" s="348"/>
      <c r="DU134" s="348"/>
      <c r="DV134" s="348"/>
      <c r="DW134" s="348"/>
      <c r="DX134" s="348"/>
      <c r="DY134" s="348"/>
      <c r="DZ134" s="348"/>
      <c r="EA134" s="348"/>
      <c r="EB134" s="349"/>
      <c r="EC134" s="349"/>
      <c r="ED134" s="349"/>
      <c r="EE134" s="349"/>
      <c r="EF134" s="349"/>
      <c r="EG134" s="349"/>
      <c r="EH134" s="349"/>
      <c r="EI134" s="349"/>
      <c r="EJ134" s="349"/>
      <c r="EK134" s="341"/>
      <c r="EL134" s="339"/>
      <c r="EM134" s="339"/>
      <c r="EN134" s="339"/>
      <c r="EO134" s="341"/>
      <c r="EP134" s="339"/>
      <c r="EQ134" s="339"/>
      <c r="ER134" s="339"/>
      <c r="ES134" s="350"/>
      <c r="ET134" s="350"/>
      <c r="EU134" s="350"/>
      <c r="EV134" s="350"/>
      <c r="EW134" s="350"/>
      <c r="EX134" s="350"/>
      <c r="EY134" s="350"/>
      <c r="EZ134" s="345"/>
      <c r="FA134" s="339"/>
      <c r="FB134" s="339"/>
      <c r="FC134" s="339"/>
      <c r="GA134" s="94"/>
      <c r="GB134" s="94"/>
      <c r="GC134" s="94"/>
      <c r="GD134" s="94"/>
      <c r="GE134" s="94"/>
      <c r="GF134" s="94"/>
      <c r="GG134" s="94"/>
    </row>
    <row r="135" spans="1:189" s="63" customFormat="1">
      <c r="A135" s="95"/>
      <c r="B135" s="351"/>
      <c r="C135" s="339"/>
      <c r="D135" s="339"/>
      <c r="E135" s="339"/>
      <c r="F135" s="339"/>
      <c r="G135" s="339"/>
      <c r="H135" s="339"/>
      <c r="I135" s="352"/>
      <c r="J135" s="340"/>
      <c r="K135" s="340"/>
      <c r="L135" s="352"/>
      <c r="M135" s="352"/>
      <c r="N135" s="352"/>
      <c r="O135" s="352"/>
      <c r="P135" s="352"/>
      <c r="Q135" s="352"/>
      <c r="R135" s="352"/>
      <c r="S135" s="352"/>
      <c r="T135" s="352"/>
      <c r="U135" s="352"/>
      <c r="V135" s="340"/>
      <c r="W135" s="340"/>
      <c r="X135" s="340"/>
      <c r="Y135" s="340"/>
      <c r="Z135" s="340"/>
      <c r="AA135" s="340"/>
      <c r="AB135" s="340"/>
      <c r="AC135" s="340"/>
      <c r="AD135" s="340"/>
      <c r="AE135" s="340"/>
      <c r="AF135" s="340"/>
      <c r="AG135" s="340"/>
      <c r="AH135" s="340"/>
      <c r="AI135" s="340"/>
      <c r="AJ135" s="340"/>
      <c r="AK135" s="340"/>
      <c r="AL135" s="340"/>
      <c r="AM135" s="340"/>
      <c r="AN135" s="344"/>
      <c r="AO135" s="346"/>
      <c r="AP135" s="340"/>
      <c r="AQ135" s="340"/>
      <c r="AR135" s="340"/>
      <c r="AS135" s="340"/>
      <c r="AT135" s="340"/>
      <c r="AU135" s="340"/>
      <c r="AV135" s="340"/>
      <c r="AW135" s="340"/>
      <c r="AX135" s="340"/>
      <c r="AY135" s="340"/>
      <c r="AZ135" s="340"/>
      <c r="BA135" s="340"/>
      <c r="BB135" s="340"/>
      <c r="BC135" s="340"/>
      <c r="BD135" s="340"/>
      <c r="BE135" s="340"/>
      <c r="BF135" s="340"/>
      <c r="BG135" s="340"/>
      <c r="BH135" s="340"/>
      <c r="BI135" s="340"/>
      <c r="BJ135" s="340"/>
      <c r="BK135" s="340"/>
      <c r="BL135" s="340"/>
      <c r="BM135" s="340"/>
      <c r="BN135" s="340"/>
      <c r="BO135" s="340"/>
      <c r="BP135" s="340"/>
      <c r="BQ135" s="340"/>
      <c r="BR135" s="340"/>
      <c r="BS135" s="340"/>
      <c r="BT135" s="340"/>
      <c r="BU135" s="340"/>
      <c r="BV135" s="340"/>
      <c r="BW135" s="340"/>
      <c r="BX135" s="340"/>
      <c r="BY135" s="340"/>
      <c r="BZ135" s="340"/>
      <c r="CA135" s="340"/>
      <c r="CB135" s="340"/>
      <c r="CC135" s="340"/>
      <c r="CD135" s="340"/>
      <c r="CE135" s="340"/>
      <c r="CF135" s="346"/>
      <c r="CG135" s="340"/>
      <c r="CH135" s="346"/>
      <c r="CI135" s="346"/>
      <c r="CJ135" s="346"/>
      <c r="CK135" s="346"/>
      <c r="CL135" s="340"/>
      <c r="CM135" s="340"/>
      <c r="CN135" s="340"/>
      <c r="CO135" s="340"/>
      <c r="CP135" s="340"/>
      <c r="CQ135" s="340"/>
      <c r="CR135" s="340"/>
      <c r="CS135" s="260"/>
      <c r="CT135" s="260"/>
      <c r="CU135" s="260"/>
      <c r="CV135" s="260"/>
      <c r="CW135" s="260"/>
      <c r="CX135" s="260"/>
      <c r="CY135" s="260"/>
      <c r="CZ135" s="260"/>
      <c r="DA135" s="260"/>
      <c r="DB135" s="260"/>
      <c r="DC135" s="260"/>
      <c r="DD135" s="260"/>
      <c r="DE135" s="260"/>
      <c r="DF135" s="260"/>
      <c r="DG135" s="260"/>
      <c r="DH135" s="260"/>
      <c r="DI135" s="260"/>
      <c r="DJ135" s="347"/>
      <c r="DK135" s="347"/>
      <c r="DL135" s="347"/>
      <c r="DM135" s="347"/>
      <c r="DN135" s="353"/>
      <c r="DO135" s="348"/>
      <c r="DP135" s="348"/>
      <c r="DQ135" s="348"/>
      <c r="DR135" s="348"/>
      <c r="DS135" s="348"/>
      <c r="DT135" s="348"/>
      <c r="DU135" s="348"/>
      <c r="DV135" s="348"/>
      <c r="DW135" s="348"/>
      <c r="DX135" s="348"/>
      <c r="DY135" s="348"/>
      <c r="DZ135" s="348"/>
      <c r="EA135" s="348"/>
      <c r="EB135" s="349"/>
      <c r="EC135" s="349"/>
      <c r="ED135" s="349"/>
      <c r="EE135" s="349"/>
      <c r="EF135" s="349"/>
      <c r="EG135" s="349"/>
      <c r="EH135" s="349"/>
      <c r="EI135" s="349"/>
      <c r="EJ135" s="349"/>
      <c r="EK135" s="341"/>
      <c r="EL135" s="339"/>
      <c r="EM135" s="339"/>
      <c r="EN135" s="339"/>
      <c r="EO135" s="341"/>
      <c r="EP135" s="339"/>
      <c r="EQ135" s="339"/>
      <c r="ER135" s="339"/>
      <c r="ES135" s="350"/>
      <c r="ET135" s="350"/>
      <c r="EU135" s="350"/>
      <c r="EV135" s="350"/>
      <c r="EW135" s="350"/>
      <c r="EX135" s="350"/>
      <c r="EY135" s="350"/>
      <c r="EZ135" s="345"/>
      <c r="FA135" s="339"/>
      <c r="FB135" s="339"/>
      <c r="FC135" s="339"/>
      <c r="GA135" s="94"/>
      <c r="GB135" s="94"/>
      <c r="GC135" s="94"/>
      <c r="GD135" s="94"/>
      <c r="GE135" s="94"/>
      <c r="GF135" s="94"/>
      <c r="GG135" s="94"/>
    </row>
    <row r="136" spans="1:189" s="63" customFormat="1">
      <c r="A136" s="95"/>
      <c r="B136" s="351"/>
      <c r="C136" s="339"/>
      <c r="D136" s="339"/>
      <c r="E136" s="339"/>
      <c r="F136" s="339"/>
      <c r="G136" s="339"/>
      <c r="H136" s="339"/>
      <c r="I136" s="352"/>
      <c r="J136" s="340"/>
      <c r="K136" s="340"/>
      <c r="L136" s="352"/>
      <c r="M136" s="352"/>
      <c r="N136" s="352"/>
      <c r="O136" s="352"/>
      <c r="P136" s="352"/>
      <c r="Q136" s="352"/>
      <c r="R136" s="352"/>
      <c r="S136" s="352"/>
      <c r="T136" s="352"/>
      <c r="U136" s="352"/>
      <c r="V136" s="340"/>
      <c r="W136" s="340"/>
      <c r="X136" s="340"/>
      <c r="Y136" s="340"/>
      <c r="Z136" s="340"/>
      <c r="AA136" s="340"/>
      <c r="AB136" s="340"/>
      <c r="AC136" s="340"/>
      <c r="AD136" s="340"/>
      <c r="AE136" s="340"/>
      <c r="AF136" s="340"/>
      <c r="AG136" s="340"/>
      <c r="AH136" s="340"/>
      <c r="AI136" s="340"/>
      <c r="AJ136" s="340"/>
      <c r="AK136" s="340"/>
      <c r="AL136" s="340"/>
      <c r="AM136" s="340"/>
      <c r="AN136" s="344"/>
      <c r="AO136" s="346"/>
      <c r="AP136" s="340"/>
      <c r="AQ136" s="340"/>
      <c r="AR136" s="340"/>
      <c r="AS136" s="340"/>
      <c r="AT136" s="340"/>
      <c r="AU136" s="340"/>
      <c r="AV136" s="340"/>
      <c r="AW136" s="340"/>
      <c r="AX136" s="340"/>
      <c r="AY136" s="340"/>
      <c r="AZ136" s="340"/>
      <c r="BA136" s="340"/>
      <c r="BB136" s="340"/>
      <c r="BC136" s="340"/>
      <c r="BD136" s="340"/>
      <c r="BE136" s="340"/>
      <c r="BF136" s="340"/>
      <c r="BG136" s="340"/>
      <c r="BH136" s="340"/>
      <c r="BI136" s="340"/>
      <c r="BJ136" s="340"/>
      <c r="BK136" s="340"/>
      <c r="BL136" s="340"/>
      <c r="BM136" s="340"/>
      <c r="BN136" s="340"/>
      <c r="BO136" s="340"/>
      <c r="BP136" s="340"/>
      <c r="BQ136" s="340"/>
      <c r="BR136" s="340"/>
      <c r="BS136" s="340"/>
      <c r="BT136" s="340"/>
      <c r="BU136" s="340"/>
      <c r="BV136" s="340"/>
      <c r="BW136" s="340"/>
      <c r="BX136" s="340"/>
      <c r="BY136" s="340"/>
      <c r="BZ136" s="340"/>
      <c r="CA136" s="340"/>
      <c r="CB136" s="340"/>
      <c r="CC136" s="340"/>
      <c r="CD136" s="340"/>
      <c r="CE136" s="340"/>
      <c r="CF136" s="346"/>
      <c r="CG136" s="340"/>
      <c r="CH136" s="346"/>
      <c r="CI136" s="346"/>
      <c r="CJ136" s="346"/>
      <c r="CK136" s="346"/>
      <c r="CL136" s="340"/>
      <c r="CM136" s="340"/>
      <c r="CN136" s="340"/>
      <c r="CO136" s="340"/>
      <c r="CP136" s="340"/>
      <c r="CQ136" s="340"/>
      <c r="CR136" s="340"/>
      <c r="CS136" s="260"/>
      <c r="CT136" s="260"/>
      <c r="CU136" s="260"/>
      <c r="CV136" s="260"/>
      <c r="CW136" s="260"/>
      <c r="CX136" s="260"/>
      <c r="CY136" s="260"/>
      <c r="CZ136" s="260"/>
      <c r="DA136" s="260"/>
      <c r="DB136" s="260"/>
      <c r="DC136" s="260"/>
      <c r="DD136" s="260"/>
      <c r="DE136" s="260"/>
      <c r="DF136" s="260"/>
      <c r="DG136" s="260"/>
      <c r="DH136" s="260"/>
      <c r="DI136" s="260"/>
      <c r="DJ136" s="347"/>
      <c r="DK136" s="347"/>
      <c r="DL136" s="347"/>
      <c r="DM136" s="347"/>
      <c r="DN136" s="353"/>
      <c r="DO136" s="348"/>
      <c r="DP136" s="348"/>
      <c r="DQ136" s="348"/>
      <c r="DR136" s="348"/>
      <c r="DS136" s="348"/>
      <c r="DT136" s="348"/>
      <c r="DU136" s="348"/>
      <c r="DV136" s="348"/>
      <c r="DW136" s="348"/>
      <c r="DX136" s="348"/>
      <c r="DY136" s="348"/>
      <c r="DZ136" s="348"/>
      <c r="EA136" s="348"/>
      <c r="EB136" s="349"/>
      <c r="EC136" s="349"/>
      <c r="ED136" s="349"/>
      <c r="EE136" s="349"/>
      <c r="EF136" s="349"/>
      <c r="EG136" s="349"/>
      <c r="EH136" s="349"/>
      <c r="EI136" s="349"/>
      <c r="EJ136" s="349"/>
      <c r="EK136" s="341"/>
      <c r="EL136" s="339"/>
      <c r="EM136" s="339"/>
      <c r="EN136" s="339"/>
      <c r="EO136" s="341"/>
      <c r="EP136" s="339"/>
      <c r="EQ136" s="339"/>
      <c r="ER136" s="339"/>
      <c r="ES136" s="350"/>
      <c r="ET136" s="350"/>
      <c r="EU136" s="350"/>
      <c r="EV136" s="350"/>
      <c r="EW136" s="350"/>
      <c r="EX136" s="350"/>
      <c r="EY136" s="350"/>
      <c r="EZ136" s="345"/>
      <c r="FA136" s="339"/>
      <c r="FB136" s="339"/>
      <c r="FC136" s="339"/>
      <c r="GA136" s="94"/>
      <c r="GB136" s="94"/>
      <c r="GC136" s="94"/>
      <c r="GD136" s="94"/>
      <c r="GE136" s="94"/>
      <c r="GF136" s="94"/>
      <c r="GG136" s="94"/>
    </row>
    <row r="137" spans="1:189" s="63" customFormat="1">
      <c r="A137" s="95"/>
      <c r="B137" s="351"/>
      <c r="C137" s="339"/>
      <c r="D137" s="339"/>
      <c r="E137" s="339"/>
      <c r="F137" s="339"/>
      <c r="G137" s="339"/>
      <c r="H137" s="339"/>
      <c r="I137" s="352"/>
      <c r="J137" s="340"/>
      <c r="K137" s="340"/>
      <c r="L137" s="352"/>
      <c r="M137" s="352"/>
      <c r="N137" s="352"/>
      <c r="O137" s="352"/>
      <c r="P137" s="352"/>
      <c r="Q137" s="352"/>
      <c r="R137" s="352"/>
      <c r="S137" s="352"/>
      <c r="T137" s="352"/>
      <c r="U137" s="352"/>
      <c r="V137" s="340"/>
      <c r="W137" s="340"/>
      <c r="X137" s="340"/>
      <c r="Y137" s="340"/>
      <c r="Z137" s="340"/>
      <c r="AA137" s="340"/>
      <c r="AB137" s="340"/>
      <c r="AC137" s="340"/>
      <c r="AD137" s="340"/>
      <c r="AE137" s="340"/>
      <c r="AF137" s="340"/>
      <c r="AG137" s="340"/>
      <c r="AH137" s="340"/>
      <c r="AI137" s="340"/>
      <c r="AJ137" s="340"/>
      <c r="AK137" s="340"/>
      <c r="AL137" s="340"/>
      <c r="AM137" s="340"/>
      <c r="AN137" s="344"/>
      <c r="AO137" s="346"/>
      <c r="AP137" s="340"/>
      <c r="AQ137" s="340"/>
      <c r="AR137" s="340"/>
      <c r="AS137" s="340"/>
      <c r="AT137" s="340"/>
      <c r="AU137" s="340"/>
      <c r="AV137" s="340"/>
      <c r="AW137" s="340"/>
      <c r="AX137" s="340"/>
      <c r="AY137" s="340"/>
      <c r="AZ137" s="340"/>
      <c r="BA137" s="340"/>
      <c r="BB137" s="340"/>
      <c r="BC137" s="340"/>
      <c r="BD137" s="340"/>
      <c r="BE137" s="340"/>
      <c r="BF137" s="340"/>
      <c r="BG137" s="340"/>
      <c r="BH137" s="340"/>
      <c r="BI137" s="340"/>
      <c r="BJ137" s="340"/>
      <c r="BK137" s="340"/>
      <c r="BL137" s="340"/>
      <c r="BM137" s="340"/>
      <c r="BN137" s="340"/>
      <c r="BO137" s="340"/>
      <c r="BP137" s="340"/>
      <c r="BQ137" s="340"/>
      <c r="BR137" s="340"/>
      <c r="BS137" s="340"/>
      <c r="BT137" s="340"/>
      <c r="BU137" s="340"/>
      <c r="BV137" s="340"/>
      <c r="BW137" s="340"/>
      <c r="BX137" s="340"/>
      <c r="BY137" s="340"/>
      <c r="BZ137" s="340"/>
      <c r="CA137" s="340"/>
      <c r="CB137" s="340"/>
      <c r="CC137" s="340"/>
      <c r="CD137" s="340"/>
      <c r="CE137" s="340"/>
      <c r="CF137" s="346"/>
      <c r="CG137" s="340"/>
      <c r="CH137" s="346"/>
      <c r="CI137" s="346"/>
      <c r="CJ137" s="346"/>
      <c r="CK137" s="346"/>
      <c r="CL137" s="340"/>
      <c r="CM137" s="340"/>
      <c r="CN137" s="340"/>
      <c r="CO137" s="340"/>
      <c r="CP137" s="340"/>
      <c r="CQ137" s="340"/>
      <c r="CR137" s="340"/>
      <c r="CS137" s="260"/>
      <c r="CT137" s="260"/>
      <c r="CU137" s="260"/>
      <c r="CV137" s="260"/>
      <c r="CW137" s="260"/>
      <c r="CX137" s="260"/>
      <c r="CY137" s="260"/>
      <c r="CZ137" s="260"/>
      <c r="DA137" s="260"/>
      <c r="DB137" s="260"/>
      <c r="DC137" s="260"/>
      <c r="DD137" s="260"/>
      <c r="DE137" s="260"/>
      <c r="DF137" s="260"/>
      <c r="DG137" s="260"/>
      <c r="DH137" s="260"/>
      <c r="DI137" s="260"/>
      <c r="DJ137" s="347"/>
      <c r="DK137" s="347"/>
      <c r="DL137" s="347"/>
      <c r="DM137" s="347"/>
      <c r="DN137" s="353"/>
      <c r="DO137" s="348"/>
      <c r="DP137" s="348"/>
      <c r="DQ137" s="348"/>
      <c r="DR137" s="348"/>
      <c r="DS137" s="348"/>
      <c r="DT137" s="348"/>
      <c r="DU137" s="348"/>
      <c r="DV137" s="348"/>
      <c r="DW137" s="348"/>
      <c r="DX137" s="348"/>
      <c r="DY137" s="348"/>
      <c r="DZ137" s="348"/>
      <c r="EA137" s="348"/>
      <c r="EB137" s="349"/>
      <c r="EC137" s="349"/>
      <c r="ED137" s="349"/>
      <c r="EE137" s="349"/>
      <c r="EF137" s="349"/>
      <c r="EG137" s="349"/>
      <c r="EH137" s="349"/>
      <c r="EI137" s="349"/>
      <c r="EJ137" s="349"/>
      <c r="EK137" s="341"/>
      <c r="EL137" s="339"/>
      <c r="EM137" s="339"/>
      <c r="EN137" s="339"/>
      <c r="EO137" s="341"/>
      <c r="EP137" s="339"/>
      <c r="EQ137" s="339"/>
      <c r="ER137" s="339"/>
      <c r="ES137" s="350"/>
      <c r="ET137" s="350"/>
      <c r="EU137" s="350"/>
      <c r="EV137" s="350"/>
      <c r="EW137" s="350"/>
      <c r="EX137" s="350"/>
      <c r="EY137" s="350"/>
      <c r="EZ137" s="345"/>
      <c r="FA137" s="339"/>
      <c r="FB137" s="339"/>
      <c r="FC137" s="339"/>
      <c r="GA137" s="94"/>
      <c r="GB137" s="94"/>
      <c r="GC137" s="94"/>
      <c r="GD137" s="94"/>
      <c r="GE137" s="94"/>
      <c r="GF137" s="94"/>
      <c r="GG137" s="94"/>
    </row>
    <row r="138" spans="1:189" s="63" customFormat="1">
      <c r="A138" s="95"/>
      <c r="B138" s="351"/>
      <c r="C138" s="339"/>
      <c r="D138" s="339"/>
      <c r="E138" s="339"/>
      <c r="F138" s="339"/>
      <c r="G138" s="339"/>
      <c r="H138" s="339"/>
      <c r="I138" s="352"/>
      <c r="J138" s="340"/>
      <c r="K138" s="340"/>
      <c r="L138" s="352"/>
      <c r="M138" s="352"/>
      <c r="N138" s="352"/>
      <c r="O138" s="352"/>
      <c r="P138" s="352"/>
      <c r="Q138" s="352"/>
      <c r="R138" s="352"/>
      <c r="S138" s="352"/>
      <c r="T138" s="352"/>
      <c r="U138" s="352"/>
      <c r="V138" s="340"/>
      <c r="W138" s="340"/>
      <c r="X138" s="340"/>
      <c r="Y138" s="340"/>
      <c r="Z138" s="340"/>
      <c r="AA138" s="340"/>
      <c r="AB138" s="340"/>
      <c r="AC138" s="340"/>
      <c r="AD138" s="340"/>
      <c r="AE138" s="340"/>
      <c r="AF138" s="340"/>
      <c r="AG138" s="340"/>
      <c r="AH138" s="340"/>
      <c r="AI138" s="340"/>
      <c r="AJ138" s="340"/>
      <c r="AK138" s="340"/>
      <c r="AL138" s="340"/>
      <c r="AM138" s="340"/>
      <c r="AN138" s="344"/>
      <c r="AO138" s="346"/>
      <c r="AP138" s="340"/>
      <c r="AQ138" s="340"/>
      <c r="AR138" s="340"/>
      <c r="AS138" s="340"/>
      <c r="AT138" s="340"/>
      <c r="AU138" s="340"/>
      <c r="AV138" s="340"/>
      <c r="AW138" s="340"/>
      <c r="AX138" s="340"/>
      <c r="AY138" s="340"/>
      <c r="AZ138" s="340"/>
      <c r="BA138" s="340"/>
      <c r="BB138" s="340"/>
      <c r="BC138" s="340"/>
      <c r="BD138" s="340"/>
      <c r="BE138" s="340"/>
      <c r="BF138" s="340"/>
      <c r="BG138" s="340"/>
      <c r="BH138" s="340"/>
      <c r="BI138" s="340"/>
      <c r="BJ138" s="340"/>
      <c r="BK138" s="340"/>
      <c r="BL138" s="340"/>
      <c r="BM138" s="340"/>
      <c r="BN138" s="340"/>
      <c r="BO138" s="340"/>
      <c r="BP138" s="340"/>
      <c r="BQ138" s="340"/>
      <c r="BR138" s="340"/>
      <c r="BS138" s="340"/>
      <c r="BT138" s="340"/>
      <c r="BU138" s="340"/>
      <c r="BV138" s="340"/>
      <c r="BW138" s="340"/>
      <c r="BX138" s="340"/>
      <c r="BY138" s="340"/>
      <c r="BZ138" s="340"/>
      <c r="CA138" s="340"/>
      <c r="CB138" s="340"/>
      <c r="CC138" s="340"/>
      <c r="CD138" s="340"/>
      <c r="CE138" s="340"/>
      <c r="CF138" s="346"/>
      <c r="CG138" s="340"/>
      <c r="CH138" s="346"/>
      <c r="CI138" s="346"/>
      <c r="CJ138" s="346"/>
      <c r="CK138" s="346"/>
      <c r="CL138" s="340"/>
      <c r="CM138" s="340"/>
      <c r="CN138" s="340"/>
      <c r="CO138" s="340"/>
      <c r="CP138" s="340"/>
      <c r="CQ138" s="340"/>
      <c r="CR138" s="340"/>
      <c r="CS138" s="260"/>
      <c r="CT138" s="260"/>
      <c r="CU138" s="260"/>
      <c r="CV138" s="260"/>
      <c r="CW138" s="260"/>
      <c r="CX138" s="260"/>
      <c r="CY138" s="260"/>
      <c r="CZ138" s="260"/>
      <c r="DA138" s="260"/>
      <c r="DB138" s="260"/>
      <c r="DC138" s="260"/>
      <c r="DD138" s="260"/>
      <c r="DE138" s="260"/>
      <c r="DF138" s="260"/>
      <c r="DG138" s="260"/>
      <c r="DH138" s="260"/>
      <c r="DI138" s="260"/>
      <c r="DJ138" s="347"/>
      <c r="DK138" s="347"/>
      <c r="DL138" s="347"/>
      <c r="DM138" s="347"/>
      <c r="DN138" s="353"/>
      <c r="DO138" s="348"/>
      <c r="DP138" s="348"/>
      <c r="DQ138" s="348"/>
      <c r="DR138" s="348"/>
      <c r="DS138" s="348"/>
      <c r="DT138" s="348"/>
      <c r="DU138" s="348"/>
      <c r="DV138" s="348"/>
      <c r="DW138" s="348"/>
      <c r="DX138" s="348"/>
      <c r="DY138" s="348"/>
      <c r="DZ138" s="348"/>
      <c r="EA138" s="348"/>
      <c r="EB138" s="349"/>
      <c r="EC138" s="349"/>
      <c r="ED138" s="349"/>
      <c r="EE138" s="349"/>
      <c r="EF138" s="349"/>
      <c r="EG138" s="349"/>
      <c r="EH138" s="349"/>
      <c r="EI138" s="349"/>
      <c r="EJ138" s="349"/>
      <c r="EK138" s="341"/>
      <c r="EL138" s="339"/>
      <c r="EM138" s="339"/>
      <c r="EN138" s="339"/>
      <c r="EO138" s="341"/>
      <c r="EP138" s="339"/>
      <c r="EQ138" s="339"/>
      <c r="ER138" s="339"/>
      <c r="ES138" s="350"/>
      <c r="ET138" s="350"/>
      <c r="EU138" s="350"/>
      <c r="EV138" s="350"/>
      <c r="EW138" s="350"/>
      <c r="EX138" s="350"/>
      <c r="EY138" s="350"/>
      <c r="EZ138" s="345"/>
      <c r="FA138" s="339"/>
      <c r="FB138" s="339"/>
      <c r="FC138" s="339"/>
      <c r="GA138" s="94"/>
      <c r="GB138" s="94"/>
      <c r="GC138" s="94"/>
      <c r="GD138" s="94"/>
      <c r="GE138" s="94"/>
      <c r="GF138" s="94"/>
      <c r="GG138" s="94"/>
    </row>
    <row r="139" spans="1:189" s="63" customFormat="1">
      <c r="A139" s="95"/>
      <c r="B139" s="351"/>
      <c r="C139" s="339"/>
      <c r="D139" s="339"/>
      <c r="E139" s="339"/>
      <c r="F139" s="339"/>
      <c r="G139" s="339"/>
      <c r="H139" s="339"/>
      <c r="I139" s="352"/>
      <c r="J139" s="340"/>
      <c r="K139" s="340"/>
      <c r="L139" s="352"/>
      <c r="M139" s="352"/>
      <c r="N139" s="352"/>
      <c r="O139" s="352"/>
      <c r="P139" s="352"/>
      <c r="Q139" s="352"/>
      <c r="R139" s="352"/>
      <c r="S139" s="352"/>
      <c r="T139" s="352"/>
      <c r="U139" s="352"/>
      <c r="V139" s="340"/>
      <c r="W139" s="340"/>
      <c r="X139" s="340"/>
      <c r="Y139" s="340"/>
      <c r="Z139" s="340"/>
      <c r="AA139" s="340"/>
      <c r="AB139" s="340"/>
      <c r="AC139" s="340"/>
      <c r="AD139" s="340"/>
      <c r="AE139" s="340"/>
      <c r="AF139" s="340"/>
      <c r="AG139" s="340"/>
      <c r="AH139" s="340"/>
      <c r="AI139" s="340"/>
      <c r="AJ139" s="340"/>
      <c r="AK139" s="340"/>
      <c r="AL139" s="340"/>
      <c r="AM139" s="340"/>
      <c r="AN139" s="344"/>
      <c r="AO139" s="346"/>
      <c r="AP139" s="340"/>
      <c r="AQ139" s="340"/>
      <c r="AR139" s="340"/>
      <c r="AS139" s="340"/>
      <c r="AT139" s="340"/>
      <c r="AU139" s="340"/>
      <c r="AV139" s="340"/>
      <c r="AW139" s="340"/>
      <c r="AX139" s="340"/>
      <c r="AY139" s="340"/>
      <c r="AZ139" s="340"/>
      <c r="BA139" s="340"/>
      <c r="BB139" s="340"/>
      <c r="BC139" s="340"/>
      <c r="BD139" s="340"/>
      <c r="BE139" s="340"/>
      <c r="BF139" s="340"/>
      <c r="BG139" s="340"/>
      <c r="BH139" s="340"/>
      <c r="BI139" s="340"/>
      <c r="BJ139" s="340"/>
      <c r="BK139" s="340"/>
      <c r="BL139" s="340"/>
      <c r="BM139" s="340"/>
      <c r="BN139" s="340"/>
      <c r="BO139" s="340"/>
      <c r="BP139" s="340"/>
      <c r="BQ139" s="340"/>
      <c r="BR139" s="340"/>
      <c r="BS139" s="340"/>
      <c r="BT139" s="340"/>
      <c r="BU139" s="340"/>
      <c r="BV139" s="340"/>
      <c r="BW139" s="340"/>
      <c r="BX139" s="340"/>
      <c r="BY139" s="340"/>
      <c r="BZ139" s="340"/>
      <c r="CA139" s="340"/>
      <c r="CB139" s="340"/>
      <c r="CC139" s="340"/>
      <c r="CD139" s="340"/>
      <c r="CE139" s="340"/>
      <c r="CF139" s="346"/>
      <c r="CG139" s="340"/>
      <c r="CH139" s="346"/>
      <c r="CI139" s="346"/>
      <c r="CJ139" s="346"/>
      <c r="CK139" s="346"/>
      <c r="CL139" s="340"/>
      <c r="CM139" s="340"/>
      <c r="CN139" s="340"/>
      <c r="CO139" s="340"/>
      <c r="CP139" s="340"/>
      <c r="CQ139" s="340"/>
      <c r="CR139" s="340"/>
      <c r="CS139" s="260"/>
      <c r="CT139" s="260"/>
      <c r="CU139" s="260"/>
      <c r="CV139" s="260"/>
      <c r="CW139" s="260"/>
      <c r="CX139" s="260"/>
      <c r="CY139" s="260"/>
      <c r="CZ139" s="260"/>
      <c r="DA139" s="260"/>
      <c r="DB139" s="260"/>
      <c r="DC139" s="260"/>
      <c r="DD139" s="260"/>
      <c r="DE139" s="260"/>
      <c r="DF139" s="260"/>
      <c r="DG139" s="260"/>
      <c r="DH139" s="260"/>
      <c r="DI139" s="260"/>
      <c r="DJ139" s="347"/>
      <c r="DK139" s="347"/>
      <c r="DL139" s="347"/>
      <c r="DM139" s="347"/>
      <c r="DN139" s="353"/>
      <c r="DO139" s="348"/>
      <c r="DP139" s="348"/>
      <c r="DQ139" s="348"/>
      <c r="DR139" s="348"/>
      <c r="DS139" s="348"/>
      <c r="DT139" s="348"/>
      <c r="DU139" s="348"/>
      <c r="DV139" s="348"/>
      <c r="DW139" s="348"/>
      <c r="DX139" s="348"/>
      <c r="DY139" s="348"/>
      <c r="DZ139" s="348"/>
      <c r="EA139" s="348"/>
      <c r="EB139" s="349"/>
      <c r="EC139" s="349"/>
      <c r="ED139" s="349"/>
      <c r="EE139" s="349"/>
      <c r="EF139" s="349"/>
      <c r="EG139" s="349"/>
      <c r="EH139" s="349"/>
      <c r="EI139" s="349"/>
      <c r="EJ139" s="349"/>
      <c r="EK139" s="341"/>
      <c r="EL139" s="339"/>
      <c r="EM139" s="339"/>
      <c r="EN139" s="339"/>
      <c r="EO139" s="341"/>
      <c r="EP139" s="339"/>
      <c r="EQ139" s="339"/>
      <c r="ER139" s="339"/>
      <c r="ES139" s="350"/>
      <c r="ET139" s="350"/>
      <c r="EU139" s="350"/>
      <c r="EV139" s="350"/>
      <c r="EW139" s="350"/>
      <c r="EX139" s="350"/>
      <c r="EY139" s="350"/>
      <c r="EZ139" s="345"/>
      <c r="FA139" s="339"/>
      <c r="FB139" s="339"/>
      <c r="FC139" s="339"/>
      <c r="GA139" s="94"/>
      <c r="GB139" s="94"/>
      <c r="GC139" s="94"/>
      <c r="GD139" s="94"/>
      <c r="GE139" s="94"/>
      <c r="GF139" s="94"/>
      <c r="GG139" s="94"/>
    </row>
    <row r="140" spans="1:189" s="63" customFormat="1">
      <c r="A140" s="95"/>
      <c r="B140" s="351"/>
      <c r="C140" s="339"/>
      <c r="D140" s="339"/>
      <c r="E140" s="339"/>
      <c r="F140" s="339"/>
      <c r="G140" s="339"/>
      <c r="H140" s="339"/>
      <c r="I140" s="352"/>
      <c r="J140" s="340"/>
      <c r="K140" s="340"/>
      <c r="L140" s="352"/>
      <c r="M140" s="352"/>
      <c r="N140" s="352"/>
      <c r="O140" s="352"/>
      <c r="P140" s="352"/>
      <c r="Q140" s="352"/>
      <c r="R140" s="352"/>
      <c r="S140" s="352"/>
      <c r="T140" s="352"/>
      <c r="U140" s="352"/>
      <c r="V140" s="340"/>
      <c r="W140" s="340"/>
      <c r="X140" s="340"/>
      <c r="Y140" s="340"/>
      <c r="Z140" s="340"/>
      <c r="AA140" s="340"/>
      <c r="AB140" s="340"/>
      <c r="AC140" s="340"/>
      <c r="AD140" s="340"/>
      <c r="AE140" s="340"/>
      <c r="AF140" s="340"/>
      <c r="AG140" s="340"/>
      <c r="AH140" s="340"/>
      <c r="AI140" s="340"/>
      <c r="AJ140" s="340"/>
      <c r="AK140" s="340"/>
      <c r="AL140" s="340"/>
      <c r="AM140" s="340"/>
      <c r="AN140" s="344"/>
      <c r="AO140" s="346"/>
      <c r="AP140" s="340"/>
      <c r="AQ140" s="340"/>
      <c r="AR140" s="340"/>
      <c r="AS140" s="340"/>
      <c r="AT140" s="340"/>
      <c r="AU140" s="340"/>
      <c r="AV140" s="340"/>
      <c r="AW140" s="340"/>
      <c r="AX140" s="340"/>
      <c r="AY140" s="340"/>
      <c r="AZ140" s="340"/>
      <c r="BA140" s="340"/>
      <c r="BB140" s="340"/>
      <c r="BC140" s="340"/>
      <c r="BD140" s="340"/>
      <c r="BE140" s="340"/>
      <c r="BF140" s="340"/>
      <c r="BG140" s="340"/>
      <c r="BH140" s="340"/>
      <c r="BI140" s="340"/>
      <c r="BJ140" s="340"/>
      <c r="BK140" s="340"/>
      <c r="BL140" s="340"/>
      <c r="BM140" s="340"/>
      <c r="BN140" s="340"/>
      <c r="BO140" s="340"/>
      <c r="BP140" s="340"/>
      <c r="BQ140" s="340"/>
      <c r="BR140" s="340"/>
      <c r="BS140" s="340"/>
      <c r="BT140" s="340"/>
      <c r="BU140" s="340"/>
      <c r="BV140" s="340"/>
      <c r="BW140" s="340"/>
      <c r="BX140" s="340"/>
      <c r="BY140" s="340"/>
      <c r="BZ140" s="340"/>
      <c r="CA140" s="340"/>
      <c r="CB140" s="340"/>
      <c r="CC140" s="340"/>
      <c r="CD140" s="340"/>
      <c r="CE140" s="340"/>
      <c r="CF140" s="346"/>
      <c r="CG140" s="340"/>
      <c r="CH140" s="346"/>
      <c r="CI140" s="346"/>
      <c r="CJ140" s="346"/>
      <c r="CK140" s="346"/>
      <c r="CL140" s="340"/>
      <c r="CM140" s="340"/>
      <c r="CN140" s="340"/>
      <c r="CO140" s="340"/>
      <c r="CP140" s="340"/>
      <c r="CQ140" s="340"/>
      <c r="CR140" s="340"/>
      <c r="CS140" s="260"/>
      <c r="CT140" s="260"/>
      <c r="CU140" s="260"/>
      <c r="CV140" s="260"/>
      <c r="CW140" s="260"/>
      <c r="CX140" s="260"/>
      <c r="CY140" s="260"/>
      <c r="CZ140" s="260"/>
      <c r="DA140" s="260"/>
      <c r="DB140" s="260"/>
      <c r="DC140" s="260"/>
      <c r="DD140" s="260"/>
      <c r="DE140" s="260"/>
      <c r="DF140" s="260"/>
      <c r="DG140" s="260"/>
      <c r="DH140" s="260"/>
      <c r="DI140" s="260"/>
      <c r="DJ140" s="347"/>
      <c r="DK140" s="347"/>
      <c r="DL140" s="347"/>
      <c r="DM140" s="347"/>
      <c r="DN140" s="353"/>
      <c r="DO140" s="348"/>
      <c r="DP140" s="348"/>
      <c r="DQ140" s="348"/>
      <c r="DR140" s="348"/>
      <c r="DS140" s="348"/>
      <c r="DT140" s="348"/>
      <c r="DU140" s="348"/>
      <c r="DV140" s="348"/>
      <c r="DW140" s="348"/>
      <c r="DX140" s="348"/>
      <c r="DY140" s="348"/>
      <c r="DZ140" s="348"/>
      <c r="EA140" s="348"/>
      <c r="EB140" s="349"/>
      <c r="EC140" s="349"/>
      <c r="ED140" s="349"/>
      <c r="EE140" s="349"/>
      <c r="EF140" s="349"/>
      <c r="EG140" s="349"/>
      <c r="EH140" s="349"/>
      <c r="EI140" s="349"/>
      <c r="EJ140" s="349"/>
      <c r="EK140" s="341"/>
      <c r="EL140" s="339"/>
      <c r="EM140" s="339"/>
      <c r="EN140" s="339"/>
      <c r="EO140" s="341"/>
      <c r="EP140" s="339"/>
      <c r="EQ140" s="339"/>
      <c r="ER140" s="339"/>
      <c r="ES140" s="350"/>
      <c r="ET140" s="350"/>
      <c r="EU140" s="350"/>
      <c r="EV140" s="350"/>
      <c r="EW140" s="350"/>
      <c r="EX140" s="350"/>
      <c r="EY140" s="350"/>
      <c r="EZ140" s="345"/>
      <c r="FA140" s="339"/>
      <c r="FB140" s="339"/>
      <c r="FC140" s="339"/>
      <c r="GA140" s="94"/>
      <c r="GB140" s="94"/>
      <c r="GC140" s="94"/>
      <c r="GD140" s="94"/>
      <c r="GE140" s="94"/>
      <c r="GF140" s="94"/>
      <c r="GG140" s="94"/>
    </row>
    <row r="141" spans="1:189" s="63" customFormat="1">
      <c r="A141" s="95"/>
      <c r="B141" s="351"/>
      <c r="C141" s="339"/>
      <c r="D141" s="339"/>
      <c r="E141" s="339"/>
      <c r="F141" s="339"/>
      <c r="G141" s="339"/>
      <c r="H141" s="339"/>
      <c r="I141" s="352"/>
      <c r="J141" s="340"/>
      <c r="K141" s="340"/>
      <c r="L141" s="352"/>
      <c r="M141" s="352"/>
      <c r="N141" s="352"/>
      <c r="O141" s="352"/>
      <c r="P141" s="352"/>
      <c r="Q141" s="352"/>
      <c r="R141" s="352"/>
      <c r="S141" s="352"/>
      <c r="T141" s="352"/>
      <c r="U141" s="352"/>
      <c r="V141" s="340"/>
      <c r="W141" s="340"/>
      <c r="X141" s="340"/>
      <c r="Y141" s="340"/>
      <c r="Z141" s="340"/>
      <c r="AA141" s="340"/>
      <c r="AB141" s="340"/>
      <c r="AC141" s="340"/>
      <c r="AD141" s="340"/>
      <c r="AE141" s="340"/>
      <c r="AF141" s="340"/>
      <c r="AG141" s="340"/>
      <c r="AH141" s="340"/>
      <c r="AI141" s="340"/>
      <c r="AJ141" s="340"/>
      <c r="AK141" s="340"/>
      <c r="AL141" s="340"/>
      <c r="AM141" s="340"/>
      <c r="AN141" s="344"/>
      <c r="AO141" s="346"/>
      <c r="AP141" s="340"/>
      <c r="AQ141" s="340"/>
      <c r="AR141" s="340"/>
      <c r="AS141" s="340"/>
      <c r="AT141" s="340"/>
      <c r="AU141" s="340"/>
      <c r="AV141" s="340"/>
      <c r="AW141" s="340"/>
      <c r="AX141" s="340"/>
      <c r="AY141" s="340"/>
      <c r="AZ141" s="340"/>
      <c r="BA141" s="340"/>
      <c r="BB141" s="340"/>
      <c r="BC141" s="340"/>
      <c r="BD141" s="340"/>
      <c r="BE141" s="340"/>
      <c r="BF141" s="340"/>
      <c r="BG141" s="340"/>
      <c r="BH141" s="340"/>
      <c r="BI141" s="340"/>
      <c r="BJ141" s="340"/>
      <c r="BK141" s="340"/>
      <c r="BL141" s="340"/>
      <c r="BM141" s="340"/>
      <c r="BN141" s="340"/>
      <c r="BO141" s="340"/>
      <c r="BP141" s="340"/>
      <c r="BQ141" s="340"/>
      <c r="BR141" s="340"/>
      <c r="BS141" s="340"/>
      <c r="BT141" s="340"/>
      <c r="BU141" s="340"/>
      <c r="BV141" s="340"/>
      <c r="BW141" s="340"/>
      <c r="BX141" s="340"/>
      <c r="BY141" s="340"/>
      <c r="BZ141" s="340"/>
      <c r="CA141" s="340"/>
      <c r="CB141" s="340"/>
      <c r="CC141" s="340"/>
      <c r="CD141" s="340"/>
      <c r="CE141" s="340"/>
      <c r="CF141" s="346"/>
      <c r="CG141" s="340"/>
      <c r="CH141" s="346"/>
      <c r="CI141" s="346"/>
      <c r="CJ141" s="346"/>
      <c r="CK141" s="346"/>
      <c r="CL141" s="340"/>
      <c r="CM141" s="340"/>
      <c r="CN141" s="340"/>
      <c r="CO141" s="340"/>
      <c r="CP141" s="340"/>
      <c r="CQ141" s="340"/>
      <c r="CR141" s="340"/>
      <c r="CS141" s="260"/>
      <c r="CT141" s="260"/>
      <c r="CU141" s="260"/>
      <c r="CV141" s="260"/>
      <c r="CW141" s="260"/>
      <c r="CX141" s="260"/>
      <c r="CY141" s="260"/>
      <c r="CZ141" s="260"/>
      <c r="DA141" s="260"/>
      <c r="DB141" s="260"/>
      <c r="DC141" s="260"/>
      <c r="DD141" s="260"/>
      <c r="DE141" s="260"/>
      <c r="DF141" s="260"/>
      <c r="DG141" s="260"/>
      <c r="DH141" s="260"/>
      <c r="DI141" s="260"/>
      <c r="DJ141" s="347"/>
      <c r="DK141" s="347"/>
      <c r="DL141" s="347"/>
      <c r="DM141" s="347"/>
      <c r="DN141" s="353"/>
      <c r="DO141" s="348"/>
      <c r="DP141" s="348"/>
      <c r="DQ141" s="348"/>
      <c r="DR141" s="348"/>
      <c r="DS141" s="348"/>
      <c r="DT141" s="348"/>
      <c r="DU141" s="348"/>
      <c r="DV141" s="348"/>
      <c r="DW141" s="348"/>
      <c r="DX141" s="348"/>
      <c r="DY141" s="348"/>
      <c r="DZ141" s="348"/>
      <c r="EA141" s="348"/>
      <c r="EB141" s="349"/>
      <c r="EC141" s="349"/>
      <c r="ED141" s="349"/>
      <c r="EE141" s="349"/>
      <c r="EF141" s="349"/>
      <c r="EG141" s="349"/>
      <c r="EH141" s="349"/>
      <c r="EI141" s="349"/>
      <c r="EJ141" s="349"/>
      <c r="EK141" s="341"/>
      <c r="EL141" s="339"/>
      <c r="EM141" s="339"/>
      <c r="EN141" s="339"/>
      <c r="EO141" s="341"/>
      <c r="EP141" s="339"/>
      <c r="EQ141" s="339"/>
      <c r="ER141" s="339"/>
      <c r="ES141" s="350"/>
      <c r="ET141" s="350"/>
      <c r="EU141" s="350"/>
      <c r="EV141" s="350"/>
      <c r="EW141" s="350"/>
      <c r="EX141" s="350"/>
      <c r="EY141" s="350"/>
      <c r="EZ141" s="345"/>
      <c r="FA141" s="339"/>
      <c r="FB141" s="339"/>
      <c r="FC141" s="339"/>
      <c r="GA141" s="94"/>
      <c r="GB141" s="94"/>
      <c r="GC141" s="94"/>
      <c r="GD141" s="94"/>
      <c r="GE141" s="94"/>
      <c r="GF141" s="94"/>
      <c r="GG141" s="94"/>
    </row>
    <row r="142" spans="1:189" s="63" customFormat="1">
      <c r="A142" s="95"/>
      <c r="B142" s="351"/>
      <c r="C142" s="339"/>
      <c r="D142" s="339"/>
      <c r="E142" s="339"/>
      <c r="F142" s="339"/>
      <c r="G142" s="339"/>
      <c r="H142" s="339"/>
      <c r="I142" s="352"/>
      <c r="J142" s="340"/>
      <c r="K142" s="340"/>
      <c r="L142" s="352"/>
      <c r="M142" s="352"/>
      <c r="N142" s="352"/>
      <c r="O142" s="352"/>
      <c r="P142" s="352"/>
      <c r="Q142" s="352"/>
      <c r="R142" s="352"/>
      <c r="S142" s="352"/>
      <c r="T142" s="352"/>
      <c r="U142" s="352"/>
      <c r="V142" s="340"/>
      <c r="W142" s="340"/>
      <c r="X142" s="340"/>
      <c r="Y142" s="340"/>
      <c r="Z142" s="340"/>
      <c r="AA142" s="340"/>
      <c r="AB142" s="340"/>
      <c r="AC142" s="340"/>
      <c r="AD142" s="340"/>
      <c r="AE142" s="340"/>
      <c r="AF142" s="340"/>
      <c r="AG142" s="340"/>
      <c r="AH142" s="340"/>
      <c r="AI142" s="340"/>
      <c r="AJ142" s="340"/>
      <c r="AK142" s="340"/>
      <c r="AL142" s="340"/>
      <c r="AM142" s="340"/>
      <c r="AN142" s="344"/>
      <c r="AO142" s="346"/>
      <c r="AP142" s="340"/>
      <c r="AQ142" s="340"/>
      <c r="AR142" s="340"/>
      <c r="AS142" s="340"/>
      <c r="AT142" s="340"/>
      <c r="AU142" s="340"/>
      <c r="AV142" s="340"/>
      <c r="AW142" s="340"/>
      <c r="AX142" s="340"/>
      <c r="AY142" s="340"/>
      <c r="AZ142" s="340"/>
      <c r="BA142" s="340"/>
      <c r="BB142" s="340"/>
      <c r="BC142" s="340"/>
      <c r="BD142" s="340"/>
      <c r="BE142" s="340"/>
      <c r="BF142" s="340"/>
      <c r="BG142" s="340"/>
      <c r="BH142" s="340"/>
      <c r="BI142" s="340"/>
      <c r="BJ142" s="340"/>
      <c r="BK142" s="340"/>
      <c r="BL142" s="340"/>
      <c r="BM142" s="340"/>
      <c r="BN142" s="340"/>
      <c r="BO142" s="340"/>
      <c r="BP142" s="340"/>
      <c r="BQ142" s="340"/>
      <c r="BR142" s="340"/>
      <c r="BS142" s="340"/>
      <c r="BT142" s="340"/>
      <c r="BU142" s="340"/>
      <c r="BV142" s="340"/>
      <c r="BW142" s="340"/>
      <c r="BX142" s="340"/>
      <c r="BY142" s="340"/>
      <c r="BZ142" s="340"/>
      <c r="CA142" s="340"/>
      <c r="CB142" s="340"/>
      <c r="CC142" s="340"/>
      <c r="CD142" s="340"/>
      <c r="CE142" s="340"/>
      <c r="CF142" s="346"/>
      <c r="CG142" s="340"/>
      <c r="CH142" s="346"/>
      <c r="CI142" s="346"/>
      <c r="CJ142" s="346"/>
      <c r="CK142" s="346"/>
      <c r="CL142" s="340"/>
      <c r="CM142" s="340"/>
      <c r="CN142" s="340"/>
      <c r="CO142" s="340"/>
      <c r="CP142" s="340"/>
      <c r="CQ142" s="340"/>
      <c r="CR142" s="340"/>
      <c r="CS142" s="260"/>
      <c r="CT142" s="260"/>
      <c r="CU142" s="260"/>
      <c r="CV142" s="260"/>
      <c r="CW142" s="260"/>
      <c r="CX142" s="260"/>
      <c r="CY142" s="260"/>
      <c r="CZ142" s="260"/>
      <c r="DA142" s="260"/>
      <c r="DB142" s="260"/>
      <c r="DC142" s="260"/>
      <c r="DD142" s="260"/>
      <c r="DE142" s="260"/>
      <c r="DF142" s="260"/>
      <c r="DG142" s="260"/>
      <c r="DH142" s="260"/>
      <c r="DI142" s="260"/>
      <c r="DJ142" s="347"/>
      <c r="DK142" s="347"/>
      <c r="DL142" s="347"/>
      <c r="DM142" s="347"/>
      <c r="DN142" s="353"/>
      <c r="DO142" s="348"/>
      <c r="DP142" s="348"/>
      <c r="DQ142" s="348"/>
      <c r="DR142" s="348"/>
      <c r="DS142" s="348"/>
      <c r="DT142" s="348"/>
      <c r="DU142" s="348"/>
      <c r="DV142" s="348"/>
      <c r="DW142" s="348"/>
      <c r="DX142" s="348"/>
      <c r="DY142" s="348"/>
      <c r="DZ142" s="348"/>
      <c r="EA142" s="348"/>
      <c r="EB142" s="349"/>
      <c r="EC142" s="349"/>
      <c r="ED142" s="349"/>
      <c r="EE142" s="349"/>
      <c r="EF142" s="349"/>
      <c r="EG142" s="349"/>
      <c r="EH142" s="349"/>
      <c r="EI142" s="349"/>
      <c r="EJ142" s="349"/>
      <c r="EK142" s="341"/>
      <c r="EL142" s="339"/>
      <c r="EM142" s="339"/>
      <c r="EN142" s="339"/>
      <c r="EO142" s="341"/>
      <c r="EP142" s="339"/>
      <c r="EQ142" s="339"/>
      <c r="ER142" s="339"/>
      <c r="ES142" s="350"/>
      <c r="ET142" s="350"/>
      <c r="EU142" s="350"/>
      <c r="EV142" s="350"/>
      <c r="EW142" s="350"/>
      <c r="EX142" s="350"/>
      <c r="EY142" s="350"/>
      <c r="EZ142" s="345"/>
      <c r="FA142" s="339"/>
      <c r="FB142" s="339"/>
      <c r="FC142" s="339"/>
      <c r="GA142" s="94"/>
      <c r="GB142" s="94"/>
      <c r="GC142" s="94"/>
      <c r="GD142" s="94"/>
      <c r="GE142" s="94"/>
      <c r="GF142" s="94"/>
      <c r="GG142" s="94"/>
    </row>
    <row r="143" spans="1:189" s="63" customFormat="1">
      <c r="A143" s="95"/>
      <c r="B143" s="351"/>
      <c r="C143" s="339"/>
      <c r="D143" s="339"/>
      <c r="E143" s="339"/>
      <c r="F143" s="339"/>
      <c r="G143" s="339"/>
      <c r="H143" s="339"/>
      <c r="I143" s="352"/>
      <c r="J143" s="340"/>
      <c r="K143" s="340"/>
      <c r="L143" s="352"/>
      <c r="M143" s="352"/>
      <c r="N143" s="352"/>
      <c r="O143" s="352"/>
      <c r="P143" s="352"/>
      <c r="Q143" s="352"/>
      <c r="R143" s="352"/>
      <c r="S143" s="352"/>
      <c r="T143" s="352"/>
      <c r="U143" s="352"/>
      <c r="V143" s="340"/>
      <c r="W143" s="340"/>
      <c r="X143" s="340"/>
      <c r="Y143" s="340"/>
      <c r="Z143" s="340"/>
      <c r="AA143" s="340"/>
      <c r="AB143" s="340"/>
      <c r="AC143" s="340"/>
      <c r="AD143" s="340"/>
      <c r="AE143" s="340"/>
      <c r="AF143" s="340"/>
      <c r="AG143" s="340"/>
      <c r="AH143" s="340"/>
      <c r="AI143" s="340"/>
      <c r="AJ143" s="340"/>
      <c r="AK143" s="340"/>
      <c r="AL143" s="340"/>
      <c r="AM143" s="340"/>
      <c r="AN143" s="344"/>
      <c r="AO143" s="346"/>
      <c r="AP143" s="340"/>
      <c r="AQ143" s="340"/>
      <c r="AR143" s="340"/>
      <c r="AS143" s="340"/>
      <c r="AT143" s="340"/>
      <c r="AU143" s="340"/>
      <c r="AV143" s="340"/>
      <c r="AW143" s="340"/>
      <c r="AX143" s="340"/>
      <c r="AY143" s="340"/>
      <c r="AZ143" s="340"/>
      <c r="BA143" s="340"/>
      <c r="BB143" s="340"/>
      <c r="BC143" s="340"/>
      <c r="BD143" s="340"/>
      <c r="BE143" s="340"/>
      <c r="BF143" s="340"/>
      <c r="BG143" s="340"/>
      <c r="BH143" s="340"/>
      <c r="BI143" s="340"/>
      <c r="BJ143" s="340"/>
      <c r="BK143" s="340"/>
      <c r="BL143" s="340"/>
      <c r="BM143" s="340"/>
      <c r="BN143" s="340"/>
      <c r="BO143" s="340"/>
      <c r="BP143" s="340"/>
      <c r="BQ143" s="340"/>
      <c r="BR143" s="340"/>
      <c r="BS143" s="340"/>
      <c r="BT143" s="340"/>
      <c r="BU143" s="340"/>
      <c r="BV143" s="340"/>
      <c r="BW143" s="340"/>
      <c r="BX143" s="340"/>
      <c r="BY143" s="340"/>
      <c r="BZ143" s="340"/>
      <c r="CA143" s="340"/>
      <c r="CB143" s="340"/>
      <c r="CC143" s="340"/>
      <c r="CD143" s="340"/>
      <c r="CE143" s="340"/>
      <c r="CF143" s="346"/>
      <c r="CG143" s="340"/>
      <c r="CH143" s="346"/>
      <c r="CI143" s="346"/>
      <c r="CJ143" s="346"/>
      <c r="CK143" s="346"/>
      <c r="CL143" s="340"/>
      <c r="CM143" s="340"/>
      <c r="CN143" s="340"/>
      <c r="CO143" s="340"/>
      <c r="CP143" s="340"/>
      <c r="CQ143" s="340"/>
      <c r="CR143" s="340"/>
      <c r="CS143" s="260"/>
      <c r="CT143" s="260"/>
      <c r="CU143" s="260"/>
      <c r="CV143" s="260"/>
      <c r="CW143" s="260"/>
      <c r="CX143" s="260"/>
      <c r="CY143" s="260"/>
      <c r="CZ143" s="260"/>
      <c r="DA143" s="260"/>
      <c r="DB143" s="260"/>
      <c r="DC143" s="260"/>
      <c r="DD143" s="260"/>
      <c r="DE143" s="260"/>
      <c r="DF143" s="260"/>
      <c r="DG143" s="260"/>
      <c r="DH143" s="260"/>
      <c r="DI143" s="260"/>
      <c r="DJ143" s="347"/>
      <c r="DK143" s="347"/>
      <c r="DL143" s="347"/>
      <c r="DM143" s="347"/>
      <c r="DN143" s="353"/>
      <c r="DO143" s="348"/>
      <c r="DP143" s="348"/>
      <c r="DQ143" s="348"/>
      <c r="DR143" s="348"/>
      <c r="DS143" s="348"/>
      <c r="DT143" s="348"/>
      <c r="DU143" s="348"/>
      <c r="DV143" s="348"/>
      <c r="DW143" s="348"/>
      <c r="DX143" s="348"/>
      <c r="DY143" s="348"/>
      <c r="DZ143" s="348"/>
      <c r="EA143" s="348"/>
      <c r="EB143" s="349"/>
      <c r="EC143" s="349"/>
      <c r="ED143" s="349"/>
      <c r="EE143" s="349"/>
      <c r="EF143" s="349"/>
      <c r="EG143" s="349"/>
      <c r="EH143" s="349"/>
      <c r="EI143" s="349"/>
      <c r="EJ143" s="349"/>
      <c r="EK143" s="341"/>
      <c r="EL143" s="339"/>
      <c r="EM143" s="339"/>
      <c r="EN143" s="339"/>
      <c r="EO143" s="341"/>
      <c r="EP143" s="339"/>
      <c r="EQ143" s="339"/>
      <c r="ER143" s="339"/>
      <c r="ES143" s="350"/>
      <c r="ET143" s="350"/>
      <c r="EU143" s="350"/>
      <c r="EV143" s="350"/>
      <c r="EW143" s="350"/>
      <c r="EX143" s="350"/>
      <c r="EY143" s="350"/>
      <c r="EZ143" s="345"/>
      <c r="FA143" s="339"/>
      <c r="FB143" s="339"/>
      <c r="FC143" s="339"/>
      <c r="GA143" s="94"/>
      <c r="GB143" s="94"/>
      <c r="GC143" s="94"/>
      <c r="GD143" s="94"/>
      <c r="GE143" s="94"/>
      <c r="GF143" s="94"/>
      <c r="GG143" s="94"/>
    </row>
    <row r="144" spans="1:189" s="63" customFormat="1">
      <c r="A144" s="95"/>
      <c r="B144" s="351"/>
      <c r="C144" s="339"/>
      <c r="D144" s="339"/>
      <c r="E144" s="339"/>
      <c r="F144" s="339"/>
      <c r="G144" s="339"/>
      <c r="H144" s="339"/>
      <c r="I144" s="352"/>
      <c r="J144" s="340"/>
      <c r="K144" s="340"/>
      <c r="L144" s="352"/>
      <c r="M144" s="352"/>
      <c r="N144" s="352"/>
      <c r="O144" s="352"/>
      <c r="P144" s="352"/>
      <c r="Q144" s="352"/>
      <c r="R144" s="352"/>
      <c r="S144" s="352"/>
      <c r="T144" s="352"/>
      <c r="U144" s="352"/>
      <c r="V144" s="340"/>
      <c r="W144" s="340"/>
      <c r="X144" s="340"/>
      <c r="Y144" s="340"/>
      <c r="Z144" s="340"/>
      <c r="AA144" s="340"/>
      <c r="AB144" s="340"/>
      <c r="AC144" s="340"/>
      <c r="AD144" s="340"/>
      <c r="AE144" s="340"/>
      <c r="AF144" s="340"/>
      <c r="AG144" s="340"/>
      <c r="AH144" s="340"/>
      <c r="AI144" s="340"/>
      <c r="AJ144" s="340"/>
      <c r="AK144" s="340"/>
      <c r="AL144" s="340"/>
      <c r="AM144" s="340"/>
      <c r="AN144" s="344"/>
      <c r="AO144" s="346"/>
      <c r="AP144" s="340"/>
      <c r="AQ144" s="340"/>
      <c r="AR144" s="340"/>
      <c r="AS144" s="340"/>
      <c r="AT144" s="340"/>
      <c r="AU144" s="340"/>
      <c r="AV144" s="340"/>
      <c r="AW144" s="340"/>
      <c r="AX144" s="340"/>
      <c r="AY144" s="340"/>
      <c r="AZ144" s="340"/>
      <c r="BA144" s="340"/>
      <c r="BB144" s="340"/>
      <c r="BC144" s="340"/>
      <c r="BD144" s="340"/>
      <c r="BE144" s="340"/>
      <c r="BF144" s="340"/>
      <c r="BG144" s="340"/>
      <c r="BH144" s="340"/>
      <c r="BI144" s="340"/>
      <c r="BJ144" s="340"/>
      <c r="BK144" s="340"/>
      <c r="BL144" s="340"/>
      <c r="BM144" s="340"/>
      <c r="BN144" s="340"/>
      <c r="BO144" s="340"/>
      <c r="BP144" s="340"/>
      <c r="BQ144" s="340"/>
      <c r="BR144" s="340"/>
      <c r="BS144" s="340"/>
      <c r="BT144" s="340"/>
      <c r="BU144" s="340"/>
      <c r="BV144" s="340"/>
      <c r="BW144" s="340"/>
      <c r="BX144" s="340"/>
      <c r="BY144" s="340"/>
      <c r="BZ144" s="340"/>
      <c r="CA144" s="340"/>
      <c r="CB144" s="340"/>
      <c r="CC144" s="340"/>
      <c r="CD144" s="340"/>
      <c r="CE144" s="340"/>
      <c r="CF144" s="346"/>
      <c r="CG144" s="340"/>
      <c r="CH144" s="346"/>
      <c r="CI144" s="346"/>
      <c r="CJ144" s="346"/>
      <c r="CK144" s="346"/>
      <c r="CL144" s="340"/>
      <c r="CM144" s="340"/>
      <c r="CN144" s="340"/>
      <c r="CO144" s="340"/>
      <c r="CP144" s="340"/>
      <c r="CQ144" s="340"/>
      <c r="CR144" s="340"/>
      <c r="CS144" s="260"/>
      <c r="CT144" s="260"/>
      <c r="CU144" s="260"/>
      <c r="CV144" s="260"/>
      <c r="CW144" s="260"/>
      <c r="CX144" s="260"/>
      <c r="CY144" s="260"/>
      <c r="CZ144" s="260"/>
      <c r="DA144" s="260"/>
      <c r="DB144" s="260"/>
      <c r="DC144" s="260"/>
      <c r="DD144" s="260"/>
      <c r="DE144" s="260"/>
      <c r="DF144" s="260"/>
      <c r="DG144" s="260"/>
      <c r="DH144" s="260"/>
      <c r="DI144" s="260"/>
      <c r="DJ144" s="347"/>
      <c r="DK144" s="347"/>
      <c r="DL144" s="347"/>
      <c r="DM144" s="347"/>
      <c r="DN144" s="353"/>
      <c r="DO144" s="348"/>
      <c r="DP144" s="348"/>
      <c r="DQ144" s="348"/>
      <c r="DR144" s="348"/>
      <c r="DS144" s="348"/>
      <c r="DT144" s="348"/>
      <c r="DU144" s="348"/>
      <c r="DV144" s="348"/>
      <c r="DW144" s="348"/>
      <c r="DX144" s="348"/>
      <c r="DY144" s="348"/>
      <c r="DZ144" s="348"/>
      <c r="EA144" s="348"/>
      <c r="EB144" s="349"/>
      <c r="EC144" s="349"/>
      <c r="ED144" s="349"/>
      <c r="EE144" s="349"/>
      <c r="EF144" s="349"/>
      <c r="EG144" s="349"/>
      <c r="EH144" s="349"/>
      <c r="EI144" s="349"/>
      <c r="EJ144" s="349"/>
      <c r="EK144" s="341"/>
      <c r="EL144" s="339"/>
      <c r="EM144" s="339"/>
      <c r="EN144" s="339"/>
      <c r="EO144" s="341"/>
      <c r="EP144" s="339"/>
      <c r="EQ144" s="339"/>
      <c r="ER144" s="339"/>
      <c r="ES144" s="350"/>
      <c r="ET144" s="350"/>
      <c r="EU144" s="350"/>
      <c r="EV144" s="350"/>
      <c r="EW144" s="350"/>
      <c r="EX144" s="350"/>
      <c r="EY144" s="350"/>
      <c r="EZ144" s="345"/>
      <c r="FA144" s="339"/>
      <c r="FB144" s="339"/>
      <c r="FC144" s="339"/>
      <c r="GA144" s="94"/>
      <c r="GB144" s="94"/>
      <c r="GC144" s="94"/>
      <c r="GD144" s="94"/>
      <c r="GE144" s="94"/>
      <c r="GF144" s="94"/>
      <c r="GG144" s="94"/>
    </row>
    <row r="145" spans="1:189" s="63" customFormat="1">
      <c r="A145" s="95"/>
      <c r="B145" s="351"/>
      <c r="C145" s="339"/>
      <c r="D145" s="339"/>
      <c r="E145" s="339"/>
      <c r="F145" s="339"/>
      <c r="G145" s="339"/>
      <c r="H145" s="339"/>
      <c r="I145" s="352"/>
      <c r="J145" s="340"/>
      <c r="K145" s="340"/>
      <c r="L145" s="352"/>
      <c r="M145" s="352"/>
      <c r="N145" s="352"/>
      <c r="O145" s="352"/>
      <c r="P145" s="352"/>
      <c r="Q145" s="352"/>
      <c r="R145" s="352"/>
      <c r="S145" s="352"/>
      <c r="T145" s="352"/>
      <c r="U145" s="352"/>
      <c r="V145" s="340"/>
      <c r="W145" s="340"/>
      <c r="X145" s="340"/>
      <c r="Y145" s="340"/>
      <c r="Z145" s="340"/>
      <c r="AA145" s="340"/>
      <c r="AB145" s="340"/>
      <c r="AC145" s="340"/>
      <c r="AD145" s="340"/>
      <c r="AE145" s="340"/>
      <c r="AF145" s="340"/>
      <c r="AG145" s="340"/>
      <c r="AH145" s="340"/>
      <c r="AI145" s="340"/>
      <c r="AJ145" s="340"/>
      <c r="AK145" s="340"/>
      <c r="AL145" s="340"/>
      <c r="AM145" s="340"/>
      <c r="AN145" s="344"/>
      <c r="AO145" s="346"/>
      <c r="AP145" s="340"/>
      <c r="AQ145" s="340"/>
      <c r="AR145" s="340"/>
      <c r="AS145" s="340"/>
      <c r="AT145" s="340"/>
      <c r="AU145" s="340"/>
      <c r="AV145" s="340"/>
      <c r="AW145" s="340"/>
      <c r="AX145" s="340"/>
      <c r="AY145" s="340"/>
      <c r="AZ145" s="340"/>
      <c r="BA145" s="340"/>
      <c r="BB145" s="340"/>
      <c r="BC145" s="340"/>
      <c r="BD145" s="340"/>
      <c r="BE145" s="340"/>
      <c r="BF145" s="340"/>
      <c r="BG145" s="340"/>
      <c r="BH145" s="340"/>
      <c r="BI145" s="340"/>
      <c r="BJ145" s="340"/>
      <c r="BK145" s="340"/>
      <c r="BL145" s="340"/>
      <c r="BM145" s="340"/>
      <c r="BN145" s="340"/>
      <c r="BO145" s="340"/>
      <c r="BP145" s="340"/>
      <c r="BQ145" s="340"/>
      <c r="BR145" s="340"/>
      <c r="BS145" s="340"/>
      <c r="BT145" s="340"/>
      <c r="BU145" s="340"/>
      <c r="BV145" s="340"/>
      <c r="BW145" s="340"/>
      <c r="BX145" s="340"/>
      <c r="BY145" s="340"/>
      <c r="BZ145" s="340"/>
      <c r="CA145" s="340"/>
      <c r="CB145" s="340"/>
      <c r="CC145" s="340"/>
      <c r="CD145" s="340"/>
      <c r="CE145" s="340"/>
      <c r="CF145" s="346"/>
      <c r="CG145" s="340"/>
      <c r="CH145" s="346"/>
      <c r="CI145" s="346"/>
      <c r="CJ145" s="346"/>
      <c r="CK145" s="346"/>
      <c r="CL145" s="340"/>
      <c r="CM145" s="340"/>
      <c r="CN145" s="340"/>
      <c r="CO145" s="340"/>
      <c r="CP145" s="340"/>
      <c r="CQ145" s="340"/>
      <c r="CR145" s="340"/>
      <c r="CS145" s="260"/>
      <c r="CT145" s="260"/>
      <c r="CU145" s="260"/>
      <c r="CV145" s="260"/>
      <c r="CW145" s="260"/>
      <c r="CX145" s="260"/>
      <c r="CY145" s="260"/>
      <c r="CZ145" s="260"/>
      <c r="DA145" s="260"/>
      <c r="DB145" s="260"/>
      <c r="DC145" s="260"/>
      <c r="DD145" s="260"/>
      <c r="DE145" s="260"/>
      <c r="DF145" s="260"/>
      <c r="DG145" s="260"/>
      <c r="DH145" s="260"/>
      <c r="DI145" s="260"/>
      <c r="DJ145" s="347"/>
      <c r="DK145" s="347"/>
      <c r="DL145" s="347"/>
      <c r="DM145" s="347"/>
      <c r="DN145" s="353"/>
      <c r="DO145" s="348"/>
      <c r="DP145" s="348"/>
      <c r="DQ145" s="348"/>
      <c r="DR145" s="348"/>
      <c r="DS145" s="348"/>
      <c r="DT145" s="348"/>
      <c r="DU145" s="348"/>
      <c r="DV145" s="348"/>
      <c r="DW145" s="348"/>
      <c r="DX145" s="348"/>
      <c r="DY145" s="348"/>
      <c r="DZ145" s="348"/>
      <c r="EA145" s="348"/>
      <c r="EB145" s="349"/>
      <c r="EC145" s="349"/>
      <c r="ED145" s="349"/>
      <c r="EE145" s="349"/>
      <c r="EF145" s="349"/>
      <c r="EG145" s="349"/>
      <c r="EH145" s="349"/>
      <c r="EI145" s="349"/>
      <c r="EJ145" s="349"/>
      <c r="EK145" s="341"/>
      <c r="EL145" s="339"/>
      <c r="EM145" s="339"/>
      <c r="EN145" s="339"/>
      <c r="EO145" s="341"/>
      <c r="EP145" s="339"/>
      <c r="EQ145" s="339"/>
      <c r="ER145" s="339"/>
      <c r="ES145" s="350"/>
      <c r="ET145" s="350"/>
      <c r="EU145" s="350"/>
      <c r="EV145" s="350"/>
      <c r="EW145" s="350"/>
      <c r="EX145" s="350"/>
      <c r="EY145" s="350"/>
      <c r="EZ145" s="345"/>
      <c r="FA145" s="339"/>
      <c r="FB145" s="339"/>
      <c r="FC145" s="339"/>
      <c r="GA145" s="94"/>
      <c r="GB145" s="94"/>
      <c r="GC145" s="94"/>
      <c r="GD145" s="94"/>
      <c r="GE145" s="94"/>
      <c r="GF145" s="94"/>
      <c r="GG145" s="94"/>
    </row>
    <row r="146" spans="1:189" s="63" customFormat="1">
      <c r="A146" s="95"/>
      <c r="B146" s="351"/>
      <c r="C146" s="339"/>
      <c r="D146" s="339"/>
      <c r="E146" s="339"/>
      <c r="F146" s="339"/>
      <c r="G146" s="339"/>
      <c r="H146" s="339"/>
      <c r="I146" s="352"/>
      <c r="J146" s="340"/>
      <c r="K146" s="340"/>
      <c r="L146" s="352"/>
      <c r="M146" s="352"/>
      <c r="N146" s="352"/>
      <c r="O146" s="352"/>
      <c r="P146" s="352"/>
      <c r="Q146" s="352"/>
      <c r="R146" s="352"/>
      <c r="S146" s="352"/>
      <c r="T146" s="352"/>
      <c r="U146" s="352"/>
      <c r="V146" s="340"/>
      <c r="W146" s="340"/>
      <c r="X146" s="340"/>
      <c r="Y146" s="340"/>
      <c r="Z146" s="340"/>
      <c r="AA146" s="340"/>
      <c r="AB146" s="340"/>
      <c r="AC146" s="340"/>
      <c r="AD146" s="340"/>
      <c r="AE146" s="340"/>
      <c r="AF146" s="340"/>
      <c r="AG146" s="340"/>
      <c r="AH146" s="340"/>
      <c r="AI146" s="340"/>
      <c r="AJ146" s="340"/>
      <c r="AK146" s="340"/>
      <c r="AL146" s="340"/>
      <c r="AM146" s="340"/>
      <c r="AN146" s="344"/>
      <c r="AO146" s="346"/>
      <c r="AP146" s="340"/>
      <c r="AQ146" s="340"/>
      <c r="AR146" s="340"/>
      <c r="AS146" s="340"/>
      <c r="AT146" s="340"/>
      <c r="AU146" s="340"/>
      <c r="AV146" s="340"/>
      <c r="AW146" s="340"/>
      <c r="AX146" s="340"/>
      <c r="AY146" s="340"/>
      <c r="AZ146" s="340"/>
      <c r="BA146" s="340"/>
      <c r="BB146" s="340"/>
      <c r="BC146" s="340"/>
      <c r="BD146" s="340"/>
      <c r="BE146" s="340"/>
      <c r="BF146" s="340"/>
      <c r="BG146" s="340"/>
      <c r="BH146" s="340"/>
      <c r="BI146" s="340"/>
      <c r="BJ146" s="340"/>
      <c r="BK146" s="340"/>
      <c r="BL146" s="340"/>
      <c r="BM146" s="340"/>
      <c r="BN146" s="340"/>
      <c r="BO146" s="340"/>
      <c r="BP146" s="340"/>
      <c r="BQ146" s="340"/>
      <c r="BR146" s="340"/>
      <c r="BS146" s="340"/>
      <c r="BT146" s="340"/>
      <c r="BU146" s="340"/>
      <c r="BV146" s="340"/>
      <c r="BW146" s="340"/>
      <c r="BX146" s="340"/>
      <c r="BY146" s="340"/>
      <c r="BZ146" s="340"/>
      <c r="CA146" s="340"/>
      <c r="CB146" s="340"/>
      <c r="CC146" s="340"/>
      <c r="CD146" s="340"/>
      <c r="CE146" s="340"/>
      <c r="CF146" s="346"/>
      <c r="CG146" s="340"/>
      <c r="CH146" s="346"/>
      <c r="CI146" s="346"/>
      <c r="CJ146" s="346"/>
      <c r="CK146" s="346"/>
      <c r="CL146" s="340"/>
      <c r="CM146" s="340"/>
      <c r="CN146" s="340"/>
      <c r="CO146" s="340"/>
      <c r="CP146" s="340"/>
      <c r="CQ146" s="340"/>
      <c r="CR146" s="340"/>
      <c r="CS146" s="260"/>
      <c r="CT146" s="260"/>
      <c r="CU146" s="260"/>
      <c r="CV146" s="260"/>
      <c r="CW146" s="260"/>
      <c r="CX146" s="260"/>
      <c r="CY146" s="260"/>
      <c r="CZ146" s="260"/>
      <c r="DA146" s="260"/>
      <c r="DB146" s="260"/>
      <c r="DC146" s="260"/>
      <c r="DD146" s="260"/>
      <c r="DE146" s="260"/>
      <c r="DF146" s="260"/>
      <c r="DG146" s="260"/>
      <c r="DH146" s="260"/>
      <c r="DI146" s="260"/>
      <c r="DJ146" s="347"/>
      <c r="DK146" s="347"/>
      <c r="DL146" s="347"/>
      <c r="DM146" s="347"/>
      <c r="DN146" s="353"/>
      <c r="DO146" s="348"/>
      <c r="DP146" s="348"/>
      <c r="DQ146" s="348"/>
      <c r="DR146" s="348"/>
      <c r="DS146" s="348"/>
      <c r="DT146" s="348"/>
      <c r="DU146" s="348"/>
      <c r="DV146" s="348"/>
      <c r="DW146" s="348"/>
      <c r="DX146" s="348"/>
      <c r="DY146" s="348"/>
      <c r="DZ146" s="348"/>
      <c r="EA146" s="348"/>
      <c r="EB146" s="349"/>
      <c r="EC146" s="349"/>
      <c r="ED146" s="349"/>
      <c r="EE146" s="349"/>
      <c r="EF146" s="349"/>
      <c r="EG146" s="349"/>
      <c r="EH146" s="349"/>
      <c r="EI146" s="349"/>
      <c r="EJ146" s="349"/>
      <c r="EK146" s="341"/>
      <c r="EL146" s="339"/>
      <c r="EM146" s="339"/>
      <c r="EN146" s="339"/>
      <c r="EO146" s="341"/>
      <c r="EP146" s="339"/>
      <c r="EQ146" s="339"/>
      <c r="ER146" s="339"/>
      <c r="ES146" s="350"/>
      <c r="ET146" s="350"/>
      <c r="EU146" s="350"/>
      <c r="EV146" s="350"/>
      <c r="EW146" s="350"/>
      <c r="EX146" s="350"/>
      <c r="EY146" s="350"/>
      <c r="EZ146" s="345"/>
      <c r="FA146" s="339"/>
      <c r="FB146" s="339"/>
      <c r="FC146" s="339"/>
      <c r="GA146" s="94"/>
      <c r="GB146" s="94"/>
      <c r="GC146" s="94"/>
      <c r="GD146" s="94"/>
      <c r="GE146" s="94"/>
      <c r="GF146" s="94"/>
      <c r="GG146" s="94"/>
    </row>
    <row r="147" spans="1:189" s="63" customFormat="1">
      <c r="A147" s="95"/>
      <c r="B147" s="351"/>
      <c r="C147" s="339"/>
      <c r="D147" s="339"/>
      <c r="E147" s="339"/>
      <c r="F147" s="339"/>
      <c r="G147" s="339"/>
      <c r="H147" s="339"/>
      <c r="I147" s="352"/>
      <c r="J147" s="340"/>
      <c r="K147" s="340"/>
      <c r="L147" s="352"/>
      <c r="M147" s="352"/>
      <c r="N147" s="352"/>
      <c r="O147" s="352"/>
      <c r="P147" s="352"/>
      <c r="Q147" s="352"/>
      <c r="R147" s="352"/>
      <c r="S147" s="352"/>
      <c r="T147" s="352"/>
      <c r="U147" s="352"/>
      <c r="V147" s="340"/>
      <c r="W147" s="340"/>
      <c r="X147" s="340"/>
      <c r="Y147" s="340"/>
      <c r="Z147" s="340"/>
      <c r="AA147" s="340"/>
      <c r="AB147" s="340"/>
      <c r="AC147" s="340"/>
      <c r="AD147" s="340"/>
      <c r="AE147" s="340"/>
      <c r="AF147" s="340"/>
      <c r="AG147" s="340"/>
      <c r="AH147" s="340"/>
      <c r="AI147" s="340"/>
      <c r="AJ147" s="340"/>
      <c r="AK147" s="340"/>
      <c r="AL147" s="340"/>
      <c r="AM147" s="340"/>
      <c r="AN147" s="344"/>
      <c r="AO147" s="346"/>
      <c r="AP147" s="340"/>
      <c r="AQ147" s="340"/>
      <c r="AR147" s="340"/>
      <c r="AS147" s="340"/>
      <c r="AT147" s="340"/>
      <c r="AU147" s="340"/>
      <c r="AV147" s="340"/>
      <c r="AW147" s="340"/>
      <c r="AX147" s="340"/>
      <c r="AY147" s="340"/>
      <c r="AZ147" s="340"/>
      <c r="BA147" s="340"/>
      <c r="BB147" s="340"/>
      <c r="BC147" s="340"/>
      <c r="BD147" s="340"/>
      <c r="BE147" s="340"/>
      <c r="BF147" s="340"/>
      <c r="BG147" s="340"/>
      <c r="BH147" s="340"/>
      <c r="BI147" s="340"/>
      <c r="BJ147" s="340"/>
      <c r="BK147" s="340"/>
      <c r="BL147" s="340"/>
      <c r="BM147" s="340"/>
      <c r="BN147" s="340"/>
      <c r="BO147" s="340"/>
      <c r="BP147" s="340"/>
      <c r="BQ147" s="340"/>
      <c r="BR147" s="340"/>
      <c r="BS147" s="340"/>
      <c r="BT147" s="340"/>
      <c r="BU147" s="340"/>
      <c r="BV147" s="340"/>
      <c r="BW147" s="340"/>
      <c r="BX147" s="340"/>
      <c r="BY147" s="340"/>
      <c r="BZ147" s="340"/>
      <c r="CA147" s="340"/>
      <c r="CB147" s="340"/>
      <c r="CC147" s="340"/>
      <c r="CD147" s="340"/>
      <c r="CE147" s="340"/>
      <c r="CF147" s="346"/>
      <c r="CG147" s="340"/>
      <c r="CH147" s="346"/>
      <c r="CI147" s="346"/>
      <c r="CJ147" s="346"/>
      <c r="CK147" s="346"/>
      <c r="CL147" s="340"/>
      <c r="CM147" s="340"/>
      <c r="CN147" s="340"/>
      <c r="CO147" s="340"/>
      <c r="CP147" s="340"/>
      <c r="CQ147" s="340"/>
      <c r="CR147" s="340"/>
      <c r="CS147" s="260"/>
      <c r="CT147" s="260"/>
      <c r="CU147" s="260"/>
      <c r="CV147" s="260"/>
      <c r="CW147" s="260"/>
      <c r="CX147" s="260"/>
      <c r="CY147" s="260"/>
      <c r="CZ147" s="260"/>
      <c r="DA147" s="260"/>
      <c r="DB147" s="260"/>
      <c r="DC147" s="260"/>
      <c r="DD147" s="260"/>
      <c r="DE147" s="260"/>
      <c r="DF147" s="260"/>
      <c r="DG147" s="260"/>
      <c r="DH147" s="260"/>
      <c r="DI147" s="260"/>
      <c r="DJ147" s="347"/>
      <c r="DK147" s="347"/>
      <c r="DL147" s="347"/>
      <c r="DM147" s="347"/>
      <c r="DN147" s="353"/>
      <c r="DO147" s="348"/>
      <c r="DP147" s="348"/>
      <c r="DQ147" s="348"/>
      <c r="DR147" s="348"/>
      <c r="DS147" s="348"/>
      <c r="DT147" s="348"/>
      <c r="DU147" s="348"/>
      <c r="DV147" s="348"/>
      <c r="DW147" s="348"/>
      <c r="DX147" s="348"/>
      <c r="DY147" s="348"/>
      <c r="DZ147" s="348"/>
      <c r="EA147" s="348"/>
      <c r="EB147" s="349"/>
      <c r="EC147" s="349"/>
      <c r="ED147" s="349"/>
      <c r="EE147" s="349"/>
      <c r="EF147" s="349"/>
      <c r="EG147" s="349"/>
      <c r="EH147" s="349"/>
      <c r="EI147" s="349"/>
      <c r="EJ147" s="349"/>
      <c r="EK147" s="341"/>
      <c r="EL147" s="339"/>
      <c r="EM147" s="339"/>
      <c r="EN147" s="339"/>
      <c r="EO147" s="341"/>
      <c r="EP147" s="339"/>
      <c r="EQ147" s="339"/>
      <c r="ER147" s="339"/>
      <c r="ES147" s="350"/>
      <c r="ET147" s="350"/>
      <c r="EU147" s="350"/>
      <c r="EV147" s="350"/>
      <c r="EW147" s="350"/>
      <c r="EX147" s="350"/>
      <c r="EY147" s="350"/>
      <c r="EZ147" s="345"/>
      <c r="FA147" s="339"/>
      <c r="FB147" s="339"/>
      <c r="FC147" s="339"/>
      <c r="GA147" s="94"/>
      <c r="GB147" s="94"/>
      <c r="GC147" s="94"/>
      <c r="GD147" s="94"/>
      <c r="GE147" s="94"/>
      <c r="GF147" s="94"/>
      <c r="GG147" s="94"/>
    </row>
    <row r="148" spans="1:189" s="63" customFormat="1">
      <c r="A148" s="95"/>
      <c r="B148" s="351"/>
      <c r="C148" s="339"/>
      <c r="D148" s="339"/>
      <c r="E148" s="339"/>
      <c r="F148" s="339"/>
      <c r="G148" s="339"/>
      <c r="H148" s="339"/>
      <c r="I148" s="352"/>
      <c r="J148" s="340"/>
      <c r="K148" s="340"/>
      <c r="L148" s="352"/>
      <c r="M148" s="352"/>
      <c r="N148" s="352"/>
      <c r="O148" s="352"/>
      <c r="P148" s="352"/>
      <c r="Q148" s="352"/>
      <c r="R148" s="352"/>
      <c r="S148" s="352"/>
      <c r="T148" s="352"/>
      <c r="U148" s="352"/>
      <c r="V148" s="340"/>
      <c r="W148" s="340"/>
      <c r="X148" s="340"/>
      <c r="Y148" s="340"/>
      <c r="Z148" s="340"/>
      <c r="AA148" s="340"/>
      <c r="AB148" s="340"/>
      <c r="AC148" s="340"/>
      <c r="AD148" s="340"/>
      <c r="AE148" s="340"/>
      <c r="AF148" s="340"/>
      <c r="AG148" s="340"/>
      <c r="AH148" s="340"/>
      <c r="AI148" s="340"/>
      <c r="AJ148" s="340"/>
      <c r="AK148" s="340"/>
      <c r="AL148" s="340"/>
      <c r="AM148" s="340"/>
      <c r="AN148" s="344"/>
      <c r="AO148" s="346"/>
      <c r="AP148" s="340"/>
      <c r="AQ148" s="340"/>
      <c r="AR148" s="340"/>
      <c r="AS148" s="340"/>
      <c r="AT148" s="340"/>
      <c r="AU148" s="340"/>
      <c r="AV148" s="340"/>
      <c r="AW148" s="340"/>
      <c r="AX148" s="340"/>
      <c r="AY148" s="340"/>
      <c r="AZ148" s="340"/>
      <c r="BA148" s="340"/>
      <c r="BB148" s="340"/>
      <c r="BC148" s="340"/>
      <c r="BD148" s="340"/>
      <c r="BE148" s="340"/>
      <c r="BF148" s="340"/>
      <c r="BG148" s="340"/>
      <c r="BH148" s="340"/>
      <c r="BI148" s="340"/>
      <c r="BJ148" s="340"/>
      <c r="BK148" s="340"/>
      <c r="BL148" s="340"/>
      <c r="BM148" s="340"/>
      <c r="BN148" s="340"/>
      <c r="BO148" s="340"/>
      <c r="BP148" s="340"/>
      <c r="BQ148" s="340"/>
      <c r="BR148" s="340"/>
      <c r="BS148" s="340"/>
      <c r="BT148" s="340"/>
      <c r="BU148" s="340"/>
      <c r="BV148" s="340"/>
      <c r="BW148" s="340"/>
      <c r="BX148" s="340"/>
      <c r="BY148" s="340"/>
      <c r="BZ148" s="340"/>
      <c r="CA148" s="340"/>
      <c r="CB148" s="340"/>
      <c r="CC148" s="340"/>
      <c r="CD148" s="340"/>
      <c r="CE148" s="340"/>
      <c r="CF148" s="346"/>
      <c r="CG148" s="340"/>
      <c r="CH148" s="346"/>
      <c r="CI148" s="346"/>
      <c r="CJ148" s="346"/>
      <c r="CK148" s="346"/>
      <c r="CL148" s="340"/>
      <c r="CM148" s="340"/>
      <c r="CN148" s="340"/>
      <c r="CO148" s="340"/>
      <c r="CP148" s="340"/>
      <c r="CQ148" s="340"/>
      <c r="CR148" s="340"/>
      <c r="CS148" s="260"/>
      <c r="CT148" s="260"/>
      <c r="CU148" s="260"/>
      <c r="CV148" s="260"/>
      <c r="CW148" s="260"/>
      <c r="CX148" s="260"/>
      <c r="CY148" s="260"/>
      <c r="CZ148" s="260"/>
      <c r="DA148" s="260"/>
      <c r="DB148" s="260"/>
      <c r="DC148" s="260"/>
      <c r="DD148" s="260"/>
      <c r="DE148" s="260"/>
      <c r="DF148" s="260"/>
      <c r="DG148" s="260"/>
      <c r="DH148" s="260"/>
      <c r="DI148" s="260"/>
      <c r="DJ148" s="347"/>
      <c r="DK148" s="347"/>
      <c r="DL148" s="347"/>
      <c r="DM148" s="347"/>
      <c r="DN148" s="353"/>
      <c r="DO148" s="348"/>
      <c r="DP148" s="348"/>
      <c r="DQ148" s="348"/>
      <c r="DR148" s="348"/>
      <c r="DS148" s="348"/>
      <c r="DT148" s="348"/>
      <c r="DU148" s="348"/>
      <c r="DV148" s="348"/>
      <c r="DW148" s="348"/>
      <c r="DX148" s="348"/>
      <c r="DY148" s="348"/>
      <c r="DZ148" s="348"/>
      <c r="EA148" s="348"/>
      <c r="EB148" s="349"/>
      <c r="EC148" s="349"/>
      <c r="ED148" s="349"/>
      <c r="EE148" s="349"/>
      <c r="EF148" s="349"/>
      <c r="EG148" s="349"/>
      <c r="EH148" s="349"/>
      <c r="EI148" s="349"/>
      <c r="EJ148" s="349"/>
      <c r="EK148" s="341"/>
      <c r="EL148" s="339"/>
      <c r="EM148" s="339"/>
      <c r="EN148" s="339"/>
      <c r="EO148" s="341"/>
      <c r="EP148" s="339"/>
      <c r="EQ148" s="339"/>
      <c r="ER148" s="339"/>
      <c r="ES148" s="350"/>
      <c r="ET148" s="350"/>
      <c r="EU148" s="350"/>
      <c r="EV148" s="350"/>
      <c r="EW148" s="350"/>
      <c r="EX148" s="350"/>
      <c r="EY148" s="350"/>
      <c r="EZ148" s="345"/>
      <c r="FA148" s="339"/>
      <c r="FB148" s="339"/>
      <c r="FC148" s="339"/>
      <c r="GA148" s="94"/>
      <c r="GB148" s="94"/>
      <c r="GC148" s="94"/>
      <c r="GD148" s="94"/>
      <c r="GE148" s="94"/>
      <c r="GF148" s="94"/>
      <c r="GG148" s="94"/>
    </row>
    <row r="149" spans="1:189" s="63" customFormat="1">
      <c r="A149" s="95"/>
      <c r="B149" s="351"/>
      <c r="C149" s="339"/>
      <c r="D149" s="339"/>
      <c r="E149" s="339"/>
      <c r="F149" s="339"/>
      <c r="G149" s="339"/>
      <c r="H149" s="339"/>
      <c r="I149" s="352"/>
      <c r="J149" s="340"/>
      <c r="K149" s="340"/>
      <c r="L149" s="352"/>
      <c r="M149" s="352"/>
      <c r="N149" s="352"/>
      <c r="O149" s="352"/>
      <c r="P149" s="352"/>
      <c r="Q149" s="352"/>
      <c r="R149" s="352"/>
      <c r="S149" s="352"/>
      <c r="T149" s="352"/>
      <c r="U149" s="352"/>
      <c r="V149" s="340"/>
      <c r="W149" s="340"/>
      <c r="X149" s="340"/>
      <c r="Y149" s="340"/>
      <c r="Z149" s="340"/>
      <c r="AA149" s="340"/>
      <c r="AB149" s="340"/>
      <c r="AC149" s="340"/>
      <c r="AD149" s="340"/>
      <c r="AE149" s="340"/>
      <c r="AF149" s="340"/>
      <c r="AG149" s="340"/>
      <c r="AH149" s="340"/>
      <c r="AI149" s="340"/>
      <c r="AJ149" s="340"/>
      <c r="AK149" s="340"/>
      <c r="AL149" s="340"/>
      <c r="AM149" s="340"/>
      <c r="AN149" s="344"/>
      <c r="AO149" s="346"/>
      <c r="AP149" s="340"/>
      <c r="AQ149" s="340"/>
      <c r="AR149" s="340"/>
      <c r="AS149" s="340"/>
      <c r="AT149" s="340"/>
      <c r="AU149" s="340"/>
      <c r="AV149" s="340"/>
      <c r="AW149" s="340"/>
      <c r="AX149" s="340"/>
      <c r="AY149" s="340"/>
      <c r="AZ149" s="340"/>
      <c r="BA149" s="340"/>
      <c r="BB149" s="340"/>
      <c r="BC149" s="340"/>
      <c r="BD149" s="340"/>
      <c r="BE149" s="340"/>
      <c r="BF149" s="340"/>
      <c r="BG149" s="340"/>
      <c r="BH149" s="340"/>
      <c r="BI149" s="340"/>
      <c r="BJ149" s="340"/>
      <c r="BK149" s="340"/>
      <c r="BL149" s="340"/>
      <c r="BM149" s="340"/>
      <c r="BN149" s="340"/>
      <c r="BO149" s="340"/>
      <c r="BP149" s="340"/>
      <c r="BQ149" s="340"/>
      <c r="BR149" s="340"/>
      <c r="BS149" s="340"/>
      <c r="BT149" s="340"/>
      <c r="BU149" s="340"/>
      <c r="BV149" s="340"/>
      <c r="BW149" s="340"/>
      <c r="BX149" s="340"/>
      <c r="BY149" s="340"/>
      <c r="BZ149" s="340"/>
      <c r="CA149" s="340"/>
      <c r="CB149" s="340"/>
      <c r="CC149" s="340"/>
      <c r="CD149" s="340"/>
      <c r="CE149" s="340"/>
      <c r="CF149" s="346"/>
      <c r="CG149" s="340"/>
      <c r="CH149" s="346"/>
      <c r="CI149" s="346"/>
      <c r="CJ149" s="346"/>
      <c r="CK149" s="346"/>
      <c r="CL149" s="340"/>
      <c r="CM149" s="340"/>
      <c r="CN149" s="340"/>
      <c r="CO149" s="340"/>
      <c r="CP149" s="340"/>
      <c r="CQ149" s="340"/>
      <c r="CR149" s="340"/>
      <c r="CS149" s="260"/>
      <c r="CT149" s="260"/>
      <c r="CU149" s="260"/>
      <c r="CV149" s="260"/>
      <c r="CW149" s="260"/>
      <c r="CX149" s="260"/>
      <c r="CY149" s="260"/>
      <c r="CZ149" s="260"/>
      <c r="DA149" s="260"/>
      <c r="DB149" s="260"/>
      <c r="DC149" s="260"/>
      <c r="DD149" s="260"/>
      <c r="DE149" s="260"/>
      <c r="DF149" s="260"/>
      <c r="DG149" s="260"/>
      <c r="DH149" s="260"/>
      <c r="DI149" s="260"/>
      <c r="DJ149" s="347"/>
      <c r="DK149" s="347"/>
      <c r="DL149" s="347"/>
      <c r="DM149" s="347"/>
      <c r="DN149" s="353"/>
      <c r="DO149" s="348"/>
      <c r="DP149" s="348"/>
      <c r="DQ149" s="348"/>
      <c r="DR149" s="348"/>
      <c r="DS149" s="348"/>
      <c r="DT149" s="348"/>
      <c r="DU149" s="348"/>
      <c r="DV149" s="348"/>
      <c r="DW149" s="348"/>
      <c r="DX149" s="348"/>
      <c r="DY149" s="348"/>
      <c r="DZ149" s="348"/>
      <c r="EA149" s="348"/>
      <c r="EB149" s="349"/>
      <c r="EC149" s="349"/>
      <c r="ED149" s="349"/>
      <c r="EE149" s="349"/>
      <c r="EF149" s="349"/>
      <c r="EG149" s="349"/>
      <c r="EH149" s="349"/>
      <c r="EI149" s="349"/>
      <c r="EJ149" s="349"/>
      <c r="EK149" s="341"/>
      <c r="EL149" s="339"/>
      <c r="EM149" s="339"/>
      <c r="EN149" s="339"/>
      <c r="EO149" s="341"/>
      <c r="EP149" s="339"/>
      <c r="EQ149" s="339"/>
      <c r="ER149" s="339"/>
      <c r="ES149" s="350"/>
      <c r="ET149" s="350"/>
      <c r="EU149" s="350"/>
      <c r="EV149" s="350"/>
      <c r="EW149" s="350"/>
      <c r="EX149" s="350"/>
      <c r="EY149" s="350"/>
      <c r="EZ149" s="345"/>
      <c r="FA149" s="339"/>
      <c r="FB149" s="339"/>
      <c r="FC149" s="339"/>
      <c r="GA149" s="94"/>
      <c r="GB149" s="94"/>
      <c r="GC149" s="94"/>
      <c r="GD149" s="94"/>
      <c r="GE149" s="94"/>
      <c r="GF149" s="94"/>
      <c r="GG149" s="94"/>
    </row>
    <row r="150" spans="1:189" s="63" customFormat="1">
      <c r="A150" s="95"/>
      <c r="B150" s="351"/>
      <c r="C150" s="339"/>
      <c r="D150" s="339"/>
      <c r="E150" s="339"/>
      <c r="F150" s="339"/>
      <c r="G150" s="339"/>
      <c r="H150" s="339"/>
      <c r="I150" s="352"/>
      <c r="J150" s="340"/>
      <c r="K150" s="340"/>
      <c r="L150" s="352"/>
      <c r="M150" s="352"/>
      <c r="N150" s="352"/>
      <c r="O150" s="352"/>
      <c r="P150" s="352"/>
      <c r="Q150" s="352"/>
      <c r="R150" s="352"/>
      <c r="S150" s="352"/>
      <c r="T150" s="352"/>
      <c r="U150" s="352"/>
      <c r="V150" s="340"/>
      <c r="W150" s="340"/>
      <c r="X150" s="340"/>
      <c r="Y150" s="340"/>
      <c r="Z150" s="340"/>
      <c r="AA150" s="340"/>
      <c r="AB150" s="340"/>
      <c r="AC150" s="340"/>
      <c r="AD150" s="340"/>
      <c r="AE150" s="340"/>
      <c r="AF150" s="340"/>
      <c r="AG150" s="340"/>
      <c r="AH150" s="340"/>
      <c r="AI150" s="340"/>
      <c r="AJ150" s="340"/>
      <c r="AK150" s="340"/>
      <c r="AL150" s="340"/>
      <c r="AM150" s="340"/>
      <c r="AN150" s="344"/>
      <c r="AO150" s="346"/>
      <c r="AP150" s="340"/>
      <c r="AQ150" s="340"/>
      <c r="AR150" s="340"/>
      <c r="AS150" s="340"/>
      <c r="AT150" s="340"/>
      <c r="AU150" s="340"/>
      <c r="AV150" s="340"/>
      <c r="AW150" s="340"/>
      <c r="AX150" s="340"/>
      <c r="AY150" s="340"/>
      <c r="AZ150" s="340"/>
      <c r="BA150" s="340"/>
      <c r="BB150" s="340"/>
      <c r="BC150" s="340"/>
      <c r="BD150" s="340"/>
      <c r="BE150" s="340"/>
      <c r="BF150" s="340"/>
      <c r="BG150" s="340"/>
      <c r="BH150" s="340"/>
      <c r="BI150" s="340"/>
      <c r="BJ150" s="340"/>
      <c r="BK150" s="340"/>
      <c r="BL150" s="340"/>
      <c r="BM150" s="340"/>
      <c r="BN150" s="340"/>
      <c r="BO150" s="340"/>
      <c r="BP150" s="340"/>
      <c r="BQ150" s="340"/>
      <c r="BR150" s="340"/>
      <c r="BS150" s="340"/>
      <c r="BT150" s="340"/>
      <c r="BU150" s="340"/>
      <c r="BV150" s="340"/>
      <c r="BW150" s="340"/>
      <c r="BX150" s="340"/>
      <c r="BY150" s="340"/>
      <c r="BZ150" s="340"/>
      <c r="CA150" s="340"/>
      <c r="CB150" s="340"/>
      <c r="CC150" s="340"/>
      <c r="CD150" s="340"/>
      <c r="CE150" s="340"/>
      <c r="CF150" s="346"/>
      <c r="CG150" s="340"/>
      <c r="CH150" s="346"/>
      <c r="CI150" s="346"/>
      <c r="CJ150" s="346"/>
      <c r="CK150" s="346"/>
      <c r="CL150" s="340"/>
      <c r="CM150" s="340"/>
      <c r="CN150" s="340"/>
      <c r="CO150" s="340"/>
      <c r="CP150" s="340"/>
      <c r="CQ150" s="340"/>
      <c r="CR150" s="340"/>
      <c r="CS150" s="260"/>
      <c r="CT150" s="260"/>
      <c r="CU150" s="260"/>
      <c r="CV150" s="260"/>
      <c r="CW150" s="260"/>
      <c r="CX150" s="260"/>
      <c r="CY150" s="260"/>
      <c r="CZ150" s="260"/>
      <c r="DA150" s="260"/>
      <c r="DB150" s="260"/>
      <c r="DC150" s="260"/>
      <c r="DD150" s="260"/>
      <c r="DE150" s="260"/>
      <c r="DF150" s="260"/>
      <c r="DG150" s="260"/>
      <c r="DH150" s="260"/>
      <c r="DI150" s="260"/>
      <c r="DJ150" s="347"/>
      <c r="DK150" s="347"/>
      <c r="DL150" s="347"/>
      <c r="DM150" s="347"/>
      <c r="DN150" s="353"/>
      <c r="DO150" s="348"/>
      <c r="DP150" s="348"/>
      <c r="DQ150" s="348"/>
      <c r="DR150" s="348"/>
      <c r="DS150" s="348"/>
      <c r="DT150" s="348"/>
      <c r="DU150" s="348"/>
      <c r="DV150" s="348"/>
      <c r="DW150" s="348"/>
      <c r="DX150" s="348"/>
      <c r="DY150" s="348"/>
      <c r="DZ150" s="348"/>
      <c r="EA150" s="348"/>
      <c r="EB150" s="349"/>
      <c r="EC150" s="349"/>
      <c r="ED150" s="349"/>
      <c r="EE150" s="349"/>
      <c r="EF150" s="349"/>
      <c r="EG150" s="349"/>
      <c r="EH150" s="349"/>
      <c r="EI150" s="349"/>
      <c r="EJ150" s="349"/>
      <c r="EK150" s="341"/>
      <c r="EL150" s="339"/>
      <c r="EM150" s="339"/>
      <c r="EN150" s="339"/>
      <c r="EO150" s="341"/>
      <c r="EP150" s="339"/>
      <c r="EQ150" s="339"/>
      <c r="ER150" s="339"/>
      <c r="ES150" s="350"/>
      <c r="ET150" s="350"/>
      <c r="EU150" s="350"/>
      <c r="EV150" s="350"/>
      <c r="EW150" s="350"/>
      <c r="EX150" s="350"/>
      <c r="EY150" s="350"/>
      <c r="EZ150" s="345"/>
      <c r="FA150" s="339"/>
      <c r="FB150" s="339"/>
      <c r="FC150" s="339"/>
      <c r="GA150" s="94"/>
      <c r="GB150" s="94"/>
      <c r="GC150" s="94"/>
      <c r="GD150" s="94"/>
      <c r="GE150" s="94"/>
      <c r="GF150" s="94"/>
      <c r="GG150" s="94"/>
    </row>
    <row r="151" spans="1:189" s="63" customFormat="1">
      <c r="A151" s="95"/>
      <c r="B151" s="351"/>
      <c r="C151" s="339"/>
      <c r="D151" s="339"/>
      <c r="E151" s="339"/>
      <c r="F151" s="339"/>
      <c r="G151" s="339"/>
      <c r="H151" s="339"/>
      <c r="I151" s="352"/>
      <c r="J151" s="340"/>
      <c r="K151" s="340"/>
      <c r="L151" s="352"/>
      <c r="M151" s="352"/>
      <c r="N151" s="352"/>
      <c r="O151" s="352"/>
      <c r="P151" s="352"/>
      <c r="Q151" s="352"/>
      <c r="R151" s="352"/>
      <c r="S151" s="352"/>
      <c r="T151" s="352"/>
      <c r="U151" s="352"/>
      <c r="V151" s="340"/>
      <c r="W151" s="340"/>
      <c r="X151" s="340"/>
      <c r="Y151" s="340"/>
      <c r="Z151" s="340"/>
      <c r="AA151" s="340"/>
      <c r="AB151" s="340"/>
      <c r="AC151" s="340"/>
      <c r="AD151" s="340"/>
      <c r="AE151" s="340"/>
      <c r="AF151" s="340"/>
      <c r="AG151" s="340"/>
      <c r="AH151" s="340"/>
      <c r="AI151" s="340"/>
      <c r="AJ151" s="340"/>
      <c r="AK151" s="340"/>
      <c r="AL151" s="340"/>
      <c r="AM151" s="340"/>
      <c r="AN151" s="344"/>
      <c r="AO151" s="346"/>
      <c r="AP151" s="340"/>
      <c r="AQ151" s="340"/>
      <c r="AR151" s="340"/>
      <c r="AS151" s="340"/>
      <c r="AT151" s="340"/>
      <c r="AU151" s="340"/>
      <c r="AV151" s="340"/>
      <c r="AW151" s="340"/>
      <c r="AX151" s="340"/>
      <c r="AY151" s="340"/>
      <c r="AZ151" s="340"/>
      <c r="BA151" s="340"/>
      <c r="BB151" s="340"/>
      <c r="BC151" s="340"/>
      <c r="BD151" s="340"/>
      <c r="BE151" s="340"/>
      <c r="BF151" s="340"/>
      <c r="BG151" s="340"/>
      <c r="BH151" s="340"/>
      <c r="BI151" s="340"/>
      <c r="BJ151" s="340"/>
      <c r="BK151" s="340"/>
      <c r="BL151" s="340"/>
      <c r="BM151" s="340"/>
      <c r="BN151" s="340"/>
      <c r="BO151" s="340"/>
      <c r="BP151" s="340"/>
      <c r="BQ151" s="340"/>
      <c r="BR151" s="340"/>
      <c r="BS151" s="340"/>
      <c r="BT151" s="340"/>
      <c r="BU151" s="340"/>
      <c r="BV151" s="340"/>
      <c r="BW151" s="340"/>
      <c r="BX151" s="340"/>
      <c r="BY151" s="340"/>
      <c r="BZ151" s="340"/>
      <c r="CA151" s="340"/>
      <c r="CB151" s="340"/>
      <c r="CC151" s="340"/>
      <c r="CD151" s="340"/>
      <c r="CE151" s="340"/>
      <c r="CF151" s="346"/>
      <c r="CG151" s="340"/>
      <c r="CH151" s="346"/>
      <c r="CI151" s="346"/>
      <c r="CJ151" s="346"/>
      <c r="CK151" s="346"/>
      <c r="CL151" s="340"/>
      <c r="CM151" s="340"/>
      <c r="CN151" s="340"/>
      <c r="CO151" s="340"/>
      <c r="CP151" s="340"/>
      <c r="CQ151" s="340"/>
      <c r="CR151" s="340"/>
      <c r="CS151" s="260"/>
      <c r="CT151" s="260"/>
      <c r="CU151" s="260"/>
      <c r="CV151" s="260"/>
      <c r="CW151" s="260"/>
      <c r="CX151" s="260"/>
      <c r="CY151" s="260"/>
      <c r="CZ151" s="260"/>
      <c r="DA151" s="260"/>
      <c r="DB151" s="260"/>
      <c r="DC151" s="260"/>
      <c r="DD151" s="260"/>
      <c r="DE151" s="260"/>
      <c r="DF151" s="260"/>
      <c r="DG151" s="260"/>
      <c r="DH151" s="260"/>
      <c r="DI151" s="260"/>
      <c r="DJ151" s="347"/>
      <c r="DK151" s="347"/>
      <c r="DL151" s="347"/>
      <c r="DM151" s="347"/>
      <c r="DN151" s="353"/>
      <c r="DO151" s="348"/>
      <c r="DP151" s="348"/>
      <c r="DQ151" s="348"/>
      <c r="DR151" s="348"/>
      <c r="DS151" s="348"/>
      <c r="DT151" s="348"/>
      <c r="DU151" s="348"/>
      <c r="DV151" s="348"/>
      <c r="DW151" s="348"/>
      <c r="DX151" s="348"/>
      <c r="DY151" s="348"/>
      <c r="DZ151" s="348"/>
      <c r="EA151" s="348"/>
      <c r="EB151" s="349"/>
      <c r="EC151" s="349"/>
      <c r="ED151" s="349"/>
      <c r="EE151" s="349"/>
      <c r="EF151" s="349"/>
      <c r="EG151" s="349"/>
      <c r="EH151" s="349"/>
      <c r="EI151" s="349"/>
      <c r="EJ151" s="349"/>
      <c r="EK151" s="341"/>
      <c r="EL151" s="339"/>
      <c r="EM151" s="339"/>
      <c r="EN151" s="339"/>
      <c r="EO151" s="341"/>
      <c r="EP151" s="339"/>
      <c r="EQ151" s="339"/>
      <c r="ER151" s="339"/>
      <c r="ES151" s="350"/>
      <c r="ET151" s="350"/>
      <c r="EU151" s="350"/>
      <c r="EV151" s="350"/>
      <c r="EW151" s="350"/>
      <c r="EX151" s="350"/>
      <c r="EY151" s="350"/>
      <c r="EZ151" s="345"/>
      <c r="FA151" s="339"/>
      <c r="FB151" s="339"/>
      <c r="FC151" s="339"/>
      <c r="GA151" s="94"/>
      <c r="GB151" s="94"/>
      <c r="GC151" s="94"/>
      <c r="GD151" s="94"/>
      <c r="GE151" s="94"/>
      <c r="GF151" s="94"/>
      <c r="GG151" s="94"/>
    </row>
    <row r="152" spans="1:189" s="63" customFormat="1">
      <c r="A152" s="95"/>
      <c r="B152" s="351"/>
      <c r="C152" s="339"/>
      <c r="D152" s="339"/>
      <c r="E152" s="339"/>
      <c r="F152" s="339"/>
      <c r="G152" s="339"/>
      <c r="H152" s="339"/>
      <c r="I152" s="352"/>
      <c r="J152" s="340"/>
      <c r="K152" s="340"/>
      <c r="L152" s="352"/>
      <c r="M152" s="352"/>
      <c r="N152" s="352"/>
      <c r="O152" s="352"/>
      <c r="P152" s="352"/>
      <c r="Q152" s="352"/>
      <c r="R152" s="352"/>
      <c r="S152" s="352"/>
      <c r="T152" s="352"/>
      <c r="U152" s="352"/>
      <c r="V152" s="340"/>
      <c r="W152" s="340"/>
      <c r="X152" s="340"/>
      <c r="Y152" s="340"/>
      <c r="Z152" s="340"/>
      <c r="AA152" s="340"/>
      <c r="AB152" s="340"/>
      <c r="AC152" s="340"/>
      <c r="AD152" s="340"/>
      <c r="AE152" s="340"/>
      <c r="AF152" s="340"/>
      <c r="AG152" s="340"/>
      <c r="AH152" s="340"/>
      <c r="AI152" s="340"/>
      <c r="AJ152" s="340"/>
      <c r="AK152" s="340"/>
      <c r="AL152" s="340"/>
      <c r="AM152" s="340"/>
      <c r="AN152" s="344"/>
      <c r="AO152" s="346"/>
      <c r="AP152" s="340"/>
      <c r="AQ152" s="340"/>
      <c r="AR152" s="340"/>
      <c r="AS152" s="340"/>
      <c r="AT152" s="340"/>
      <c r="AU152" s="340"/>
      <c r="AV152" s="340"/>
      <c r="AW152" s="340"/>
      <c r="AX152" s="340"/>
      <c r="AY152" s="340"/>
      <c r="AZ152" s="340"/>
      <c r="BA152" s="340"/>
      <c r="BB152" s="340"/>
      <c r="BC152" s="340"/>
      <c r="BD152" s="340"/>
      <c r="BE152" s="340"/>
      <c r="BF152" s="340"/>
      <c r="BG152" s="340"/>
      <c r="BH152" s="340"/>
      <c r="BI152" s="340"/>
      <c r="BJ152" s="340"/>
      <c r="BK152" s="340"/>
      <c r="BL152" s="340"/>
      <c r="BM152" s="340"/>
      <c r="BN152" s="340"/>
      <c r="BO152" s="340"/>
      <c r="BP152" s="340"/>
      <c r="BQ152" s="340"/>
      <c r="BR152" s="340"/>
      <c r="BS152" s="340"/>
      <c r="BT152" s="340"/>
      <c r="BU152" s="340"/>
      <c r="BV152" s="340"/>
      <c r="BW152" s="340"/>
      <c r="BX152" s="340"/>
      <c r="BY152" s="340"/>
      <c r="BZ152" s="340"/>
      <c r="CA152" s="340"/>
      <c r="CB152" s="340"/>
      <c r="CC152" s="340"/>
      <c r="CD152" s="340"/>
      <c r="CE152" s="340"/>
      <c r="CF152" s="346"/>
      <c r="CG152" s="340"/>
      <c r="CH152" s="346"/>
      <c r="CI152" s="346"/>
      <c r="CJ152" s="346"/>
      <c r="CK152" s="346"/>
      <c r="CL152" s="340"/>
      <c r="CM152" s="340"/>
      <c r="CN152" s="340"/>
      <c r="CO152" s="340"/>
      <c r="CP152" s="340"/>
      <c r="CQ152" s="340"/>
      <c r="CR152" s="340"/>
      <c r="CS152" s="260"/>
      <c r="CT152" s="260"/>
      <c r="CU152" s="260"/>
      <c r="CV152" s="260"/>
      <c r="CW152" s="260"/>
      <c r="CX152" s="260"/>
      <c r="CY152" s="260"/>
      <c r="CZ152" s="260"/>
      <c r="DA152" s="260"/>
      <c r="DB152" s="260"/>
      <c r="DC152" s="260"/>
      <c r="DD152" s="260"/>
      <c r="DE152" s="260"/>
      <c r="DF152" s="260"/>
      <c r="DG152" s="260"/>
      <c r="DH152" s="260"/>
      <c r="DI152" s="260"/>
      <c r="DJ152" s="347"/>
      <c r="DK152" s="347"/>
      <c r="DL152" s="347"/>
      <c r="DM152" s="347"/>
      <c r="DN152" s="353"/>
      <c r="DO152" s="348"/>
      <c r="DP152" s="348"/>
      <c r="DQ152" s="348"/>
      <c r="DR152" s="348"/>
      <c r="DS152" s="348"/>
      <c r="DT152" s="348"/>
      <c r="DU152" s="348"/>
      <c r="DV152" s="348"/>
      <c r="DW152" s="348"/>
      <c r="DX152" s="348"/>
      <c r="DY152" s="348"/>
      <c r="DZ152" s="348"/>
      <c r="EA152" s="348"/>
      <c r="EB152" s="349"/>
      <c r="EC152" s="349"/>
      <c r="ED152" s="349"/>
      <c r="EE152" s="349"/>
      <c r="EF152" s="349"/>
      <c r="EG152" s="349"/>
      <c r="EH152" s="349"/>
      <c r="EI152" s="349"/>
      <c r="EJ152" s="349"/>
      <c r="EK152" s="341"/>
      <c r="EL152" s="339"/>
      <c r="EM152" s="339"/>
      <c r="EN152" s="339"/>
      <c r="EO152" s="341"/>
      <c r="EP152" s="339"/>
      <c r="EQ152" s="339"/>
      <c r="ER152" s="339"/>
      <c r="ES152" s="350"/>
      <c r="ET152" s="350"/>
      <c r="EU152" s="350"/>
      <c r="EV152" s="350"/>
      <c r="EW152" s="350"/>
      <c r="EX152" s="350"/>
      <c r="EY152" s="350"/>
      <c r="EZ152" s="345"/>
      <c r="FA152" s="339"/>
      <c r="FB152" s="339"/>
      <c r="FC152" s="339"/>
      <c r="GA152" s="94"/>
      <c r="GB152" s="94"/>
      <c r="GC152" s="94"/>
      <c r="GD152" s="94"/>
      <c r="GE152" s="94"/>
      <c r="GF152" s="94"/>
      <c r="GG152" s="94"/>
    </row>
    <row r="153" spans="1:189" s="63" customFormat="1">
      <c r="A153" s="95"/>
      <c r="B153" s="351"/>
      <c r="C153" s="339"/>
      <c r="D153" s="339"/>
      <c r="E153" s="339"/>
      <c r="F153" s="339"/>
      <c r="G153" s="339"/>
      <c r="H153" s="339"/>
      <c r="I153" s="352"/>
      <c r="J153" s="340"/>
      <c r="K153" s="340"/>
      <c r="L153" s="352"/>
      <c r="M153" s="352"/>
      <c r="N153" s="352"/>
      <c r="O153" s="352"/>
      <c r="P153" s="352"/>
      <c r="Q153" s="352"/>
      <c r="R153" s="352"/>
      <c r="S153" s="352"/>
      <c r="T153" s="352"/>
      <c r="U153" s="352"/>
      <c r="V153" s="340"/>
      <c r="W153" s="340"/>
      <c r="X153" s="340"/>
      <c r="Y153" s="340"/>
      <c r="Z153" s="340"/>
      <c r="AA153" s="340"/>
      <c r="AB153" s="340"/>
      <c r="AC153" s="340"/>
      <c r="AD153" s="340"/>
      <c r="AE153" s="340"/>
      <c r="AF153" s="340"/>
      <c r="AG153" s="340"/>
      <c r="AH153" s="340"/>
      <c r="AI153" s="340"/>
      <c r="AJ153" s="340"/>
      <c r="AK153" s="340"/>
      <c r="AL153" s="340"/>
      <c r="AM153" s="340"/>
      <c r="AN153" s="344"/>
      <c r="AO153" s="346"/>
      <c r="AP153" s="340"/>
      <c r="AQ153" s="340"/>
      <c r="AR153" s="340"/>
      <c r="AS153" s="340"/>
      <c r="AT153" s="340"/>
      <c r="AU153" s="340"/>
      <c r="AV153" s="340"/>
      <c r="AW153" s="340"/>
      <c r="AX153" s="340"/>
      <c r="AY153" s="340"/>
      <c r="AZ153" s="340"/>
      <c r="BA153" s="340"/>
      <c r="BB153" s="340"/>
      <c r="BC153" s="340"/>
      <c r="BD153" s="340"/>
      <c r="BE153" s="340"/>
      <c r="BF153" s="340"/>
      <c r="BG153" s="340"/>
      <c r="BH153" s="340"/>
      <c r="BI153" s="340"/>
      <c r="BJ153" s="340"/>
      <c r="BK153" s="340"/>
      <c r="BL153" s="340"/>
      <c r="BM153" s="340"/>
      <c r="BN153" s="340"/>
      <c r="BO153" s="340"/>
      <c r="BP153" s="340"/>
      <c r="BQ153" s="340"/>
      <c r="BR153" s="340"/>
      <c r="BS153" s="340"/>
      <c r="BT153" s="340"/>
      <c r="BU153" s="340"/>
      <c r="BV153" s="340"/>
      <c r="BW153" s="340"/>
      <c r="BX153" s="340"/>
      <c r="BY153" s="340"/>
      <c r="BZ153" s="340"/>
      <c r="CA153" s="340"/>
      <c r="CB153" s="340"/>
      <c r="CC153" s="340"/>
      <c r="CD153" s="340"/>
      <c r="CE153" s="340"/>
      <c r="CF153" s="346"/>
      <c r="CG153" s="340"/>
      <c r="CH153" s="346"/>
      <c r="CI153" s="346"/>
      <c r="CJ153" s="346"/>
      <c r="CK153" s="346"/>
      <c r="CL153" s="340"/>
      <c r="CM153" s="340"/>
      <c r="CN153" s="340"/>
      <c r="CO153" s="340"/>
      <c r="CP153" s="340"/>
      <c r="CQ153" s="340"/>
      <c r="CR153" s="340"/>
      <c r="CS153" s="260"/>
      <c r="CT153" s="260"/>
      <c r="CU153" s="260"/>
      <c r="CV153" s="260"/>
      <c r="CW153" s="260"/>
      <c r="CX153" s="260"/>
      <c r="CY153" s="260"/>
      <c r="CZ153" s="260"/>
      <c r="DA153" s="260"/>
      <c r="DB153" s="260"/>
      <c r="DC153" s="260"/>
      <c r="DD153" s="260"/>
      <c r="DE153" s="260"/>
      <c r="DF153" s="260"/>
      <c r="DG153" s="260"/>
      <c r="DH153" s="260"/>
      <c r="DI153" s="260"/>
      <c r="DJ153" s="347"/>
      <c r="DK153" s="347"/>
      <c r="DL153" s="347"/>
      <c r="DM153" s="347"/>
      <c r="DN153" s="353"/>
      <c r="DO153" s="348"/>
      <c r="DP153" s="348"/>
      <c r="DQ153" s="348"/>
      <c r="DR153" s="348"/>
      <c r="DS153" s="348"/>
      <c r="DT153" s="348"/>
      <c r="DU153" s="348"/>
      <c r="DV153" s="348"/>
      <c r="DW153" s="348"/>
      <c r="DX153" s="348"/>
      <c r="DY153" s="348"/>
      <c r="DZ153" s="348"/>
      <c r="EA153" s="348"/>
      <c r="EB153" s="349"/>
      <c r="EC153" s="349"/>
      <c r="ED153" s="349"/>
      <c r="EE153" s="349"/>
      <c r="EF153" s="349"/>
      <c r="EG153" s="349"/>
      <c r="EH153" s="349"/>
      <c r="EI153" s="349"/>
      <c r="EJ153" s="349"/>
      <c r="EK153" s="341"/>
      <c r="EL153" s="339"/>
      <c r="EM153" s="339"/>
      <c r="EN153" s="339"/>
      <c r="EO153" s="341"/>
      <c r="EP153" s="339"/>
      <c r="EQ153" s="339"/>
      <c r="ER153" s="339"/>
      <c r="ES153" s="350"/>
      <c r="ET153" s="350"/>
      <c r="EU153" s="350"/>
      <c r="EV153" s="350"/>
      <c r="EW153" s="350"/>
      <c r="EX153" s="350"/>
      <c r="EY153" s="350"/>
      <c r="EZ153" s="345"/>
      <c r="FA153" s="339"/>
      <c r="FB153" s="339"/>
      <c r="FC153" s="339"/>
      <c r="GA153" s="94"/>
      <c r="GB153" s="94"/>
      <c r="GC153" s="94"/>
      <c r="GD153" s="94"/>
      <c r="GE153" s="94"/>
      <c r="GF153" s="94"/>
      <c r="GG153" s="94"/>
    </row>
    <row r="154" spans="1:189" s="63" customFormat="1">
      <c r="A154" s="95"/>
      <c r="B154" s="351"/>
      <c r="C154" s="339"/>
      <c r="D154" s="339"/>
      <c r="E154" s="339"/>
      <c r="F154" s="339"/>
      <c r="G154" s="339"/>
      <c r="H154" s="339"/>
      <c r="I154" s="352"/>
      <c r="J154" s="340"/>
      <c r="K154" s="340"/>
      <c r="L154" s="352"/>
      <c r="M154" s="352"/>
      <c r="N154" s="352"/>
      <c r="O154" s="352"/>
      <c r="P154" s="352"/>
      <c r="Q154" s="352"/>
      <c r="R154" s="352"/>
      <c r="S154" s="352"/>
      <c r="T154" s="352"/>
      <c r="U154" s="352"/>
      <c r="V154" s="340"/>
      <c r="W154" s="340"/>
      <c r="X154" s="340"/>
      <c r="Y154" s="340"/>
      <c r="Z154" s="340"/>
      <c r="AA154" s="340"/>
      <c r="AB154" s="340"/>
      <c r="AC154" s="340"/>
      <c r="AD154" s="340"/>
      <c r="AE154" s="340"/>
      <c r="AF154" s="340"/>
      <c r="AG154" s="340"/>
      <c r="AH154" s="340"/>
      <c r="AI154" s="340"/>
      <c r="AJ154" s="340"/>
      <c r="AK154" s="340"/>
      <c r="AL154" s="340"/>
      <c r="AM154" s="340"/>
      <c r="AN154" s="344"/>
      <c r="AO154" s="346"/>
      <c r="AP154" s="340"/>
      <c r="AQ154" s="340"/>
      <c r="AR154" s="340"/>
      <c r="AS154" s="340"/>
      <c r="AT154" s="340"/>
      <c r="AU154" s="340"/>
      <c r="AV154" s="340"/>
      <c r="AW154" s="340"/>
      <c r="AX154" s="340"/>
      <c r="AY154" s="340"/>
      <c r="AZ154" s="340"/>
      <c r="BA154" s="340"/>
      <c r="BB154" s="340"/>
      <c r="BC154" s="340"/>
      <c r="BD154" s="340"/>
      <c r="BE154" s="340"/>
      <c r="BF154" s="340"/>
      <c r="BG154" s="340"/>
      <c r="BH154" s="340"/>
      <c r="BI154" s="340"/>
      <c r="BJ154" s="340"/>
      <c r="BK154" s="340"/>
      <c r="BL154" s="340"/>
      <c r="BM154" s="340"/>
      <c r="BN154" s="340"/>
      <c r="BO154" s="340"/>
      <c r="BP154" s="340"/>
      <c r="BQ154" s="340"/>
      <c r="BR154" s="340"/>
      <c r="BS154" s="340"/>
      <c r="BT154" s="340"/>
      <c r="BU154" s="340"/>
      <c r="BV154" s="340"/>
      <c r="BW154" s="340"/>
      <c r="BX154" s="340"/>
      <c r="BY154" s="340"/>
      <c r="BZ154" s="340"/>
      <c r="CA154" s="340"/>
      <c r="CB154" s="340"/>
      <c r="CC154" s="340"/>
      <c r="CD154" s="340"/>
      <c r="CE154" s="340"/>
      <c r="CF154" s="346"/>
      <c r="CG154" s="340"/>
      <c r="CH154" s="346"/>
      <c r="CI154" s="346"/>
      <c r="CJ154" s="346"/>
      <c r="CK154" s="346"/>
      <c r="CL154" s="340"/>
      <c r="CM154" s="340"/>
      <c r="CN154" s="340"/>
      <c r="CO154" s="340"/>
      <c r="CP154" s="340"/>
      <c r="CQ154" s="340"/>
      <c r="CR154" s="340"/>
      <c r="CS154" s="260"/>
      <c r="CT154" s="260"/>
      <c r="CU154" s="260"/>
      <c r="CV154" s="260"/>
      <c r="CW154" s="260"/>
      <c r="CX154" s="260"/>
      <c r="CY154" s="260"/>
      <c r="CZ154" s="260"/>
      <c r="DA154" s="260"/>
      <c r="DB154" s="260"/>
      <c r="DC154" s="260"/>
      <c r="DD154" s="260"/>
      <c r="DE154" s="260"/>
      <c r="DF154" s="260"/>
      <c r="DG154" s="260"/>
      <c r="DH154" s="260"/>
      <c r="DI154" s="260"/>
      <c r="DJ154" s="347"/>
      <c r="DK154" s="347"/>
      <c r="DL154" s="347"/>
      <c r="DM154" s="347"/>
      <c r="DN154" s="353"/>
      <c r="DO154" s="348"/>
      <c r="DP154" s="348"/>
      <c r="DQ154" s="348"/>
      <c r="DR154" s="348"/>
      <c r="DS154" s="348"/>
      <c r="DT154" s="348"/>
      <c r="DU154" s="348"/>
      <c r="DV154" s="348"/>
      <c r="DW154" s="348"/>
      <c r="DX154" s="348"/>
      <c r="DY154" s="348"/>
      <c r="DZ154" s="348"/>
      <c r="EA154" s="348"/>
      <c r="EB154" s="349"/>
      <c r="EC154" s="349"/>
      <c r="ED154" s="349"/>
      <c r="EE154" s="349"/>
      <c r="EF154" s="349"/>
      <c r="EG154" s="349"/>
      <c r="EH154" s="349"/>
      <c r="EI154" s="349"/>
      <c r="EJ154" s="349"/>
      <c r="EK154" s="341"/>
      <c r="EL154" s="339"/>
      <c r="EM154" s="339"/>
      <c r="EN154" s="339"/>
      <c r="EO154" s="341"/>
      <c r="EP154" s="339"/>
      <c r="EQ154" s="339"/>
      <c r="ER154" s="339"/>
      <c r="ES154" s="350"/>
      <c r="ET154" s="350"/>
      <c r="EU154" s="350"/>
      <c r="EV154" s="350"/>
      <c r="EW154" s="350"/>
      <c r="EX154" s="350"/>
      <c r="EY154" s="350"/>
      <c r="EZ154" s="345"/>
      <c r="FA154" s="339"/>
      <c r="FB154" s="339"/>
      <c r="FC154" s="339"/>
      <c r="GA154" s="94"/>
      <c r="GB154" s="94"/>
      <c r="GC154" s="94"/>
      <c r="GD154" s="94"/>
      <c r="GE154" s="94"/>
      <c r="GF154" s="94"/>
      <c r="GG154" s="94"/>
    </row>
    <row r="155" spans="1:189" s="63" customFormat="1">
      <c r="A155" s="95"/>
      <c r="B155" s="351"/>
      <c r="C155" s="339"/>
      <c r="D155" s="339"/>
      <c r="E155" s="339"/>
      <c r="F155" s="339"/>
      <c r="G155" s="339"/>
      <c r="H155" s="339"/>
      <c r="I155" s="352"/>
      <c r="J155" s="340"/>
      <c r="K155" s="340"/>
      <c r="L155" s="352"/>
      <c r="M155" s="352"/>
      <c r="N155" s="352"/>
      <c r="O155" s="352"/>
      <c r="P155" s="352"/>
      <c r="Q155" s="352"/>
      <c r="R155" s="352"/>
      <c r="S155" s="352"/>
      <c r="T155" s="352"/>
      <c r="U155" s="352"/>
      <c r="V155" s="340"/>
      <c r="W155" s="340"/>
      <c r="X155" s="340"/>
      <c r="Y155" s="340"/>
      <c r="Z155" s="340"/>
      <c r="AA155" s="340"/>
      <c r="AB155" s="340"/>
      <c r="AC155" s="340"/>
      <c r="AD155" s="340"/>
      <c r="AE155" s="340"/>
      <c r="AF155" s="340"/>
      <c r="AG155" s="340"/>
      <c r="AH155" s="340"/>
      <c r="AI155" s="340"/>
      <c r="AJ155" s="340"/>
      <c r="AK155" s="340"/>
      <c r="AL155" s="340"/>
      <c r="AM155" s="340"/>
      <c r="AN155" s="344"/>
      <c r="AO155" s="346"/>
      <c r="AP155" s="340"/>
      <c r="AQ155" s="340"/>
      <c r="AR155" s="340"/>
      <c r="AS155" s="340"/>
      <c r="AT155" s="340"/>
      <c r="AU155" s="340"/>
      <c r="AV155" s="340"/>
      <c r="AW155" s="340"/>
      <c r="AX155" s="340"/>
      <c r="AY155" s="340"/>
      <c r="AZ155" s="340"/>
      <c r="BA155" s="340"/>
      <c r="BB155" s="340"/>
      <c r="BC155" s="340"/>
      <c r="BD155" s="340"/>
      <c r="BE155" s="340"/>
      <c r="BF155" s="340"/>
      <c r="BG155" s="340"/>
      <c r="BH155" s="340"/>
      <c r="BI155" s="340"/>
      <c r="BJ155" s="340"/>
      <c r="BK155" s="340"/>
      <c r="BL155" s="340"/>
      <c r="BM155" s="340"/>
      <c r="BN155" s="340"/>
      <c r="BO155" s="340"/>
      <c r="BP155" s="340"/>
      <c r="BQ155" s="340"/>
      <c r="BR155" s="340"/>
      <c r="BS155" s="340"/>
      <c r="BT155" s="340"/>
      <c r="BU155" s="340"/>
      <c r="BV155" s="340"/>
      <c r="BW155" s="340"/>
      <c r="BX155" s="340"/>
      <c r="BY155" s="340"/>
      <c r="BZ155" s="340"/>
      <c r="CA155" s="340"/>
      <c r="CB155" s="340"/>
      <c r="CC155" s="340"/>
      <c r="CD155" s="340"/>
      <c r="CE155" s="340"/>
      <c r="CF155" s="346"/>
      <c r="CG155" s="340"/>
      <c r="CH155" s="346"/>
      <c r="CI155" s="346"/>
      <c r="CJ155" s="346"/>
      <c r="CK155" s="346"/>
      <c r="CL155" s="340"/>
      <c r="CM155" s="340"/>
      <c r="CN155" s="340"/>
      <c r="CO155" s="340"/>
      <c r="CP155" s="340"/>
      <c r="CQ155" s="340"/>
      <c r="CR155" s="340"/>
      <c r="CS155" s="260"/>
      <c r="CT155" s="260"/>
      <c r="CU155" s="260"/>
      <c r="CV155" s="260"/>
      <c r="CW155" s="260"/>
      <c r="CX155" s="260"/>
      <c r="CY155" s="260"/>
      <c r="CZ155" s="260"/>
      <c r="DA155" s="260"/>
      <c r="DB155" s="260"/>
      <c r="DC155" s="260"/>
      <c r="DD155" s="260"/>
      <c r="DE155" s="260"/>
      <c r="DF155" s="260"/>
      <c r="DG155" s="260"/>
      <c r="DH155" s="260"/>
      <c r="DI155" s="260"/>
      <c r="DJ155" s="347"/>
      <c r="DK155" s="347"/>
      <c r="DL155" s="347"/>
      <c r="DM155" s="347"/>
      <c r="DN155" s="353"/>
      <c r="DO155" s="348"/>
      <c r="DP155" s="348"/>
      <c r="DQ155" s="348"/>
      <c r="DR155" s="348"/>
      <c r="DS155" s="348"/>
      <c r="DT155" s="348"/>
      <c r="DU155" s="348"/>
      <c r="DV155" s="348"/>
      <c r="DW155" s="348"/>
      <c r="DX155" s="348"/>
      <c r="DY155" s="348"/>
      <c r="DZ155" s="348"/>
      <c r="EA155" s="348"/>
      <c r="EB155" s="349"/>
      <c r="EC155" s="349"/>
      <c r="ED155" s="349"/>
      <c r="EE155" s="349"/>
      <c r="EF155" s="349"/>
      <c r="EG155" s="349"/>
      <c r="EH155" s="349"/>
      <c r="EI155" s="349"/>
      <c r="EJ155" s="349"/>
      <c r="EK155" s="341"/>
      <c r="EL155" s="339"/>
      <c r="EM155" s="339"/>
      <c r="EN155" s="339"/>
      <c r="EO155" s="341"/>
      <c r="EP155" s="339"/>
      <c r="EQ155" s="339"/>
      <c r="ER155" s="339"/>
      <c r="ES155" s="350"/>
      <c r="ET155" s="350"/>
      <c r="EU155" s="350"/>
      <c r="EV155" s="350"/>
      <c r="EW155" s="350"/>
      <c r="EX155" s="350"/>
      <c r="EY155" s="350"/>
      <c r="EZ155" s="345"/>
      <c r="FA155" s="339"/>
      <c r="FB155" s="339"/>
      <c r="FC155" s="339"/>
      <c r="GA155" s="94"/>
      <c r="GB155" s="94"/>
      <c r="GC155" s="94"/>
      <c r="GD155" s="94"/>
      <c r="GE155" s="94"/>
      <c r="GF155" s="94"/>
      <c r="GG155" s="94"/>
    </row>
    <row r="156" spans="1:189" s="63" customFormat="1">
      <c r="A156" s="95"/>
      <c r="B156" s="351"/>
      <c r="C156" s="339"/>
      <c r="D156" s="339"/>
      <c r="E156" s="339"/>
      <c r="F156" s="339"/>
      <c r="G156" s="339"/>
      <c r="H156" s="339"/>
      <c r="I156" s="352"/>
      <c r="J156" s="340"/>
      <c r="K156" s="340"/>
      <c r="L156" s="352"/>
      <c r="M156" s="352"/>
      <c r="N156" s="352"/>
      <c r="O156" s="352"/>
      <c r="P156" s="352"/>
      <c r="Q156" s="352"/>
      <c r="R156" s="352"/>
      <c r="S156" s="352"/>
      <c r="T156" s="352"/>
      <c r="U156" s="352"/>
      <c r="V156" s="340"/>
      <c r="W156" s="340"/>
      <c r="X156" s="340"/>
      <c r="Y156" s="340"/>
      <c r="Z156" s="340"/>
      <c r="AA156" s="340"/>
      <c r="AB156" s="340"/>
      <c r="AC156" s="340"/>
      <c r="AD156" s="340"/>
      <c r="AE156" s="340"/>
      <c r="AF156" s="340"/>
      <c r="AG156" s="340"/>
      <c r="AH156" s="340"/>
      <c r="AI156" s="340"/>
      <c r="AJ156" s="340"/>
      <c r="AK156" s="340"/>
      <c r="AL156" s="340"/>
      <c r="AM156" s="340"/>
      <c r="AN156" s="344"/>
      <c r="AO156" s="346"/>
      <c r="AP156" s="340"/>
      <c r="AQ156" s="340"/>
      <c r="AR156" s="340"/>
      <c r="AS156" s="340"/>
      <c r="AT156" s="340"/>
      <c r="AU156" s="340"/>
      <c r="AV156" s="340"/>
      <c r="AW156" s="340"/>
      <c r="AX156" s="340"/>
      <c r="AY156" s="340"/>
      <c r="AZ156" s="340"/>
      <c r="BA156" s="340"/>
      <c r="BB156" s="340"/>
      <c r="BC156" s="340"/>
      <c r="BD156" s="340"/>
      <c r="BE156" s="340"/>
      <c r="BF156" s="340"/>
      <c r="BG156" s="340"/>
      <c r="BH156" s="340"/>
      <c r="BI156" s="340"/>
      <c r="BJ156" s="340"/>
      <c r="BK156" s="340"/>
      <c r="BL156" s="340"/>
      <c r="BM156" s="340"/>
      <c r="BN156" s="340"/>
      <c r="BO156" s="340"/>
      <c r="BP156" s="340"/>
      <c r="BQ156" s="340"/>
      <c r="BR156" s="340"/>
      <c r="BS156" s="340"/>
      <c r="BT156" s="340"/>
      <c r="BU156" s="340"/>
      <c r="BV156" s="340"/>
      <c r="BW156" s="340"/>
      <c r="BX156" s="340"/>
      <c r="BY156" s="340"/>
      <c r="BZ156" s="340"/>
      <c r="CA156" s="340"/>
      <c r="CB156" s="340"/>
      <c r="CC156" s="340"/>
      <c r="CD156" s="340"/>
      <c r="CE156" s="340"/>
      <c r="CF156" s="346"/>
      <c r="CG156" s="340"/>
      <c r="CH156" s="346"/>
      <c r="CI156" s="346"/>
      <c r="CJ156" s="346"/>
      <c r="CK156" s="346"/>
      <c r="CL156" s="340"/>
      <c r="CM156" s="340"/>
      <c r="CN156" s="340"/>
      <c r="CO156" s="340"/>
      <c r="CP156" s="340"/>
      <c r="CQ156" s="340"/>
      <c r="CR156" s="340"/>
      <c r="CS156" s="260"/>
      <c r="CT156" s="260"/>
      <c r="CU156" s="260"/>
      <c r="CV156" s="260"/>
      <c r="CW156" s="260"/>
      <c r="CX156" s="260"/>
      <c r="CY156" s="260"/>
      <c r="CZ156" s="260"/>
      <c r="DA156" s="260"/>
      <c r="DB156" s="260"/>
      <c r="DC156" s="260"/>
      <c r="DD156" s="260"/>
      <c r="DE156" s="260"/>
      <c r="DF156" s="260"/>
      <c r="DG156" s="260"/>
      <c r="DH156" s="260"/>
      <c r="DI156" s="260"/>
      <c r="DJ156" s="347"/>
      <c r="DK156" s="347"/>
      <c r="DL156" s="347"/>
      <c r="DM156" s="347"/>
      <c r="DN156" s="353"/>
      <c r="DO156" s="348"/>
      <c r="DP156" s="348"/>
      <c r="DQ156" s="348"/>
      <c r="DR156" s="348"/>
      <c r="DS156" s="348"/>
      <c r="DT156" s="348"/>
      <c r="DU156" s="348"/>
      <c r="DV156" s="348"/>
      <c r="DW156" s="348"/>
      <c r="DX156" s="348"/>
      <c r="DY156" s="348"/>
      <c r="DZ156" s="348"/>
      <c r="EA156" s="348"/>
      <c r="EB156" s="349"/>
      <c r="EC156" s="349"/>
      <c r="ED156" s="349"/>
      <c r="EE156" s="349"/>
      <c r="EF156" s="349"/>
      <c r="EG156" s="349"/>
      <c r="EH156" s="349"/>
      <c r="EI156" s="349"/>
      <c r="EJ156" s="349"/>
      <c r="EK156" s="341"/>
      <c r="EL156" s="339"/>
      <c r="EM156" s="339"/>
      <c r="EN156" s="339"/>
      <c r="EO156" s="341"/>
      <c r="EP156" s="339"/>
      <c r="EQ156" s="339"/>
      <c r="ER156" s="339"/>
      <c r="ES156" s="350"/>
      <c r="ET156" s="350"/>
      <c r="EU156" s="350"/>
      <c r="EV156" s="350"/>
      <c r="EW156" s="350"/>
      <c r="EX156" s="350"/>
      <c r="EY156" s="350"/>
      <c r="EZ156" s="345"/>
      <c r="FA156" s="339"/>
      <c r="FB156" s="339"/>
      <c r="FC156" s="339"/>
      <c r="GA156" s="94"/>
      <c r="GB156" s="94"/>
      <c r="GC156" s="94"/>
      <c r="GD156" s="94"/>
      <c r="GE156" s="94"/>
      <c r="GF156" s="94"/>
      <c r="GG156" s="94"/>
    </row>
    <row r="157" spans="1:189" s="63" customFormat="1">
      <c r="A157" s="95"/>
      <c r="B157" s="351"/>
      <c r="C157" s="339"/>
      <c r="D157" s="339"/>
      <c r="E157" s="339"/>
      <c r="F157" s="339"/>
      <c r="G157" s="339"/>
      <c r="H157" s="339"/>
      <c r="I157" s="352"/>
      <c r="J157" s="340"/>
      <c r="K157" s="340"/>
      <c r="L157" s="352"/>
      <c r="M157" s="352"/>
      <c r="N157" s="352"/>
      <c r="O157" s="352"/>
      <c r="P157" s="352"/>
      <c r="Q157" s="352"/>
      <c r="R157" s="352"/>
      <c r="S157" s="352"/>
      <c r="T157" s="352"/>
      <c r="U157" s="352"/>
      <c r="V157" s="340"/>
      <c r="W157" s="340"/>
      <c r="X157" s="340"/>
      <c r="Y157" s="340"/>
      <c r="Z157" s="340"/>
      <c r="AA157" s="340"/>
      <c r="AB157" s="340"/>
      <c r="AC157" s="340"/>
      <c r="AD157" s="340"/>
      <c r="AE157" s="340"/>
      <c r="AF157" s="340"/>
      <c r="AG157" s="340"/>
      <c r="AH157" s="340"/>
      <c r="AI157" s="340"/>
      <c r="AJ157" s="340"/>
      <c r="AK157" s="340"/>
      <c r="AL157" s="340"/>
      <c r="AM157" s="340"/>
      <c r="AN157" s="344"/>
      <c r="AO157" s="346"/>
      <c r="AP157" s="340"/>
      <c r="AQ157" s="340"/>
      <c r="AR157" s="340"/>
      <c r="AS157" s="340"/>
      <c r="AT157" s="340"/>
      <c r="AU157" s="340"/>
      <c r="AV157" s="340"/>
      <c r="AW157" s="340"/>
      <c r="AX157" s="340"/>
      <c r="AY157" s="340"/>
      <c r="AZ157" s="340"/>
      <c r="BA157" s="340"/>
      <c r="BB157" s="340"/>
      <c r="BC157" s="340"/>
      <c r="BD157" s="340"/>
      <c r="BE157" s="340"/>
      <c r="BF157" s="340"/>
      <c r="BG157" s="340"/>
      <c r="BH157" s="340"/>
      <c r="BI157" s="340"/>
      <c r="BJ157" s="340"/>
      <c r="BK157" s="340"/>
      <c r="BL157" s="340"/>
      <c r="BM157" s="340"/>
      <c r="BN157" s="340"/>
      <c r="BO157" s="340"/>
      <c r="BP157" s="340"/>
      <c r="BQ157" s="340"/>
      <c r="BR157" s="340"/>
      <c r="BS157" s="340"/>
      <c r="BT157" s="340"/>
      <c r="BU157" s="340"/>
      <c r="BV157" s="340"/>
      <c r="BW157" s="340"/>
      <c r="BX157" s="340"/>
      <c r="BY157" s="340"/>
      <c r="BZ157" s="340"/>
      <c r="CA157" s="340"/>
      <c r="CB157" s="340"/>
      <c r="CC157" s="340"/>
      <c r="CD157" s="340"/>
      <c r="CE157" s="340"/>
      <c r="CF157" s="346"/>
      <c r="CG157" s="340"/>
      <c r="CH157" s="346"/>
      <c r="CI157" s="346"/>
      <c r="CJ157" s="346"/>
      <c r="CK157" s="346"/>
      <c r="CL157" s="340"/>
      <c r="CM157" s="340"/>
      <c r="CN157" s="340"/>
      <c r="CO157" s="340"/>
      <c r="CP157" s="340"/>
      <c r="CQ157" s="340"/>
      <c r="CR157" s="340"/>
      <c r="CS157" s="260"/>
      <c r="CT157" s="260"/>
      <c r="CU157" s="260"/>
      <c r="CV157" s="260"/>
      <c r="CW157" s="260"/>
      <c r="CX157" s="260"/>
      <c r="CY157" s="260"/>
      <c r="CZ157" s="260"/>
      <c r="DA157" s="260"/>
      <c r="DB157" s="260"/>
      <c r="DC157" s="260"/>
      <c r="DD157" s="260"/>
      <c r="DE157" s="260"/>
      <c r="DF157" s="260"/>
      <c r="DG157" s="260"/>
      <c r="DH157" s="260"/>
      <c r="DI157" s="260"/>
      <c r="DJ157" s="347"/>
      <c r="DK157" s="347"/>
      <c r="DL157" s="347"/>
      <c r="DM157" s="347"/>
      <c r="DN157" s="353"/>
      <c r="DO157" s="348"/>
      <c r="DP157" s="348"/>
      <c r="DQ157" s="348"/>
      <c r="DR157" s="348"/>
      <c r="DS157" s="348"/>
      <c r="DT157" s="348"/>
      <c r="DU157" s="348"/>
      <c r="DV157" s="348"/>
      <c r="DW157" s="348"/>
      <c r="DX157" s="348"/>
      <c r="DY157" s="348"/>
      <c r="DZ157" s="348"/>
      <c r="EA157" s="348"/>
      <c r="EB157" s="349"/>
      <c r="EC157" s="349"/>
      <c r="ED157" s="349"/>
      <c r="EE157" s="349"/>
      <c r="EF157" s="349"/>
      <c r="EG157" s="349"/>
      <c r="EH157" s="349"/>
      <c r="EI157" s="349"/>
      <c r="EJ157" s="349"/>
      <c r="EK157" s="341"/>
      <c r="EL157" s="339"/>
      <c r="EM157" s="339"/>
      <c r="EN157" s="339"/>
      <c r="EO157" s="341"/>
      <c r="EP157" s="339"/>
      <c r="EQ157" s="339"/>
      <c r="ER157" s="339"/>
      <c r="ES157" s="350"/>
      <c r="ET157" s="350"/>
      <c r="EU157" s="350"/>
      <c r="EV157" s="350"/>
      <c r="EW157" s="350"/>
      <c r="EX157" s="350"/>
      <c r="EY157" s="350"/>
      <c r="EZ157" s="345"/>
      <c r="FA157" s="339"/>
      <c r="FB157" s="339"/>
      <c r="FC157" s="339"/>
      <c r="GA157" s="94"/>
      <c r="GB157" s="94"/>
      <c r="GC157" s="94"/>
      <c r="GD157" s="94"/>
      <c r="GE157" s="94"/>
      <c r="GF157" s="94"/>
      <c r="GG157" s="94"/>
    </row>
    <row r="158" spans="1:189" s="63" customFormat="1">
      <c r="A158" s="95"/>
      <c r="B158" s="351"/>
      <c r="C158" s="339"/>
      <c r="D158" s="339"/>
      <c r="E158" s="339"/>
      <c r="F158" s="339"/>
      <c r="G158" s="339"/>
      <c r="H158" s="339"/>
      <c r="I158" s="352"/>
      <c r="J158" s="340"/>
      <c r="K158" s="340"/>
      <c r="L158" s="352"/>
      <c r="M158" s="352"/>
      <c r="N158" s="352"/>
      <c r="O158" s="352"/>
      <c r="P158" s="352"/>
      <c r="Q158" s="352"/>
      <c r="R158" s="352"/>
      <c r="S158" s="352"/>
      <c r="T158" s="352"/>
      <c r="U158" s="352"/>
      <c r="V158" s="340"/>
      <c r="W158" s="340"/>
      <c r="X158" s="340"/>
      <c r="Y158" s="340"/>
      <c r="Z158" s="340"/>
      <c r="AA158" s="340"/>
      <c r="AB158" s="340"/>
      <c r="AC158" s="340"/>
      <c r="AD158" s="340"/>
      <c r="AE158" s="340"/>
      <c r="AF158" s="340"/>
      <c r="AG158" s="340"/>
      <c r="AH158" s="340"/>
      <c r="AI158" s="340"/>
      <c r="AJ158" s="340"/>
      <c r="AK158" s="340"/>
      <c r="AL158" s="340"/>
      <c r="AM158" s="340"/>
      <c r="AN158" s="344"/>
      <c r="AO158" s="346"/>
      <c r="AP158" s="340"/>
      <c r="AQ158" s="340"/>
      <c r="AR158" s="340"/>
      <c r="AS158" s="340"/>
      <c r="AT158" s="340"/>
      <c r="AU158" s="340"/>
      <c r="AV158" s="340"/>
      <c r="AW158" s="340"/>
      <c r="AX158" s="340"/>
      <c r="AY158" s="340"/>
      <c r="AZ158" s="340"/>
      <c r="BA158" s="340"/>
      <c r="BB158" s="340"/>
      <c r="BC158" s="340"/>
      <c r="BD158" s="340"/>
      <c r="BE158" s="340"/>
      <c r="BF158" s="340"/>
      <c r="BG158" s="340"/>
      <c r="BH158" s="340"/>
      <c r="BI158" s="340"/>
      <c r="BJ158" s="340"/>
      <c r="BK158" s="340"/>
      <c r="BL158" s="340"/>
      <c r="BM158" s="340"/>
      <c r="BN158" s="340"/>
      <c r="BO158" s="340"/>
      <c r="BP158" s="340"/>
      <c r="BQ158" s="340"/>
      <c r="BR158" s="340"/>
      <c r="BS158" s="340"/>
      <c r="BT158" s="340"/>
      <c r="BU158" s="340"/>
      <c r="BV158" s="340"/>
      <c r="BW158" s="340"/>
      <c r="BX158" s="340"/>
      <c r="BY158" s="340"/>
      <c r="BZ158" s="340"/>
      <c r="CA158" s="340"/>
      <c r="CB158" s="340"/>
      <c r="CC158" s="340"/>
      <c r="CD158" s="340"/>
      <c r="CE158" s="340"/>
      <c r="CF158" s="346"/>
      <c r="CG158" s="340"/>
      <c r="CH158" s="346"/>
      <c r="CI158" s="346"/>
      <c r="CJ158" s="346"/>
      <c r="CK158" s="346"/>
      <c r="CL158" s="340"/>
      <c r="CM158" s="340"/>
      <c r="CN158" s="340"/>
      <c r="CO158" s="340"/>
      <c r="CP158" s="340"/>
      <c r="CQ158" s="340"/>
      <c r="CR158" s="340"/>
      <c r="CS158" s="260"/>
      <c r="CT158" s="260"/>
      <c r="CU158" s="260"/>
      <c r="CV158" s="260"/>
      <c r="CW158" s="260"/>
      <c r="CX158" s="260"/>
      <c r="CY158" s="260"/>
      <c r="CZ158" s="260"/>
      <c r="DA158" s="260"/>
      <c r="DB158" s="260"/>
      <c r="DC158" s="260"/>
      <c r="DD158" s="260"/>
      <c r="DE158" s="260"/>
      <c r="DF158" s="260"/>
      <c r="DG158" s="260"/>
      <c r="DH158" s="260"/>
      <c r="DI158" s="260"/>
      <c r="DJ158" s="347"/>
      <c r="DK158" s="347"/>
      <c r="DL158" s="347"/>
      <c r="DM158" s="347"/>
      <c r="DN158" s="353"/>
      <c r="DO158" s="348"/>
      <c r="DP158" s="348"/>
      <c r="DQ158" s="348"/>
      <c r="DR158" s="348"/>
      <c r="DS158" s="348"/>
      <c r="DT158" s="348"/>
      <c r="DU158" s="348"/>
      <c r="DV158" s="348"/>
      <c r="DW158" s="348"/>
      <c r="DX158" s="348"/>
      <c r="DY158" s="348"/>
      <c r="DZ158" s="348"/>
      <c r="EA158" s="348"/>
      <c r="EB158" s="349"/>
      <c r="EC158" s="349"/>
      <c r="ED158" s="349"/>
      <c r="EE158" s="349"/>
      <c r="EF158" s="349"/>
      <c r="EG158" s="349"/>
      <c r="EH158" s="349"/>
      <c r="EI158" s="349"/>
      <c r="EJ158" s="349"/>
      <c r="EK158" s="341"/>
      <c r="EL158" s="339"/>
      <c r="EM158" s="339"/>
      <c r="EN158" s="339"/>
      <c r="EO158" s="341"/>
      <c r="EP158" s="339"/>
      <c r="EQ158" s="339"/>
      <c r="ER158" s="339"/>
      <c r="ES158" s="350"/>
      <c r="ET158" s="350"/>
      <c r="EU158" s="350"/>
      <c r="EV158" s="350"/>
      <c r="EW158" s="350"/>
      <c r="EX158" s="350"/>
      <c r="EY158" s="350"/>
      <c r="EZ158" s="345"/>
      <c r="FA158" s="339"/>
      <c r="FB158" s="339"/>
      <c r="FC158" s="339"/>
      <c r="GA158" s="94"/>
      <c r="GB158" s="94"/>
      <c r="GC158" s="94"/>
      <c r="GD158" s="94"/>
      <c r="GE158" s="94"/>
      <c r="GF158" s="94"/>
      <c r="GG158" s="94"/>
    </row>
    <row r="159" spans="1:189" s="63" customFormat="1">
      <c r="A159" s="95"/>
      <c r="B159" s="351"/>
      <c r="C159" s="339"/>
      <c r="D159" s="339"/>
      <c r="E159" s="339"/>
      <c r="F159" s="339"/>
      <c r="G159" s="339"/>
      <c r="H159" s="339"/>
      <c r="I159" s="352"/>
      <c r="J159" s="340"/>
      <c r="K159" s="340"/>
      <c r="L159" s="352"/>
      <c r="M159" s="352"/>
      <c r="N159" s="352"/>
      <c r="O159" s="352"/>
      <c r="P159" s="352"/>
      <c r="Q159" s="352"/>
      <c r="R159" s="352"/>
      <c r="S159" s="352"/>
      <c r="T159" s="352"/>
      <c r="U159" s="352"/>
      <c r="V159" s="340"/>
      <c r="W159" s="340"/>
      <c r="X159" s="340"/>
      <c r="Y159" s="340"/>
      <c r="Z159" s="340"/>
      <c r="AA159" s="340"/>
      <c r="AB159" s="340"/>
      <c r="AC159" s="340"/>
      <c r="AD159" s="340"/>
      <c r="AE159" s="340"/>
      <c r="AF159" s="340"/>
      <c r="AG159" s="340"/>
      <c r="AH159" s="340"/>
      <c r="AI159" s="340"/>
      <c r="AJ159" s="340"/>
      <c r="AK159" s="340"/>
      <c r="AL159" s="340"/>
      <c r="AM159" s="340"/>
      <c r="AN159" s="344"/>
      <c r="AO159" s="346"/>
      <c r="AP159" s="340"/>
      <c r="AQ159" s="340"/>
      <c r="AR159" s="340"/>
      <c r="AS159" s="340"/>
      <c r="AT159" s="340"/>
      <c r="AU159" s="340"/>
      <c r="AV159" s="340"/>
      <c r="AW159" s="340"/>
      <c r="AX159" s="340"/>
      <c r="AY159" s="340"/>
      <c r="AZ159" s="340"/>
      <c r="BA159" s="340"/>
      <c r="BB159" s="340"/>
      <c r="BC159" s="340"/>
      <c r="BD159" s="340"/>
      <c r="BE159" s="340"/>
      <c r="BF159" s="340"/>
      <c r="BG159" s="340"/>
      <c r="BH159" s="340"/>
      <c r="BI159" s="340"/>
      <c r="BJ159" s="340"/>
      <c r="BK159" s="340"/>
      <c r="BL159" s="340"/>
      <c r="BM159" s="340"/>
      <c r="BN159" s="340"/>
      <c r="BO159" s="340"/>
      <c r="BP159" s="340"/>
      <c r="BQ159" s="340"/>
      <c r="BR159" s="340"/>
      <c r="BS159" s="340"/>
      <c r="BT159" s="340"/>
      <c r="BU159" s="340"/>
      <c r="BV159" s="340"/>
      <c r="BW159" s="340"/>
      <c r="BX159" s="340"/>
      <c r="BY159" s="340"/>
      <c r="BZ159" s="340"/>
      <c r="CA159" s="340"/>
      <c r="CB159" s="340"/>
      <c r="CC159" s="340"/>
      <c r="CD159" s="340"/>
      <c r="CE159" s="340"/>
      <c r="CF159" s="346"/>
      <c r="CG159" s="340"/>
      <c r="CH159" s="346"/>
      <c r="CI159" s="346"/>
      <c r="CJ159" s="346"/>
      <c r="CK159" s="346"/>
      <c r="CL159" s="340"/>
      <c r="CM159" s="340"/>
      <c r="CN159" s="340"/>
      <c r="CO159" s="340"/>
      <c r="CP159" s="340"/>
      <c r="CQ159" s="340"/>
      <c r="CR159" s="340"/>
      <c r="CS159" s="260"/>
      <c r="CT159" s="260"/>
      <c r="CU159" s="260"/>
      <c r="CV159" s="260"/>
      <c r="CW159" s="260"/>
      <c r="CX159" s="260"/>
      <c r="CY159" s="260"/>
      <c r="CZ159" s="260"/>
      <c r="DA159" s="260"/>
      <c r="DB159" s="260"/>
      <c r="DC159" s="260"/>
      <c r="DD159" s="260"/>
      <c r="DE159" s="260"/>
      <c r="DF159" s="260"/>
      <c r="DG159" s="260"/>
      <c r="DH159" s="260"/>
      <c r="DI159" s="260"/>
      <c r="DJ159" s="347"/>
      <c r="DK159" s="347"/>
      <c r="DL159" s="347"/>
      <c r="DM159" s="347"/>
      <c r="DN159" s="353"/>
      <c r="DO159" s="348"/>
      <c r="DP159" s="348"/>
      <c r="DQ159" s="348"/>
      <c r="DR159" s="348"/>
      <c r="DS159" s="348"/>
      <c r="DT159" s="348"/>
      <c r="DU159" s="348"/>
      <c r="DV159" s="348"/>
      <c r="DW159" s="348"/>
      <c r="DX159" s="348"/>
      <c r="DY159" s="348"/>
      <c r="DZ159" s="348"/>
      <c r="EA159" s="348"/>
      <c r="EB159" s="349"/>
      <c r="EC159" s="349"/>
      <c r="ED159" s="349"/>
      <c r="EE159" s="349"/>
      <c r="EF159" s="349"/>
      <c r="EG159" s="349"/>
      <c r="EH159" s="349"/>
      <c r="EI159" s="349"/>
      <c r="EJ159" s="349"/>
      <c r="EK159" s="341"/>
      <c r="EL159" s="339"/>
      <c r="EM159" s="339"/>
      <c r="EN159" s="339"/>
      <c r="EO159" s="341"/>
      <c r="EP159" s="339"/>
      <c r="EQ159" s="339"/>
      <c r="ER159" s="339"/>
      <c r="ES159" s="350"/>
      <c r="ET159" s="350"/>
      <c r="EU159" s="350"/>
      <c r="EV159" s="350"/>
      <c r="EW159" s="350"/>
      <c r="EX159" s="350"/>
      <c r="EY159" s="350"/>
      <c r="EZ159" s="345"/>
      <c r="FA159" s="339"/>
      <c r="FB159" s="339"/>
      <c r="FC159" s="339"/>
      <c r="GA159" s="94"/>
      <c r="GB159" s="94"/>
      <c r="GC159" s="94"/>
      <c r="GD159" s="94"/>
      <c r="GE159" s="94"/>
      <c r="GF159" s="94"/>
      <c r="GG159" s="94"/>
    </row>
    <row r="160" spans="1:189" s="63" customFormat="1">
      <c r="A160" s="95"/>
      <c r="B160" s="351"/>
      <c r="C160" s="339"/>
      <c r="D160" s="339"/>
      <c r="E160" s="339"/>
      <c r="F160" s="339"/>
      <c r="G160" s="339"/>
      <c r="H160" s="339"/>
      <c r="I160" s="352"/>
      <c r="J160" s="340"/>
      <c r="K160" s="340"/>
      <c r="L160" s="352"/>
      <c r="M160" s="352"/>
      <c r="N160" s="352"/>
      <c r="O160" s="352"/>
      <c r="P160" s="352"/>
      <c r="Q160" s="352"/>
      <c r="R160" s="352"/>
      <c r="S160" s="352"/>
      <c r="T160" s="352"/>
      <c r="U160" s="352"/>
      <c r="V160" s="340"/>
      <c r="W160" s="340"/>
      <c r="X160" s="340"/>
      <c r="Y160" s="340"/>
      <c r="Z160" s="340"/>
      <c r="AA160" s="340"/>
      <c r="AB160" s="340"/>
      <c r="AC160" s="340"/>
      <c r="AD160" s="340"/>
      <c r="AE160" s="340"/>
      <c r="AF160" s="340"/>
      <c r="AG160" s="340"/>
      <c r="AH160" s="340"/>
      <c r="AI160" s="340"/>
      <c r="AJ160" s="340"/>
      <c r="AK160" s="340"/>
      <c r="AL160" s="340"/>
      <c r="AM160" s="340"/>
      <c r="AN160" s="344"/>
      <c r="AO160" s="346"/>
      <c r="AP160" s="340"/>
      <c r="AQ160" s="340"/>
      <c r="AR160" s="340"/>
      <c r="AS160" s="340"/>
      <c r="AT160" s="340"/>
      <c r="AU160" s="340"/>
      <c r="AV160" s="340"/>
      <c r="AW160" s="340"/>
      <c r="AX160" s="340"/>
      <c r="AY160" s="340"/>
      <c r="AZ160" s="340"/>
      <c r="BA160" s="340"/>
      <c r="BB160" s="340"/>
      <c r="BC160" s="340"/>
      <c r="BD160" s="340"/>
      <c r="BE160" s="340"/>
      <c r="BF160" s="340"/>
      <c r="BG160" s="340"/>
      <c r="BH160" s="340"/>
      <c r="BI160" s="340"/>
      <c r="BJ160" s="340"/>
      <c r="BK160" s="340"/>
      <c r="BL160" s="340"/>
      <c r="BM160" s="340"/>
      <c r="BN160" s="340"/>
      <c r="BO160" s="340"/>
      <c r="BP160" s="340"/>
      <c r="BQ160" s="340"/>
      <c r="BR160" s="340"/>
      <c r="BS160" s="340"/>
      <c r="BT160" s="340"/>
      <c r="BU160" s="340"/>
      <c r="BV160" s="340"/>
      <c r="BW160" s="340"/>
      <c r="BX160" s="340"/>
      <c r="BY160" s="340"/>
      <c r="BZ160" s="340"/>
      <c r="CA160" s="340"/>
      <c r="CB160" s="340"/>
      <c r="CC160" s="340"/>
      <c r="CD160" s="340"/>
      <c r="CE160" s="340"/>
      <c r="CF160" s="346"/>
      <c r="CG160" s="340"/>
      <c r="CH160" s="346"/>
      <c r="CI160" s="346"/>
      <c r="CJ160" s="346"/>
      <c r="CK160" s="346"/>
      <c r="CL160" s="340"/>
      <c r="CM160" s="340"/>
      <c r="CN160" s="340"/>
      <c r="CO160" s="340"/>
      <c r="CP160" s="340"/>
      <c r="CQ160" s="340"/>
      <c r="CR160" s="340"/>
      <c r="CS160" s="260"/>
      <c r="CT160" s="260"/>
      <c r="CU160" s="260"/>
      <c r="CV160" s="260"/>
      <c r="CW160" s="260"/>
      <c r="CX160" s="260"/>
      <c r="CY160" s="260"/>
      <c r="CZ160" s="260"/>
      <c r="DA160" s="260"/>
      <c r="DB160" s="260"/>
      <c r="DC160" s="260"/>
      <c r="DD160" s="260"/>
      <c r="DE160" s="260"/>
      <c r="DF160" s="260"/>
      <c r="DG160" s="260"/>
      <c r="DH160" s="260"/>
      <c r="DI160" s="260"/>
      <c r="DJ160" s="347"/>
      <c r="DK160" s="347"/>
      <c r="DL160" s="347"/>
      <c r="DM160" s="347"/>
      <c r="DN160" s="353"/>
      <c r="DO160" s="348"/>
      <c r="DP160" s="348"/>
      <c r="DQ160" s="348"/>
      <c r="DR160" s="348"/>
      <c r="DS160" s="348"/>
      <c r="DT160" s="348"/>
      <c r="DU160" s="348"/>
      <c r="DV160" s="348"/>
      <c r="DW160" s="348"/>
      <c r="DX160" s="348"/>
      <c r="DY160" s="348"/>
      <c r="DZ160" s="348"/>
      <c r="EA160" s="348"/>
      <c r="EB160" s="349"/>
      <c r="EC160" s="349"/>
      <c r="ED160" s="349"/>
      <c r="EE160" s="349"/>
      <c r="EF160" s="349"/>
      <c r="EG160" s="349"/>
      <c r="EH160" s="349"/>
      <c r="EI160" s="349"/>
      <c r="EJ160" s="349"/>
      <c r="EK160" s="341"/>
      <c r="EL160" s="339"/>
      <c r="EM160" s="339"/>
      <c r="EN160" s="339"/>
      <c r="EO160" s="341"/>
      <c r="EP160" s="339"/>
      <c r="EQ160" s="339"/>
      <c r="ER160" s="339"/>
      <c r="ES160" s="350"/>
      <c r="ET160" s="350"/>
      <c r="EU160" s="350"/>
      <c r="EV160" s="350"/>
      <c r="EW160" s="350"/>
      <c r="EX160" s="350"/>
      <c r="EY160" s="350"/>
      <c r="EZ160" s="345"/>
      <c r="FA160" s="339"/>
      <c r="FB160" s="339"/>
      <c r="FC160" s="339"/>
      <c r="GA160" s="94"/>
      <c r="GB160" s="94"/>
      <c r="GC160" s="94"/>
      <c r="GD160" s="94"/>
      <c r="GE160" s="94"/>
      <c r="GF160" s="94"/>
      <c r="GG160" s="94"/>
    </row>
    <row r="161" spans="1:189" s="63" customFormat="1">
      <c r="A161" s="95"/>
      <c r="B161" s="351"/>
      <c r="C161" s="339"/>
      <c r="D161" s="339"/>
      <c r="E161" s="339"/>
      <c r="F161" s="339"/>
      <c r="G161" s="339"/>
      <c r="H161" s="339"/>
      <c r="I161" s="352"/>
      <c r="J161" s="340"/>
      <c r="K161" s="340"/>
      <c r="L161" s="352"/>
      <c r="M161" s="352"/>
      <c r="N161" s="352"/>
      <c r="O161" s="352"/>
      <c r="P161" s="352"/>
      <c r="Q161" s="352"/>
      <c r="R161" s="352"/>
      <c r="S161" s="352"/>
      <c r="T161" s="352"/>
      <c r="U161" s="352"/>
      <c r="V161" s="340"/>
      <c r="W161" s="340"/>
      <c r="X161" s="340"/>
      <c r="Y161" s="340"/>
      <c r="Z161" s="340"/>
      <c r="AA161" s="340"/>
      <c r="AB161" s="340"/>
      <c r="AC161" s="340"/>
      <c r="AD161" s="340"/>
      <c r="AE161" s="340"/>
      <c r="AF161" s="340"/>
      <c r="AG161" s="340"/>
      <c r="AH161" s="340"/>
      <c r="AI161" s="340"/>
      <c r="AJ161" s="340"/>
      <c r="AK161" s="340"/>
      <c r="AL161" s="340"/>
      <c r="AM161" s="340"/>
      <c r="AN161" s="344"/>
      <c r="AO161" s="346"/>
      <c r="AP161" s="340"/>
      <c r="AQ161" s="340"/>
      <c r="AR161" s="340"/>
      <c r="AS161" s="340"/>
      <c r="AT161" s="340"/>
      <c r="AU161" s="340"/>
      <c r="AV161" s="340"/>
      <c r="AW161" s="340"/>
      <c r="AX161" s="340"/>
      <c r="AY161" s="340"/>
      <c r="AZ161" s="340"/>
      <c r="BA161" s="340"/>
      <c r="BB161" s="340"/>
      <c r="BC161" s="340"/>
      <c r="BD161" s="340"/>
      <c r="BE161" s="340"/>
      <c r="BF161" s="340"/>
      <c r="BG161" s="340"/>
      <c r="BH161" s="340"/>
      <c r="BI161" s="340"/>
      <c r="BJ161" s="340"/>
      <c r="BK161" s="340"/>
      <c r="BL161" s="340"/>
      <c r="BM161" s="340"/>
      <c r="BN161" s="340"/>
      <c r="BO161" s="340"/>
      <c r="BP161" s="340"/>
      <c r="BQ161" s="340"/>
      <c r="BR161" s="340"/>
      <c r="BS161" s="340"/>
      <c r="BT161" s="340"/>
      <c r="BU161" s="340"/>
      <c r="BV161" s="340"/>
      <c r="BW161" s="340"/>
      <c r="BX161" s="340"/>
      <c r="BY161" s="340"/>
      <c r="BZ161" s="340"/>
      <c r="CA161" s="340"/>
      <c r="CB161" s="340"/>
      <c r="CC161" s="340"/>
      <c r="CD161" s="340"/>
      <c r="CE161" s="340"/>
      <c r="CF161" s="346"/>
      <c r="CG161" s="340"/>
      <c r="CH161" s="346"/>
      <c r="CI161" s="346"/>
      <c r="CJ161" s="346"/>
      <c r="CK161" s="346"/>
      <c r="CL161" s="340"/>
      <c r="CM161" s="340"/>
      <c r="CN161" s="340"/>
      <c r="CO161" s="340"/>
      <c r="CP161" s="340"/>
      <c r="CQ161" s="340"/>
      <c r="CR161" s="340"/>
      <c r="CS161" s="260"/>
      <c r="CT161" s="260"/>
      <c r="CU161" s="260"/>
      <c r="CV161" s="260"/>
      <c r="CW161" s="260"/>
      <c r="CX161" s="260"/>
      <c r="CY161" s="260"/>
      <c r="CZ161" s="260"/>
      <c r="DA161" s="260"/>
      <c r="DB161" s="260"/>
      <c r="DC161" s="260"/>
      <c r="DD161" s="260"/>
      <c r="DE161" s="260"/>
      <c r="DF161" s="260"/>
      <c r="DG161" s="260"/>
      <c r="DH161" s="260"/>
      <c r="DI161" s="260"/>
      <c r="DJ161" s="347"/>
      <c r="DK161" s="347"/>
      <c r="DL161" s="347"/>
      <c r="DM161" s="347"/>
      <c r="DN161" s="353"/>
      <c r="DO161" s="348"/>
      <c r="DP161" s="348"/>
      <c r="DQ161" s="348"/>
      <c r="DR161" s="348"/>
      <c r="DS161" s="348"/>
      <c r="DT161" s="348"/>
      <c r="DU161" s="348"/>
      <c r="DV161" s="348"/>
      <c r="DW161" s="348"/>
      <c r="DX161" s="348"/>
      <c r="DY161" s="348"/>
      <c r="DZ161" s="348"/>
      <c r="EA161" s="348"/>
      <c r="EB161" s="349"/>
      <c r="EC161" s="349"/>
      <c r="ED161" s="349"/>
      <c r="EE161" s="349"/>
      <c r="EF161" s="349"/>
      <c r="EG161" s="349"/>
      <c r="EH161" s="349"/>
      <c r="EI161" s="349"/>
      <c r="EJ161" s="349"/>
      <c r="EK161" s="341"/>
      <c r="EL161" s="339"/>
      <c r="EM161" s="339"/>
      <c r="EN161" s="339"/>
      <c r="EO161" s="341"/>
      <c r="EP161" s="339"/>
      <c r="EQ161" s="339"/>
      <c r="ER161" s="339"/>
      <c r="ES161" s="350"/>
      <c r="ET161" s="350"/>
      <c r="EU161" s="350"/>
      <c r="EV161" s="350"/>
      <c r="EW161" s="350"/>
      <c r="EX161" s="350"/>
      <c r="EY161" s="350"/>
      <c r="EZ161" s="345"/>
      <c r="FA161" s="339"/>
      <c r="FB161" s="339"/>
      <c r="FC161" s="339"/>
      <c r="GA161" s="94"/>
      <c r="GB161" s="94"/>
      <c r="GC161" s="94"/>
      <c r="GD161" s="94"/>
      <c r="GE161" s="94"/>
      <c r="GF161" s="94"/>
      <c r="GG161" s="94"/>
    </row>
    <row r="162" spans="1:189" s="63" customFormat="1">
      <c r="A162" s="95"/>
      <c r="B162" s="351"/>
      <c r="C162" s="339"/>
      <c r="D162" s="339"/>
      <c r="E162" s="339"/>
      <c r="F162" s="339"/>
      <c r="G162" s="339"/>
      <c r="H162" s="339"/>
      <c r="I162" s="352"/>
      <c r="J162" s="340"/>
      <c r="K162" s="340"/>
      <c r="L162" s="352"/>
      <c r="M162" s="352"/>
      <c r="N162" s="352"/>
      <c r="O162" s="352"/>
      <c r="P162" s="352"/>
      <c r="Q162" s="352"/>
      <c r="R162" s="352"/>
      <c r="S162" s="352"/>
      <c r="T162" s="352"/>
      <c r="U162" s="352"/>
      <c r="V162" s="340"/>
      <c r="W162" s="340"/>
      <c r="X162" s="340"/>
      <c r="Y162" s="340"/>
      <c r="Z162" s="340"/>
      <c r="AA162" s="340"/>
      <c r="AB162" s="340"/>
      <c r="AC162" s="340"/>
      <c r="AD162" s="340"/>
      <c r="AE162" s="340"/>
      <c r="AF162" s="340"/>
      <c r="AG162" s="340"/>
      <c r="AH162" s="340"/>
      <c r="AI162" s="340"/>
      <c r="AJ162" s="340"/>
      <c r="AK162" s="340"/>
      <c r="AL162" s="340"/>
      <c r="AM162" s="340"/>
      <c r="AN162" s="344"/>
      <c r="AO162" s="346"/>
      <c r="AP162" s="340"/>
      <c r="AQ162" s="340"/>
      <c r="AR162" s="340"/>
      <c r="AS162" s="340"/>
      <c r="AT162" s="340"/>
      <c r="AU162" s="340"/>
      <c r="AV162" s="340"/>
      <c r="AW162" s="340"/>
      <c r="AX162" s="340"/>
      <c r="AY162" s="340"/>
      <c r="AZ162" s="340"/>
      <c r="BA162" s="340"/>
      <c r="BB162" s="340"/>
      <c r="BC162" s="340"/>
      <c r="BD162" s="340"/>
      <c r="BE162" s="340"/>
      <c r="BF162" s="340"/>
      <c r="BG162" s="340"/>
      <c r="BH162" s="340"/>
      <c r="BI162" s="340"/>
      <c r="BJ162" s="340"/>
      <c r="BK162" s="340"/>
      <c r="BL162" s="340"/>
      <c r="BM162" s="340"/>
      <c r="BN162" s="340"/>
      <c r="BO162" s="340"/>
      <c r="BP162" s="340"/>
      <c r="BQ162" s="340"/>
      <c r="BR162" s="340"/>
      <c r="BS162" s="340"/>
      <c r="BT162" s="340"/>
      <c r="BU162" s="340"/>
      <c r="BV162" s="340"/>
      <c r="BW162" s="340"/>
      <c r="BX162" s="340"/>
      <c r="BY162" s="340"/>
      <c r="BZ162" s="340"/>
      <c r="CA162" s="340"/>
      <c r="CB162" s="340"/>
      <c r="CC162" s="340"/>
      <c r="CD162" s="340"/>
      <c r="CE162" s="340"/>
      <c r="CF162" s="346"/>
      <c r="CG162" s="340"/>
      <c r="CH162" s="346"/>
      <c r="CI162" s="346"/>
      <c r="CJ162" s="346"/>
      <c r="CK162" s="346"/>
      <c r="CL162" s="340"/>
      <c r="CM162" s="340"/>
      <c r="CN162" s="340"/>
      <c r="CO162" s="340"/>
      <c r="CP162" s="340"/>
      <c r="CQ162" s="340"/>
      <c r="CR162" s="340"/>
      <c r="CS162" s="260"/>
      <c r="CT162" s="260"/>
      <c r="CU162" s="260"/>
      <c r="CV162" s="260"/>
      <c r="CW162" s="260"/>
      <c r="CX162" s="260"/>
      <c r="CY162" s="260"/>
      <c r="CZ162" s="260"/>
      <c r="DA162" s="260"/>
      <c r="DB162" s="260"/>
      <c r="DC162" s="260"/>
      <c r="DD162" s="260"/>
      <c r="DE162" s="260"/>
      <c r="DF162" s="260"/>
      <c r="DG162" s="260"/>
      <c r="DH162" s="260"/>
      <c r="DI162" s="260"/>
      <c r="DJ162" s="347"/>
      <c r="DK162" s="347"/>
      <c r="DL162" s="347"/>
      <c r="DM162" s="347"/>
      <c r="DN162" s="353"/>
      <c r="DO162" s="348"/>
      <c r="DP162" s="348"/>
      <c r="DQ162" s="348"/>
      <c r="DR162" s="348"/>
      <c r="DS162" s="348"/>
      <c r="DT162" s="348"/>
      <c r="DU162" s="348"/>
      <c r="DV162" s="348"/>
      <c r="DW162" s="348"/>
      <c r="DX162" s="348"/>
      <c r="DY162" s="348"/>
      <c r="DZ162" s="348"/>
      <c r="EA162" s="348"/>
      <c r="EB162" s="349"/>
      <c r="EC162" s="349"/>
      <c r="ED162" s="349"/>
      <c r="EE162" s="349"/>
      <c r="EF162" s="349"/>
      <c r="EG162" s="349"/>
      <c r="EH162" s="349"/>
      <c r="EI162" s="349"/>
      <c r="EJ162" s="349"/>
      <c r="EK162" s="341"/>
      <c r="EL162" s="339"/>
      <c r="EM162" s="339"/>
      <c r="EN162" s="339"/>
      <c r="EO162" s="341"/>
      <c r="EP162" s="339"/>
      <c r="EQ162" s="339"/>
      <c r="ER162" s="339"/>
      <c r="ES162" s="350"/>
      <c r="ET162" s="350"/>
      <c r="EU162" s="350"/>
      <c r="EV162" s="350"/>
      <c r="EW162" s="350"/>
      <c r="EX162" s="350"/>
      <c r="EY162" s="350"/>
      <c r="EZ162" s="345"/>
      <c r="FA162" s="339"/>
      <c r="FB162" s="339"/>
      <c r="FC162" s="339"/>
      <c r="GA162" s="94"/>
      <c r="GB162" s="94"/>
      <c r="GC162" s="94"/>
      <c r="GD162" s="94"/>
      <c r="GE162" s="94"/>
      <c r="GF162" s="94"/>
      <c r="GG162" s="94"/>
    </row>
    <row r="163" spans="1:189" s="63" customFormat="1">
      <c r="A163" s="95"/>
      <c r="B163" s="351"/>
      <c r="C163" s="339"/>
      <c r="D163" s="339"/>
      <c r="E163" s="339"/>
      <c r="F163" s="339"/>
      <c r="G163" s="339"/>
      <c r="H163" s="339"/>
      <c r="I163" s="352"/>
      <c r="J163" s="340"/>
      <c r="K163" s="340"/>
      <c r="L163" s="352"/>
      <c r="M163" s="352"/>
      <c r="N163" s="352"/>
      <c r="O163" s="352"/>
      <c r="P163" s="352"/>
      <c r="Q163" s="352"/>
      <c r="R163" s="352"/>
      <c r="S163" s="352"/>
      <c r="T163" s="352"/>
      <c r="U163" s="352"/>
      <c r="V163" s="340"/>
      <c r="W163" s="340"/>
      <c r="X163" s="340"/>
      <c r="Y163" s="340"/>
      <c r="Z163" s="340"/>
      <c r="AA163" s="340"/>
      <c r="AB163" s="340"/>
      <c r="AC163" s="340"/>
      <c r="AD163" s="340"/>
      <c r="AE163" s="340"/>
      <c r="AF163" s="340"/>
      <c r="AG163" s="340"/>
      <c r="AH163" s="340"/>
      <c r="AI163" s="340"/>
      <c r="AJ163" s="340"/>
      <c r="AK163" s="340"/>
      <c r="AL163" s="340"/>
      <c r="AM163" s="340"/>
      <c r="AN163" s="344"/>
      <c r="AO163" s="346"/>
      <c r="AP163" s="340"/>
      <c r="AQ163" s="340"/>
      <c r="AR163" s="340"/>
      <c r="AS163" s="340"/>
      <c r="AT163" s="340"/>
      <c r="AU163" s="340"/>
      <c r="AV163" s="340"/>
      <c r="AW163" s="340"/>
      <c r="AX163" s="340"/>
      <c r="AY163" s="340"/>
      <c r="AZ163" s="340"/>
      <c r="BA163" s="340"/>
      <c r="BB163" s="340"/>
      <c r="BC163" s="340"/>
      <c r="BD163" s="340"/>
      <c r="BE163" s="340"/>
      <c r="BF163" s="340"/>
      <c r="BG163" s="340"/>
      <c r="BH163" s="340"/>
      <c r="BI163" s="340"/>
      <c r="BJ163" s="340"/>
      <c r="BK163" s="340"/>
      <c r="BL163" s="340"/>
      <c r="BM163" s="340"/>
      <c r="BN163" s="340"/>
      <c r="BO163" s="340"/>
      <c r="BP163" s="340"/>
      <c r="BQ163" s="340"/>
      <c r="BR163" s="340"/>
      <c r="BS163" s="340"/>
      <c r="BT163" s="340"/>
      <c r="BU163" s="340"/>
      <c r="BV163" s="340"/>
      <c r="BW163" s="340"/>
      <c r="BX163" s="340"/>
      <c r="BY163" s="340"/>
      <c r="BZ163" s="340"/>
      <c r="CA163" s="340"/>
      <c r="CB163" s="340"/>
      <c r="CC163" s="340"/>
      <c r="CD163" s="340"/>
      <c r="CE163" s="340"/>
      <c r="CF163" s="346"/>
      <c r="CG163" s="340"/>
      <c r="CH163" s="346"/>
      <c r="CI163" s="346"/>
      <c r="CJ163" s="346"/>
      <c r="CK163" s="346"/>
      <c r="CL163" s="340"/>
      <c r="CM163" s="340"/>
      <c r="CN163" s="340"/>
      <c r="CO163" s="340"/>
      <c r="CP163" s="340"/>
      <c r="CQ163" s="340"/>
      <c r="CR163" s="340"/>
      <c r="CS163" s="260"/>
      <c r="CT163" s="260"/>
      <c r="CU163" s="260"/>
      <c r="CV163" s="260"/>
      <c r="CW163" s="260"/>
      <c r="CX163" s="260"/>
      <c r="CY163" s="260"/>
      <c r="CZ163" s="260"/>
      <c r="DA163" s="260"/>
      <c r="DB163" s="260"/>
      <c r="DC163" s="260"/>
      <c r="DD163" s="260"/>
      <c r="DE163" s="260"/>
      <c r="DF163" s="260"/>
      <c r="DG163" s="260"/>
      <c r="DH163" s="260"/>
      <c r="DI163" s="260"/>
      <c r="DJ163" s="347"/>
      <c r="DK163" s="347"/>
      <c r="DL163" s="347"/>
      <c r="DM163" s="347"/>
      <c r="DN163" s="353"/>
      <c r="DO163" s="348"/>
      <c r="DP163" s="348"/>
      <c r="DQ163" s="348"/>
      <c r="DR163" s="348"/>
      <c r="DS163" s="348"/>
      <c r="DT163" s="348"/>
      <c r="DU163" s="348"/>
      <c r="DV163" s="348"/>
      <c r="DW163" s="348"/>
      <c r="DX163" s="348"/>
      <c r="DY163" s="348"/>
      <c r="DZ163" s="348"/>
      <c r="EA163" s="348"/>
      <c r="EB163" s="349"/>
      <c r="EC163" s="349"/>
      <c r="ED163" s="349"/>
      <c r="EE163" s="349"/>
      <c r="EF163" s="349"/>
      <c r="EG163" s="349"/>
      <c r="EH163" s="349"/>
      <c r="EI163" s="349"/>
      <c r="EJ163" s="349"/>
      <c r="EK163" s="341"/>
      <c r="EL163" s="339"/>
      <c r="EM163" s="339"/>
      <c r="EN163" s="339"/>
      <c r="EO163" s="341"/>
      <c r="EP163" s="339"/>
      <c r="EQ163" s="339"/>
      <c r="ER163" s="339"/>
      <c r="ES163" s="350"/>
      <c r="ET163" s="350"/>
      <c r="EU163" s="350"/>
      <c r="EV163" s="350"/>
      <c r="EW163" s="350"/>
      <c r="EX163" s="350"/>
      <c r="EY163" s="350"/>
      <c r="EZ163" s="345"/>
      <c r="FA163" s="339"/>
      <c r="FB163" s="339"/>
      <c r="FC163" s="339"/>
      <c r="GA163" s="94"/>
      <c r="GB163" s="94"/>
      <c r="GC163" s="94"/>
      <c r="GD163" s="94"/>
      <c r="GE163" s="94"/>
      <c r="GF163" s="94"/>
      <c r="GG163" s="94"/>
    </row>
    <row r="164" spans="1:189" s="63" customFormat="1">
      <c r="A164" s="95"/>
      <c r="B164" s="351"/>
      <c r="C164" s="339"/>
      <c r="D164" s="339"/>
      <c r="E164" s="339"/>
      <c r="F164" s="339"/>
      <c r="G164" s="339"/>
      <c r="H164" s="339"/>
      <c r="I164" s="352"/>
      <c r="J164" s="340"/>
      <c r="K164" s="340"/>
      <c r="L164" s="352"/>
      <c r="M164" s="352"/>
      <c r="N164" s="352"/>
      <c r="O164" s="352"/>
      <c r="P164" s="352"/>
      <c r="Q164" s="352"/>
      <c r="R164" s="352"/>
      <c r="S164" s="352"/>
      <c r="T164" s="352"/>
      <c r="U164" s="352"/>
      <c r="V164" s="340"/>
      <c r="W164" s="340"/>
      <c r="X164" s="340"/>
      <c r="Y164" s="340"/>
      <c r="Z164" s="340"/>
      <c r="AA164" s="340"/>
      <c r="AB164" s="340"/>
      <c r="AC164" s="340"/>
      <c r="AD164" s="340"/>
      <c r="AE164" s="340"/>
      <c r="AF164" s="340"/>
      <c r="AG164" s="340"/>
      <c r="AH164" s="340"/>
      <c r="AI164" s="340"/>
      <c r="AJ164" s="340"/>
      <c r="AK164" s="340"/>
      <c r="AL164" s="340"/>
      <c r="AM164" s="340"/>
      <c r="AN164" s="344"/>
      <c r="AO164" s="346"/>
      <c r="AP164" s="340"/>
      <c r="AQ164" s="340"/>
      <c r="AR164" s="340"/>
      <c r="AS164" s="340"/>
      <c r="AT164" s="340"/>
      <c r="AU164" s="340"/>
      <c r="AV164" s="340"/>
      <c r="AW164" s="340"/>
      <c r="AX164" s="340"/>
      <c r="AY164" s="340"/>
      <c r="AZ164" s="340"/>
      <c r="BA164" s="340"/>
      <c r="BB164" s="340"/>
      <c r="BC164" s="340"/>
      <c r="BD164" s="340"/>
      <c r="BE164" s="340"/>
      <c r="BF164" s="340"/>
      <c r="BG164" s="340"/>
      <c r="BH164" s="340"/>
      <c r="BI164" s="340"/>
      <c r="BJ164" s="340"/>
      <c r="BK164" s="340"/>
      <c r="BL164" s="340"/>
      <c r="BM164" s="340"/>
      <c r="BN164" s="340"/>
      <c r="BO164" s="340"/>
      <c r="BP164" s="340"/>
      <c r="BQ164" s="340"/>
      <c r="BR164" s="340"/>
      <c r="BS164" s="340"/>
      <c r="BT164" s="340"/>
      <c r="BU164" s="340"/>
      <c r="BV164" s="340"/>
      <c r="BW164" s="340"/>
      <c r="BX164" s="340"/>
      <c r="BY164" s="340"/>
      <c r="BZ164" s="340"/>
      <c r="CA164" s="340"/>
      <c r="CB164" s="340"/>
      <c r="CC164" s="340"/>
      <c r="CD164" s="340"/>
      <c r="CE164" s="340"/>
      <c r="CF164" s="346"/>
      <c r="CG164" s="340"/>
      <c r="CH164" s="346"/>
      <c r="CI164" s="346"/>
      <c r="CJ164" s="346"/>
      <c r="CK164" s="346"/>
      <c r="CL164" s="340"/>
      <c r="CM164" s="340"/>
      <c r="CN164" s="340"/>
      <c r="CO164" s="340"/>
      <c r="CP164" s="340"/>
      <c r="CQ164" s="340"/>
      <c r="CR164" s="340"/>
      <c r="CS164" s="260"/>
      <c r="CT164" s="260"/>
      <c r="CU164" s="260"/>
      <c r="CV164" s="260"/>
      <c r="CW164" s="260"/>
      <c r="CX164" s="260"/>
      <c r="CY164" s="260"/>
      <c r="CZ164" s="260"/>
      <c r="DA164" s="260"/>
      <c r="DB164" s="260"/>
      <c r="DC164" s="260"/>
      <c r="DD164" s="260"/>
      <c r="DE164" s="260"/>
      <c r="DF164" s="260"/>
      <c r="DG164" s="260"/>
      <c r="DH164" s="260"/>
      <c r="DI164" s="260"/>
      <c r="DJ164" s="347"/>
      <c r="DK164" s="347"/>
      <c r="DL164" s="347"/>
      <c r="DM164" s="347"/>
      <c r="DN164" s="353"/>
      <c r="DO164" s="348"/>
      <c r="DP164" s="348"/>
      <c r="DQ164" s="348"/>
      <c r="DR164" s="348"/>
      <c r="DS164" s="348"/>
      <c r="DT164" s="348"/>
      <c r="DU164" s="348"/>
      <c r="DV164" s="348"/>
      <c r="DW164" s="348"/>
      <c r="DX164" s="348"/>
      <c r="DY164" s="348"/>
      <c r="DZ164" s="348"/>
      <c r="EA164" s="348"/>
      <c r="EB164" s="349"/>
      <c r="EC164" s="349"/>
      <c r="ED164" s="349"/>
      <c r="EE164" s="349"/>
      <c r="EF164" s="349"/>
      <c r="EG164" s="349"/>
      <c r="EH164" s="349"/>
      <c r="EI164" s="349"/>
      <c r="EJ164" s="349"/>
      <c r="EK164" s="341"/>
      <c r="EL164" s="339"/>
      <c r="EM164" s="339"/>
      <c r="EN164" s="339"/>
      <c r="EO164" s="341"/>
      <c r="EP164" s="339"/>
      <c r="EQ164" s="339"/>
      <c r="ER164" s="339"/>
      <c r="ES164" s="350"/>
      <c r="ET164" s="350"/>
      <c r="EU164" s="350"/>
      <c r="EV164" s="350"/>
      <c r="EW164" s="350"/>
      <c r="EX164" s="350"/>
      <c r="EY164" s="350"/>
      <c r="EZ164" s="345"/>
      <c r="FA164" s="339"/>
      <c r="FB164" s="339"/>
      <c r="FC164" s="339"/>
      <c r="GA164" s="94"/>
      <c r="GB164" s="94"/>
      <c r="GC164" s="94"/>
      <c r="GD164" s="94"/>
      <c r="GE164" s="94"/>
      <c r="GF164" s="94"/>
      <c r="GG164" s="94"/>
    </row>
    <row r="165" spans="1:189" s="63" customFormat="1">
      <c r="A165" s="95"/>
      <c r="B165" s="351"/>
      <c r="C165" s="339"/>
      <c r="D165" s="339"/>
      <c r="E165" s="339"/>
      <c r="F165" s="339"/>
      <c r="G165" s="339"/>
      <c r="H165" s="339"/>
      <c r="I165" s="352"/>
      <c r="J165" s="340"/>
      <c r="K165" s="340"/>
      <c r="L165" s="352"/>
      <c r="M165" s="352"/>
      <c r="N165" s="352"/>
      <c r="O165" s="352"/>
      <c r="P165" s="352"/>
      <c r="Q165" s="352"/>
      <c r="R165" s="352"/>
      <c r="S165" s="352"/>
      <c r="T165" s="352"/>
      <c r="U165" s="352"/>
      <c r="V165" s="340"/>
      <c r="W165" s="340"/>
      <c r="X165" s="340"/>
      <c r="Y165" s="340"/>
      <c r="Z165" s="340"/>
      <c r="AA165" s="340"/>
      <c r="AB165" s="340"/>
      <c r="AC165" s="340"/>
      <c r="AD165" s="340"/>
      <c r="AE165" s="340"/>
      <c r="AF165" s="340"/>
      <c r="AG165" s="340"/>
      <c r="AH165" s="340"/>
      <c r="AI165" s="340"/>
      <c r="AJ165" s="340"/>
      <c r="AK165" s="340"/>
      <c r="AL165" s="340"/>
      <c r="AM165" s="340"/>
      <c r="AN165" s="344"/>
      <c r="AO165" s="346"/>
      <c r="AP165" s="340"/>
      <c r="AQ165" s="340"/>
      <c r="AR165" s="340"/>
      <c r="AS165" s="340"/>
      <c r="AT165" s="340"/>
      <c r="AU165" s="340"/>
      <c r="AV165" s="340"/>
      <c r="AW165" s="340"/>
      <c r="AX165" s="340"/>
      <c r="AY165" s="340"/>
      <c r="AZ165" s="340"/>
      <c r="BA165" s="340"/>
      <c r="BB165" s="340"/>
      <c r="BC165" s="340"/>
      <c r="BD165" s="340"/>
      <c r="BE165" s="340"/>
      <c r="BF165" s="340"/>
      <c r="BG165" s="340"/>
      <c r="BH165" s="340"/>
      <c r="BI165" s="340"/>
      <c r="BJ165" s="340"/>
      <c r="BK165" s="340"/>
      <c r="BL165" s="340"/>
      <c r="BM165" s="340"/>
      <c r="BN165" s="340"/>
      <c r="BO165" s="340"/>
      <c r="BP165" s="340"/>
      <c r="BQ165" s="340"/>
      <c r="BR165" s="340"/>
      <c r="BS165" s="340"/>
      <c r="BT165" s="340"/>
      <c r="BU165" s="340"/>
      <c r="BV165" s="340"/>
      <c r="BW165" s="340"/>
      <c r="BX165" s="340"/>
      <c r="BY165" s="340"/>
      <c r="BZ165" s="340"/>
      <c r="CA165" s="340"/>
      <c r="CB165" s="340"/>
      <c r="CC165" s="340"/>
      <c r="CD165" s="340"/>
      <c r="CE165" s="340"/>
      <c r="CF165" s="346"/>
      <c r="CG165" s="340"/>
      <c r="CH165" s="346"/>
      <c r="CI165" s="346"/>
      <c r="CJ165" s="346"/>
      <c r="CK165" s="346"/>
      <c r="CL165" s="340"/>
      <c r="CM165" s="340"/>
      <c r="CN165" s="340"/>
      <c r="CO165" s="340"/>
      <c r="CP165" s="340"/>
      <c r="CQ165" s="340"/>
      <c r="CR165" s="340"/>
      <c r="CS165" s="260"/>
      <c r="CT165" s="260"/>
      <c r="CU165" s="260"/>
      <c r="CV165" s="260"/>
      <c r="CW165" s="260"/>
      <c r="CX165" s="260"/>
      <c r="CY165" s="260"/>
      <c r="CZ165" s="260"/>
      <c r="DA165" s="260"/>
      <c r="DB165" s="260"/>
      <c r="DC165" s="260"/>
      <c r="DD165" s="260"/>
      <c r="DE165" s="260"/>
      <c r="DF165" s="260"/>
      <c r="DG165" s="260"/>
      <c r="DH165" s="260"/>
      <c r="DI165" s="260"/>
      <c r="DJ165" s="347"/>
      <c r="DK165" s="347"/>
      <c r="DL165" s="347"/>
      <c r="DM165" s="347"/>
      <c r="DN165" s="353"/>
      <c r="DO165" s="348"/>
      <c r="DP165" s="348"/>
      <c r="DQ165" s="348"/>
      <c r="DR165" s="348"/>
      <c r="DS165" s="348"/>
      <c r="DT165" s="348"/>
      <c r="DU165" s="348"/>
      <c r="DV165" s="348"/>
      <c r="DW165" s="348"/>
      <c r="DX165" s="348"/>
      <c r="DY165" s="348"/>
      <c r="DZ165" s="348"/>
      <c r="EA165" s="348"/>
      <c r="EB165" s="349"/>
      <c r="EC165" s="349"/>
      <c r="ED165" s="349"/>
      <c r="EE165" s="349"/>
      <c r="EF165" s="349"/>
      <c r="EG165" s="349"/>
      <c r="EH165" s="349"/>
      <c r="EI165" s="349"/>
      <c r="EJ165" s="349"/>
      <c r="EK165" s="341"/>
      <c r="EL165" s="339"/>
      <c r="EM165" s="339"/>
      <c r="EN165" s="339"/>
      <c r="EO165" s="341"/>
      <c r="EP165" s="339"/>
      <c r="EQ165" s="339"/>
      <c r="ER165" s="339"/>
      <c r="ES165" s="350"/>
      <c r="ET165" s="350"/>
      <c r="EU165" s="350"/>
      <c r="EV165" s="350"/>
      <c r="EW165" s="350"/>
      <c r="EX165" s="350"/>
      <c r="EY165" s="350"/>
      <c r="EZ165" s="345"/>
      <c r="FA165" s="339"/>
      <c r="FB165" s="339"/>
      <c r="FC165" s="339"/>
      <c r="GA165" s="94"/>
      <c r="GB165" s="94"/>
      <c r="GC165" s="94"/>
      <c r="GD165" s="94"/>
      <c r="GE165" s="94"/>
      <c r="GF165" s="94"/>
      <c r="GG165" s="94"/>
    </row>
    <row r="166" spans="1:189" s="63" customFormat="1">
      <c r="A166" s="95"/>
      <c r="B166" s="351"/>
      <c r="C166" s="339"/>
      <c r="D166" s="339"/>
      <c r="E166" s="339"/>
      <c r="F166" s="339"/>
      <c r="G166" s="339"/>
      <c r="H166" s="339"/>
      <c r="I166" s="352"/>
      <c r="J166" s="340"/>
      <c r="K166" s="340"/>
      <c r="L166" s="352"/>
      <c r="M166" s="352"/>
      <c r="N166" s="352"/>
      <c r="O166" s="352"/>
      <c r="P166" s="352"/>
      <c r="Q166" s="352"/>
      <c r="R166" s="352"/>
      <c r="S166" s="352"/>
      <c r="T166" s="352"/>
      <c r="U166" s="352"/>
      <c r="V166" s="340"/>
      <c r="W166" s="340"/>
      <c r="X166" s="340"/>
      <c r="Y166" s="340"/>
      <c r="Z166" s="340"/>
      <c r="AA166" s="340"/>
      <c r="AB166" s="340"/>
      <c r="AC166" s="340"/>
      <c r="AD166" s="340"/>
      <c r="AE166" s="340"/>
      <c r="AF166" s="340"/>
      <c r="AG166" s="340"/>
      <c r="AH166" s="340"/>
      <c r="AI166" s="340"/>
      <c r="AJ166" s="340"/>
      <c r="AK166" s="340"/>
      <c r="AL166" s="340"/>
      <c r="AM166" s="340"/>
      <c r="AN166" s="344"/>
      <c r="AO166" s="346"/>
      <c r="AP166" s="340"/>
      <c r="AQ166" s="340"/>
      <c r="AR166" s="340"/>
      <c r="AS166" s="340"/>
      <c r="AT166" s="340"/>
      <c r="AU166" s="340"/>
      <c r="AV166" s="340"/>
      <c r="AW166" s="340"/>
      <c r="AX166" s="340"/>
      <c r="AY166" s="340"/>
      <c r="AZ166" s="340"/>
      <c r="BA166" s="340"/>
      <c r="BB166" s="340"/>
      <c r="BC166" s="340"/>
      <c r="BD166" s="340"/>
      <c r="BE166" s="340"/>
      <c r="BF166" s="340"/>
      <c r="BG166" s="340"/>
      <c r="BH166" s="340"/>
      <c r="BI166" s="340"/>
      <c r="BJ166" s="340"/>
      <c r="BK166" s="340"/>
      <c r="BL166" s="340"/>
      <c r="BM166" s="340"/>
      <c r="BN166" s="340"/>
      <c r="BO166" s="340"/>
      <c r="BP166" s="340"/>
      <c r="BQ166" s="340"/>
      <c r="BR166" s="340"/>
      <c r="BS166" s="340"/>
      <c r="BT166" s="340"/>
      <c r="BU166" s="340"/>
      <c r="BV166" s="340"/>
      <c r="BW166" s="340"/>
      <c r="BX166" s="340"/>
      <c r="BY166" s="340"/>
      <c r="BZ166" s="340"/>
      <c r="CA166" s="340"/>
      <c r="CB166" s="340"/>
      <c r="CC166" s="340"/>
      <c r="CD166" s="340"/>
      <c r="CE166" s="340"/>
      <c r="CF166" s="346"/>
      <c r="CG166" s="340"/>
      <c r="CH166" s="346"/>
      <c r="CI166" s="346"/>
      <c r="CJ166" s="346"/>
      <c r="CK166" s="346"/>
      <c r="CL166" s="340"/>
      <c r="CM166" s="340"/>
      <c r="CN166" s="340"/>
      <c r="CO166" s="340"/>
      <c r="CP166" s="340"/>
      <c r="CQ166" s="340"/>
      <c r="CR166" s="340"/>
      <c r="CS166" s="260"/>
      <c r="CT166" s="260"/>
      <c r="CU166" s="260"/>
      <c r="CV166" s="260"/>
      <c r="CW166" s="260"/>
      <c r="CX166" s="260"/>
      <c r="CY166" s="260"/>
      <c r="CZ166" s="260"/>
      <c r="DA166" s="260"/>
      <c r="DB166" s="260"/>
      <c r="DC166" s="260"/>
      <c r="DD166" s="260"/>
      <c r="DE166" s="260"/>
      <c r="DF166" s="260"/>
      <c r="DG166" s="260"/>
      <c r="DH166" s="260"/>
      <c r="DI166" s="260"/>
      <c r="DJ166" s="347"/>
      <c r="DK166" s="347"/>
      <c r="DL166" s="347"/>
      <c r="DM166" s="347"/>
      <c r="DN166" s="353"/>
      <c r="DO166" s="348"/>
      <c r="DP166" s="348"/>
      <c r="DQ166" s="348"/>
      <c r="DR166" s="348"/>
      <c r="DS166" s="348"/>
      <c r="DT166" s="348"/>
      <c r="DU166" s="348"/>
      <c r="DV166" s="348"/>
      <c r="DW166" s="348"/>
      <c r="DX166" s="348"/>
      <c r="DY166" s="348"/>
      <c r="DZ166" s="348"/>
      <c r="EA166" s="348"/>
      <c r="EB166" s="349"/>
      <c r="EC166" s="349"/>
      <c r="ED166" s="349"/>
      <c r="EE166" s="349"/>
      <c r="EF166" s="349"/>
      <c r="EG166" s="349"/>
      <c r="EH166" s="349"/>
      <c r="EI166" s="349"/>
      <c r="EJ166" s="349"/>
      <c r="EK166" s="341"/>
      <c r="EL166" s="339"/>
      <c r="EM166" s="339"/>
      <c r="EN166" s="339"/>
      <c r="EO166" s="341"/>
      <c r="EP166" s="339"/>
      <c r="EQ166" s="339"/>
      <c r="ER166" s="339"/>
      <c r="ES166" s="350"/>
      <c r="ET166" s="350"/>
      <c r="EU166" s="350"/>
      <c r="EV166" s="350"/>
      <c r="EW166" s="350"/>
      <c r="EX166" s="350"/>
      <c r="EY166" s="350"/>
      <c r="EZ166" s="345"/>
      <c r="FA166" s="339"/>
      <c r="FB166" s="339"/>
      <c r="FC166" s="339"/>
      <c r="GA166" s="94"/>
      <c r="GB166" s="94"/>
      <c r="GC166" s="94"/>
      <c r="GD166" s="94"/>
      <c r="GE166" s="94"/>
      <c r="GF166" s="94"/>
      <c r="GG166" s="94"/>
    </row>
    <row r="167" spans="1:189" s="63" customFormat="1">
      <c r="A167" s="95"/>
      <c r="B167" s="351"/>
      <c r="C167" s="339"/>
      <c r="D167" s="339"/>
      <c r="E167" s="339"/>
      <c r="F167" s="339"/>
      <c r="G167" s="339"/>
      <c r="H167" s="339"/>
      <c r="I167" s="352"/>
      <c r="J167" s="340"/>
      <c r="K167" s="340"/>
      <c r="L167" s="352"/>
      <c r="M167" s="352"/>
      <c r="N167" s="352"/>
      <c r="O167" s="352"/>
      <c r="P167" s="352"/>
      <c r="Q167" s="352"/>
      <c r="R167" s="352"/>
      <c r="S167" s="352"/>
      <c r="T167" s="352"/>
      <c r="U167" s="352"/>
      <c r="V167" s="340"/>
      <c r="W167" s="340"/>
      <c r="X167" s="340"/>
      <c r="Y167" s="340"/>
      <c r="Z167" s="340"/>
      <c r="AA167" s="340"/>
      <c r="AB167" s="340"/>
      <c r="AC167" s="340"/>
      <c r="AD167" s="340"/>
      <c r="AE167" s="340"/>
      <c r="AF167" s="340"/>
      <c r="AG167" s="340"/>
      <c r="AH167" s="340"/>
      <c r="AI167" s="340"/>
      <c r="AJ167" s="340"/>
      <c r="AK167" s="340"/>
      <c r="AL167" s="340"/>
      <c r="AM167" s="340"/>
      <c r="AN167" s="344"/>
      <c r="AO167" s="346"/>
      <c r="AP167" s="340"/>
      <c r="AQ167" s="340"/>
      <c r="AR167" s="340"/>
      <c r="AS167" s="340"/>
      <c r="AT167" s="340"/>
      <c r="AU167" s="340"/>
      <c r="AV167" s="340"/>
      <c r="AW167" s="340"/>
      <c r="AX167" s="340"/>
      <c r="AY167" s="340"/>
      <c r="AZ167" s="340"/>
      <c r="BA167" s="340"/>
      <c r="BB167" s="340"/>
      <c r="BC167" s="340"/>
      <c r="BD167" s="340"/>
      <c r="BE167" s="340"/>
      <c r="BF167" s="340"/>
      <c r="BG167" s="340"/>
      <c r="BH167" s="340"/>
      <c r="BI167" s="340"/>
      <c r="BJ167" s="340"/>
      <c r="BK167" s="340"/>
      <c r="BL167" s="340"/>
      <c r="BM167" s="340"/>
      <c r="BN167" s="340"/>
      <c r="BO167" s="340"/>
      <c r="BP167" s="340"/>
      <c r="BQ167" s="340"/>
      <c r="BR167" s="340"/>
      <c r="BS167" s="340"/>
      <c r="BT167" s="340"/>
      <c r="BU167" s="340"/>
      <c r="BV167" s="340"/>
      <c r="BW167" s="340"/>
      <c r="BX167" s="340"/>
      <c r="BY167" s="340"/>
      <c r="BZ167" s="340"/>
      <c r="CA167" s="340"/>
      <c r="CB167" s="340"/>
      <c r="CC167" s="340"/>
      <c r="CD167" s="340"/>
      <c r="CE167" s="340"/>
      <c r="CF167" s="346"/>
      <c r="CG167" s="340"/>
      <c r="CH167" s="346"/>
      <c r="CI167" s="346"/>
      <c r="CJ167" s="346"/>
      <c r="CK167" s="346"/>
      <c r="CL167" s="340"/>
      <c r="CM167" s="340"/>
      <c r="CN167" s="340"/>
      <c r="CO167" s="340"/>
      <c r="CP167" s="340"/>
      <c r="CQ167" s="340"/>
      <c r="CR167" s="340"/>
      <c r="CS167" s="260"/>
      <c r="CT167" s="260"/>
      <c r="CU167" s="260"/>
      <c r="CV167" s="260"/>
      <c r="CW167" s="260"/>
      <c r="CX167" s="260"/>
      <c r="CY167" s="260"/>
      <c r="CZ167" s="260"/>
      <c r="DA167" s="260"/>
      <c r="DB167" s="260"/>
      <c r="DC167" s="260"/>
      <c r="DD167" s="260"/>
      <c r="DE167" s="260"/>
      <c r="DF167" s="260"/>
      <c r="DG167" s="260"/>
      <c r="DH167" s="260"/>
      <c r="DI167" s="260"/>
      <c r="DJ167" s="347"/>
      <c r="DK167" s="347"/>
      <c r="DL167" s="347"/>
      <c r="DM167" s="347"/>
      <c r="DN167" s="353"/>
      <c r="DO167" s="348"/>
      <c r="DP167" s="348"/>
      <c r="DQ167" s="348"/>
      <c r="DR167" s="348"/>
      <c r="DS167" s="348"/>
      <c r="DT167" s="348"/>
      <c r="DU167" s="348"/>
      <c r="DV167" s="348"/>
      <c r="DW167" s="348"/>
      <c r="DX167" s="348"/>
      <c r="DY167" s="348"/>
      <c r="DZ167" s="348"/>
      <c r="EA167" s="348"/>
      <c r="EB167" s="349"/>
      <c r="EC167" s="349"/>
      <c r="ED167" s="349"/>
      <c r="EE167" s="349"/>
      <c r="EF167" s="349"/>
      <c r="EG167" s="349"/>
      <c r="EH167" s="349"/>
      <c r="EI167" s="349"/>
      <c r="EJ167" s="349"/>
      <c r="EK167" s="341"/>
      <c r="EL167" s="339"/>
      <c r="EM167" s="339"/>
      <c r="EN167" s="339"/>
      <c r="EO167" s="341"/>
      <c r="EP167" s="339"/>
      <c r="EQ167" s="339"/>
      <c r="ER167" s="339"/>
      <c r="ES167" s="350"/>
      <c r="ET167" s="350"/>
      <c r="EU167" s="350"/>
      <c r="EV167" s="350"/>
      <c r="EW167" s="350"/>
      <c r="EX167" s="350"/>
      <c r="EY167" s="350"/>
      <c r="EZ167" s="345"/>
      <c r="FA167" s="339"/>
      <c r="FB167" s="339"/>
      <c r="FC167" s="339"/>
      <c r="GA167" s="94"/>
      <c r="GB167" s="94"/>
      <c r="GC167" s="94"/>
      <c r="GD167" s="94"/>
      <c r="GE167" s="94"/>
      <c r="GF167" s="94"/>
      <c r="GG167" s="94"/>
    </row>
    <row r="168" spans="1:189" s="63" customFormat="1">
      <c r="A168" s="95"/>
      <c r="B168" s="351"/>
      <c r="C168" s="339"/>
      <c r="D168" s="339"/>
      <c r="E168" s="339"/>
      <c r="F168" s="339"/>
      <c r="G168" s="339"/>
      <c r="H168" s="339"/>
      <c r="I168" s="352"/>
      <c r="J168" s="340"/>
      <c r="K168" s="340"/>
      <c r="L168" s="352"/>
      <c r="M168" s="352"/>
      <c r="N168" s="352"/>
      <c r="O168" s="352"/>
      <c r="P168" s="352"/>
      <c r="Q168" s="352"/>
      <c r="R168" s="352"/>
      <c r="S168" s="352"/>
      <c r="T168" s="352"/>
      <c r="U168" s="352"/>
      <c r="V168" s="340"/>
      <c r="W168" s="340"/>
      <c r="X168" s="340"/>
      <c r="Y168" s="340"/>
      <c r="Z168" s="340"/>
      <c r="AA168" s="340"/>
      <c r="AB168" s="340"/>
      <c r="AC168" s="340"/>
      <c r="AD168" s="340"/>
      <c r="AE168" s="340"/>
      <c r="AF168" s="340"/>
      <c r="AG168" s="340"/>
      <c r="AH168" s="340"/>
      <c r="AI168" s="340"/>
      <c r="AJ168" s="340"/>
      <c r="AK168" s="340"/>
      <c r="AL168" s="340"/>
      <c r="AM168" s="340"/>
      <c r="AN168" s="344"/>
      <c r="AO168" s="346"/>
      <c r="AP168" s="340"/>
      <c r="AQ168" s="340"/>
      <c r="AR168" s="340"/>
      <c r="AS168" s="340"/>
      <c r="AT168" s="340"/>
      <c r="AU168" s="340"/>
      <c r="AV168" s="340"/>
      <c r="AW168" s="340"/>
      <c r="AX168" s="340"/>
      <c r="AY168" s="340"/>
      <c r="AZ168" s="340"/>
      <c r="BA168" s="340"/>
      <c r="BB168" s="340"/>
      <c r="BC168" s="340"/>
      <c r="BD168" s="340"/>
      <c r="BE168" s="340"/>
      <c r="BF168" s="340"/>
      <c r="BG168" s="340"/>
      <c r="BH168" s="340"/>
      <c r="BI168" s="340"/>
      <c r="BJ168" s="340"/>
      <c r="BK168" s="340"/>
      <c r="BL168" s="340"/>
      <c r="BM168" s="340"/>
      <c r="BN168" s="340"/>
      <c r="BO168" s="340"/>
      <c r="BP168" s="340"/>
      <c r="BQ168" s="340"/>
      <c r="BR168" s="340"/>
      <c r="BS168" s="340"/>
      <c r="BT168" s="340"/>
      <c r="BU168" s="340"/>
      <c r="BV168" s="340"/>
      <c r="BW168" s="340"/>
      <c r="BX168" s="340"/>
      <c r="BY168" s="340"/>
      <c r="BZ168" s="340"/>
      <c r="CA168" s="340"/>
      <c r="CB168" s="340"/>
      <c r="CC168" s="340"/>
      <c r="CD168" s="340"/>
      <c r="CE168" s="340"/>
      <c r="CF168" s="346"/>
      <c r="CG168" s="340"/>
      <c r="CH168" s="346"/>
      <c r="CI168" s="346"/>
      <c r="CJ168" s="346"/>
      <c r="CK168" s="346"/>
      <c r="CL168" s="340"/>
      <c r="CM168" s="340"/>
      <c r="CN168" s="340"/>
      <c r="CO168" s="340"/>
      <c r="CP168" s="340"/>
      <c r="CQ168" s="340"/>
      <c r="CR168" s="340"/>
      <c r="CS168" s="260"/>
      <c r="CT168" s="260"/>
      <c r="CU168" s="260"/>
      <c r="CV168" s="260"/>
      <c r="CW168" s="260"/>
      <c r="CX168" s="260"/>
      <c r="CY168" s="260"/>
      <c r="CZ168" s="260"/>
      <c r="DA168" s="260"/>
      <c r="DB168" s="260"/>
      <c r="DC168" s="260"/>
      <c r="DD168" s="260"/>
      <c r="DE168" s="260"/>
      <c r="DF168" s="260"/>
      <c r="DG168" s="260"/>
      <c r="DH168" s="260"/>
      <c r="DI168" s="260"/>
      <c r="DJ168" s="347"/>
      <c r="DK168" s="347"/>
      <c r="DL168" s="347"/>
      <c r="DM168" s="347"/>
      <c r="DN168" s="353"/>
      <c r="DO168" s="348"/>
      <c r="DP168" s="348"/>
      <c r="DQ168" s="348"/>
      <c r="DR168" s="348"/>
      <c r="DS168" s="348"/>
      <c r="DT168" s="348"/>
      <c r="DU168" s="348"/>
      <c r="DV168" s="348"/>
      <c r="DW168" s="348"/>
      <c r="DX168" s="348"/>
      <c r="DY168" s="348"/>
      <c r="DZ168" s="348"/>
      <c r="EA168" s="348"/>
      <c r="EB168" s="349"/>
      <c r="EC168" s="349"/>
      <c r="ED168" s="349"/>
      <c r="EE168" s="349"/>
      <c r="EF168" s="349"/>
      <c r="EG168" s="349"/>
      <c r="EH168" s="349"/>
      <c r="EI168" s="349"/>
      <c r="EJ168" s="349"/>
      <c r="EK168" s="341"/>
      <c r="EL168" s="339"/>
      <c r="EM168" s="339"/>
      <c r="EN168" s="339"/>
      <c r="EO168" s="341"/>
      <c r="EP168" s="339"/>
      <c r="EQ168" s="339"/>
      <c r="ER168" s="339"/>
      <c r="ES168" s="350"/>
      <c r="ET168" s="350"/>
      <c r="EU168" s="350"/>
      <c r="EV168" s="350"/>
      <c r="EW168" s="350"/>
      <c r="EX168" s="350"/>
      <c r="EY168" s="350"/>
      <c r="EZ168" s="345"/>
      <c r="FA168" s="339"/>
      <c r="FB168" s="339"/>
      <c r="FC168" s="339"/>
      <c r="GA168" s="94"/>
      <c r="GB168" s="94"/>
      <c r="GC168" s="94"/>
      <c r="GD168" s="94"/>
      <c r="GE168" s="94"/>
      <c r="GF168" s="94"/>
      <c r="GG168" s="94"/>
    </row>
    <row r="169" spans="1:189" s="63" customFormat="1">
      <c r="A169" s="95"/>
      <c r="B169" s="351"/>
      <c r="C169" s="339"/>
      <c r="D169" s="339"/>
      <c r="E169" s="339"/>
      <c r="F169" s="339"/>
      <c r="G169" s="339"/>
      <c r="H169" s="339"/>
      <c r="I169" s="352"/>
      <c r="J169" s="340"/>
      <c r="K169" s="340"/>
      <c r="L169" s="352"/>
      <c r="M169" s="352"/>
      <c r="N169" s="352"/>
      <c r="O169" s="352"/>
      <c r="P169" s="352"/>
      <c r="Q169" s="352"/>
      <c r="R169" s="352"/>
      <c r="S169" s="352"/>
      <c r="T169" s="352"/>
      <c r="U169" s="352"/>
      <c r="V169" s="340"/>
      <c r="W169" s="340"/>
      <c r="X169" s="340"/>
      <c r="Y169" s="340"/>
      <c r="Z169" s="340"/>
      <c r="AA169" s="340"/>
      <c r="AB169" s="340"/>
      <c r="AC169" s="340"/>
      <c r="AD169" s="340"/>
      <c r="AE169" s="340"/>
      <c r="AF169" s="340"/>
      <c r="AG169" s="340"/>
      <c r="AH169" s="340"/>
      <c r="AI169" s="340"/>
      <c r="AJ169" s="340"/>
      <c r="AK169" s="340"/>
      <c r="AL169" s="340"/>
      <c r="AM169" s="340"/>
      <c r="AN169" s="344"/>
      <c r="AO169" s="346"/>
      <c r="AP169" s="340"/>
      <c r="AQ169" s="340"/>
      <c r="AR169" s="340"/>
      <c r="AS169" s="340"/>
      <c r="AT169" s="340"/>
      <c r="AU169" s="340"/>
      <c r="AV169" s="340"/>
      <c r="AW169" s="340"/>
      <c r="AX169" s="340"/>
      <c r="AY169" s="340"/>
      <c r="AZ169" s="340"/>
      <c r="BA169" s="340"/>
      <c r="BB169" s="340"/>
      <c r="BC169" s="340"/>
      <c r="BD169" s="340"/>
      <c r="BE169" s="340"/>
      <c r="BF169" s="340"/>
      <c r="BG169" s="340"/>
      <c r="BH169" s="340"/>
      <c r="BI169" s="340"/>
      <c r="BJ169" s="340"/>
      <c r="BK169" s="340"/>
      <c r="BL169" s="340"/>
      <c r="BM169" s="340"/>
      <c r="BN169" s="340"/>
      <c r="BO169" s="340"/>
      <c r="BP169" s="340"/>
      <c r="BQ169" s="340"/>
      <c r="BR169" s="340"/>
      <c r="BS169" s="340"/>
      <c r="BT169" s="340"/>
      <c r="BU169" s="340"/>
      <c r="BV169" s="340"/>
      <c r="BW169" s="340"/>
      <c r="BX169" s="340"/>
      <c r="BY169" s="340"/>
      <c r="BZ169" s="340"/>
      <c r="CA169" s="340"/>
      <c r="CB169" s="340"/>
      <c r="CC169" s="340"/>
      <c r="CD169" s="340"/>
      <c r="CE169" s="340"/>
      <c r="CF169" s="346"/>
      <c r="CG169" s="340"/>
      <c r="CH169" s="346"/>
      <c r="CI169" s="346"/>
      <c r="CJ169" s="346"/>
      <c r="CK169" s="346"/>
      <c r="CL169" s="340"/>
      <c r="CM169" s="340"/>
      <c r="CN169" s="340"/>
      <c r="CO169" s="340"/>
      <c r="CP169" s="340"/>
      <c r="CQ169" s="340"/>
      <c r="CR169" s="340"/>
      <c r="CS169" s="260"/>
      <c r="CT169" s="260"/>
      <c r="CU169" s="260"/>
      <c r="CV169" s="260"/>
      <c r="CW169" s="260"/>
      <c r="CX169" s="260"/>
      <c r="CY169" s="260"/>
      <c r="CZ169" s="260"/>
      <c r="DA169" s="260"/>
      <c r="DB169" s="260"/>
      <c r="DC169" s="260"/>
      <c r="DD169" s="260"/>
      <c r="DE169" s="260"/>
      <c r="DF169" s="260"/>
      <c r="DG169" s="260"/>
      <c r="DH169" s="260"/>
      <c r="DI169" s="260"/>
      <c r="DJ169" s="347"/>
      <c r="DK169" s="347"/>
      <c r="DL169" s="347"/>
      <c r="DM169" s="347"/>
      <c r="DN169" s="353"/>
      <c r="DO169" s="348"/>
      <c r="DP169" s="348"/>
      <c r="DQ169" s="348"/>
      <c r="DR169" s="348"/>
      <c r="DS169" s="348"/>
      <c r="DT169" s="348"/>
      <c r="DU169" s="348"/>
      <c r="DV169" s="348"/>
      <c r="DW169" s="348"/>
      <c r="DX169" s="348"/>
      <c r="DY169" s="348"/>
      <c r="DZ169" s="348"/>
      <c r="EA169" s="348"/>
      <c r="EB169" s="349"/>
      <c r="EC169" s="349"/>
      <c r="ED169" s="349"/>
      <c r="EE169" s="349"/>
      <c r="EF169" s="349"/>
      <c r="EG169" s="349"/>
      <c r="EH169" s="349"/>
      <c r="EI169" s="349"/>
      <c r="EJ169" s="349"/>
      <c r="EK169" s="341"/>
      <c r="EL169" s="339"/>
      <c r="EM169" s="339"/>
      <c r="EN169" s="339"/>
      <c r="EO169" s="341"/>
      <c r="EP169" s="339"/>
      <c r="EQ169" s="339"/>
      <c r="ER169" s="339"/>
      <c r="ES169" s="350"/>
      <c r="ET169" s="350"/>
      <c r="EU169" s="350"/>
      <c r="EV169" s="350"/>
      <c r="EW169" s="350"/>
      <c r="EX169" s="350"/>
      <c r="EY169" s="350"/>
      <c r="EZ169" s="345"/>
      <c r="FA169" s="339"/>
      <c r="FB169" s="339"/>
      <c r="FC169" s="339"/>
      <c r="GA169" s="94"/>
      <c r="GB169" s="94"/>
      <c r="GC169" s="94"/>
      <c r="GD169" s="94"/>
      <c r="GE169" s="94"/>
      <c r="GF169" s="94"/>
      <c r="GG169" s="94"/>
    </row>
    <row r="170" spans="1:189" s="63" customFormat="1">
      <c r="A170" s="95"/>
      <c r="B170" s="351"/>
      <c r="C170" s="339"/>
      <c r="D170" s="339"/>
      <c r="E170" s="339"/>
      <c r="F170" s="339"/>
      <c r="G170" s="339"/>
      <c r="H170" s="339"/>
      <c r="I170" s="352"/>
      <c r="J170" s="340"/>
      <c r="K170" s="340"/>
      <c r="L170" s="352"/>
      <c r="M170" s="352"/>
      <c r="N170" s="352"/>
      <c r="O170" s="352"/>
      <c r="P170" s="352"/>
      <c r="Q170" s="352"/>
      <c r="R170" s="352"/>
      <c r="S170" s="352"/>
      <c r="T170" s="352"/>
      <c r="U170" s="352"/>
      <c r="V170" s="340"/>
      <c r="W170" s="340"/>
      <c r="X170" s="340"/>
      <c r="Y170" s="340"/>
      <c r="Z170" s="340"/>
      <c r="AA170" s="340"/>
      <c r="AB170" s="340"/>
      <c r="AC170" s="340"/>
      <c r="AD170" s="340"/>
      <c r="AE170" s="340"/>
      <c r="AF170" s="340"/>
      <c r="AG170" s="340"/>
      <c r="AH170" s="340"/>
      <c r="AI170" s="340"/>
      <c r="AJ170" s="340"/>
      <c r="AK170" s="340"/>
      <c r="AL170" s="340"/>
      <c r="AM170" s="340"/>
      <c r="AN170" s="344"/>
      <c r="AO170" s="346"/>
      <c r="AP170" s="340"/>
      <c r="AQ170" s="340"/>
      <c r="AR170" s="340"/>
      <c r="AS170" s="340"/>
      <c r="AT170" s="340"/>
      <c r="AU170" s="340"/>
      <c r="AV170" s="340"/>
      <c r="AW170" s="340"/>
      <c r="AX170" s="340"/>
      <c r="AY170" s="340"/>
      <c r="AZ170" s="340"/>
      <c r="BA170" s="340"/>
      <c r="BB170" s="340"/>
      <c r="BC170" s="340"/>
      <c r="BD170" s="340"/>
      <c r="BE170" s="340"/>
      <c r="BF170" s="340"/>
      <c r="BG170" s="340"/>
      <c r="BH170" s="340"/>
      <c r="BI170" s="340"/>
      <c r="BJ170" s="340"/>
      <c r="BK170" s="340"/>
      <c r="BL170" s="340"/>
      <c r="BM170" s="340"/>
      <c r="BN170" s="340"/>
      <c r="BO170" s="340"/>
      <c r="BP170" s="340"/>
      <c r="BQ170" s="340"/>
      <c r="BR170" s="340"/>
      <c r="BS170" s="340"/>
      <c r="BT170" s="340"/>
      <c r="BU170" s="340"/>
      <c r="BV170" s="340"/>
      <c r="BW170" s="340"/>
      <c r="BX170" s="340"/>
      <c r="BY170" s="340"/>
      <c r="BZ170" s="340"/>
      <c r="CA170" s="340"/>
      <c r="CB170" s="340"/>
      <c r="CC170" s="340"/>
      <c r="CD170" s="340"/>
      <c r="CE170" s="340"/>
      <c r="CF170" s="346"/>
      <c r="CG170" s="340"/>
      <c r="CH170" s="346"/>
      <c r="CI170" s="346"/>
      <c r="CJ170" s="346"/>
      <c r="CK170" s="346"/>
      <c r="CL170" s="340"/>
      <c r="CM170" s="340"/>
      <c r="CN170" s="340"/>
      <c r="CO170" s="340"/>
      <c r="CP170" s="340"/>
      <c r="CQ170" s="340"/>
      <c r="CR170" s="340"/>
      <c r="CS170" s="260"/>
      <c r="CT170" s="260"/>
      <c r="CU170" s="260"/>
      <c r="CV170" s="260"/>
      <c r="CW170" s="260"/>
      <c r="CX170" s="260"/>
      <c r="CY170" s="260"/>
      <c r="CZ170" s="260"/>
      <c r="DA170" s="260"/>
      <c r="DB170" s="260"/>
      <c r="DC170" s="260"/>
      <c r="DD170" s="260"/>
      <c r="DE170" s="260"/>
      <c r="DF170" s="260"/>
      <c r="DG170" s="260"/>
      <c r="DH170" s="260"/>
      <c r="DI170" s="260"/>
      <c r="DJ170" s="347"/>
      <c r="DK170" s="347"/>
      <c r="DL170" s="347"/>
      <c r="DM170" s="347"/>
      <c r="DN170" s="353"/>
      <c r="DO170" s="348"/>
      <c r="DP170" s="348"/>
      <c r="DQ170" s="348"/>
      <c r="DR170" s="348"/>
      <c r="DS170" s="348"/>
      <c r="DT170" s="348"/>
      <c r="DU170" s="348"/>
      <c r="DV170" s="348"/>
      <c r="DW170" s="348"/>
      <c r="DX170" s="348"/>
      <c r="DY170" s="348"/>
      <c r="DZ170" s="348"/>
      <c r="EA170" s="348"/>
      <c r="EB170" s="349"/>
      <c r="EC170" s="349"/>
      <c r="ED170" s="349"/>
      <c r="EE170" s="349"/>
      <c r="EF170" s="349"/>
      <c r="EG170" s="349"/>
      <c r="EH170" s="349"/>
      <c r="EI170" s="349"/>
      <c r="EJ170" s="349"/>
      <c r="EK170" s="341"/>
      <c r="EL170" s="339"/>
      <c r="EM170" s="339"/>
      <c r="EN170" s="339"/>
      <c r="EO170" s="341"/>
      <c r="EP170" s="339"/>
      <c r="EQ170" s="339"/>
      <c r="ER170" s="339"/>
      <c r="ES170" s="350"/>
      <c r="ET170" s="350"/>
      <c r="EU170" s="350"/>
      <c r="EV170" s="350"/>
      <c r="EW170" s="350"/>
      <c r="EX170" s="350"/>
      <c r="EY170" s="350"/>
      <c r="EZ170" s="345"/>
      <c r="FA170" s="339"/>
      <c r="FB170" s="339"/>
      <c r="FC170" s="339"/>
      <c r="GA170" s="94"/>
      <c r="GB170" s="94"/>
      <c r="GC170" s="94"/>
      <c r="GD170" s="94"/>
      <c r="GE170" s="94"/>
      <c r="GF170" s="94"/>
      <c r="GG170" s="94"/>
    </row>
    <row r="171" spans="1:189" s="63" customFormat="1">
      <c r="A171" s="95"/>
      <c r="B171" s="351"/>
      <c r="C171" s="339"/>
      <c r="D171" s="339"/>
      <c r="E171" s="339"/>
      <c r="F171" s="339"/>
      <c r="G171" s="339"/>
      <c r="H171" s="339"/>
      <c r="I171" s="352"/>
      <c r="J171" s="340"/>
      <c r="K171" s="340"/>
      <c r="L171" s="352"/>
      <c r="M171" s="352"/>
      <c r="N171" s="352"/>
      <c r="O171" s="352"/>
      <c r="P171" s="352"/>
      <c r="Q171" s="352"/>
      <c r="R171" s="352"/>
      <c r="S171" s="352"/>
      <c r="T171" s="352"/>
      <c r="U171" s="352"/>
      <c r="V171" s="340"/>
      <c r="W171" s="340"/>
      <c r="X171" s="340"/>
      <c r="Y171" s="340"/>
      <c r="Z171" s="340"/>
      <c r="AA171" s="340"/>
      <c r="AB171" s="340"/>
      <c r="AC171" s="340"/>
      <c r="AD171" s="340"/>
      <c r="AE171" s="340"/>
      <c r="AF171" s="340"/>
      <c r="AG171" s="340"/>
      <c r="AH171" s="340"/>
      <c r="AI171" s="340"/>
      <c r="AJ171" s="340"/>
      <c r="AK171" s="340"/>
      <c r="AL171" s="340"/>
      <c r="AM171" s="340"/>
      <c r="AN171" s="344"/>
      <c r="AO171" s="346"/>
      <c r="AP171" s="340"/>
      <c r="AQ171" s="340"/>
      <c r="AR171" s="340"/>
      <c r="AS171" s="340"/>
      <c r="AT171" s="340"/>
      <c r="AU171" s="340"/>
      <c r="AV171" s="340"/>
      <c r="AW171" s="340"/>
      <c r="AX171" s="340"/>
      <c r="AY171" s="340"/>
      <c r="AZ171" s="340"/>
      <c r="BA171" s="340"/>
      <c r="BB171" s="340"/>
      <c r="BC171" s="340"/>
      <c r="BD171" s="340"/>
      <c r="BE171" s="340"/>
      <c r="BF171" s="340"/>
      <c r="BG171" s="340"/>
      <c r="BH171" s="340"/>
      <c r="BI171" s="340"/>
      <c r="BJ171" s="340"/>
      <c r="BK171" s="340"/>
      <c r="BL171" s="340"/>
      <c r="BM171" s="340"/>
      <c r="BN171" s="340"/>
      <c r="BO171" s="340"/>
      <c r="BP171" s="340"/>
      <c r="BQ171" s="340"/>
      <c r="BR171" s="340"/>
      <c r="BS171" s="340"/>
      <c r="BT171" s="340"/>
      <c r="BU171" s="340"/>
      <c r="BV171" s="340"/>
      <c r="BW171" s="340"/>
      <c r="BX171" s="340"/>
      <c r="BY171" s="340"/>
      <c r="BZ171" s="340"/>
      <c r="CA171" s="340"/>
      <c r="CB171" s="340"/>
      <c r="CC171" s="340"/>
      <c r="CD171" s="340"/>
      <c r="CE171" s="340"/>
      <c r="CF171" s="346"/>
      <c r="CG171" s="340"/>
      <c r="CH171" s="346"/>
      <c r="CI171" s="346"/>
      <c r="CJ171" s="346"/>
      <c r="CK171" s="346"/>
      <c r="CL171" s="340"/>
      <c r="CM171" s="340"/>
      <c r="CN171" s="340"/>
      <c r="CO171" s="340"/>
      <c r="CP171" s="340"/>
      <c r="CQ171" s="340"/>
      <c r="CR171" s="340"/>
      <c r="CS171" s="260"/>
      <c r="CT171" s="260"/>
      <c r="CU171" s="260"/>
      <c r="CV171" s="260"/>
      <c r="CW171" s="260"/>
      <c r="CX171" s="260"/>
      <c r="CY171" s="260"/>
      <c r="CZ171" s="260"/>
      <c r="DA171" s="260"/>
      <c r="DB171" s="260"/>
      <c r="DC171" s="260"/>
      <c r="DD171" s="260"/>
      <c r="DE171" s="260"/>
      <c r="DF171" s="260"/>
      <c r="DG171" s="260"/>
      <c r="DH171" s="260"/>
      <c r="DI171" s="260"/>
      <c r="DJ171" s="347"/>
      <c r="DK171" s="347"/>
      <c r="DL171" s="347"/>
      <c r="DM171" s="347"/>
      <c r="DN171" s="353"/>
      <c r="DO171" s="348"/>
      <c r="DP171" s="348"/>
      <c r="DQ171" s="348"/>
      <c r="DR171" s="348"/>
      <c r="DS171" s="348"/>
      <c r="DT171" s="348"/>
      <c r="DU171" s="348"/>
      <c r="DV171" s="348"/>
      <c r="DW171" s="348"/>
      <c r="DX171" s="348"/>
      <c r="DY171" s="348"/>
      <c r="DZ171" s="348"/>
      <c r="EA171" s="348"/>
      <c r="EB171" s="349"/>
      <c r="EC171" s="349"/>
      <c r="ED171" s="349"/>
      <c r="EE171" s="349"/>
      <c r="EF171" s="349"/>
      <c r="EG171" s="349"/>
      <c r="EH171" s="349"/>
      <c r="EI171" s="349"/>
      <c r="EJ171" s="349"/>
      <c r="EK171" s="341"/>
      <c r="EL171" s="339"/>
      <c r="EM171" s="339"/>
      <c r="EN171" s="339"/>
      <c r="EO171" s="341"/>
      <c r="EP171" s="339"/>
      <c r="EQ171" s="339"/>
      <c r="ER171" s="339"/>
      <c r="ES171" s="350"/>
      <c r="ET171" s="350"/>
      <c r="EU171" s="350"/>
      <c r="EV171" s="350"/>
      <c r="EW171" s="350"/>
      <c r="EX171" s="350"/>
      <c r="EY171" s="350"/>
      <c r="EZ171" s="345"/>
      <c r="FA171" s="339"/>
      <c r="FB171" s="339"/>
      <c r="FC171" s="339"/>
      <c r="GA171" s="94"/>
      <c r="GB171" s="94"/>
      <c r="GC171" s="94"/>
      <c r="GD171" s="94"/>
      <c r="GE171" s="94"/>
      <c r="GF171" s="94"/>
      <c r="GG171" s="94"/>
    </row>
    <row r="172" spans="1:189" s="63" customFormat="1">
      <c r="A172" s="95"/>
      <c r="B172" s="351"/>
      <c r="C172" s="339"/>
      <c r="D172" s="339"/>
      <c r="E172" s="339"/>
      <c r="F172" s="339"/>
      <c r="G172" s="339"/>
      <c r="H172" s="339"/>
      <c r="I172" s="352"/>
      <c r="J172" s="340"/>
      <c r="K172" s="340"/>
      <c r="L172" s="352"/>
      <c r="M172" s="352"/>
      <c r="N172" s="352"/>
      <c r="O172" s="352"/>
      <c r="P172" s="352"/>
      <c r="Q172" s="352"/>
      <c r="R172" s="352"/>
      <c r="S172" s="352"/>
      <c r="T172" s="352"/>
      <c r="U172" s="352"/>
      <c r="V172" s="340"/>
      <c r="W172" s="340"/>
      <c r="X172" s="340"/>
      <c r="Y172" s="340"/>
      <c r="Z172" s="340"/>
      <c r="AA172" s="340"/>
      <c r="AB172" s="340"/>
      <c r="AC172" s="340"/>
      <c r="AD172" s="340"/>
      <c r="AE172" s="340"/>
      <c r="AF172" s="340"/>
      <c r="AG172" s="340"/>
      <c r="AH172" s="340"/>
      <c r="AI172" s="340"/>
      <c r="AJ172" s="340"/>
      <c r="AK172" s="340"/>
      <c r="AL172" s="340"/>
      <c r="AM172" s="340"/>
      <c r="AN172" s="344"/>
      <c r="AO172" s="346"/>
      <c r="AP172" s="340"/>
      <c r="AQ172" s="340"/>
      <c r="AR172" s="340"/>
      <c r="AS172" s="340"/>
      <c r="AT172" s="340"/>
      <c r="AU172" s="340"/>
      <c r="AV172" s="340"/>
      <c r="AW172" s="340"/>
      <c r="AX172" s="340"/>
      <c r="AY172" s="340"/>
      <c r="AZ172" s="340"/>
      <c r="BA172" s="340"/>
      <c r="BB172" s="340"/>
      <c r="BC172" s="340"/>
      <c r="BD172" s="340"/>
      <c r="BE172" s="340"/>
      <c r="BF172" s="340"/>
      <c r="BG172" s="340"/>
      <c r="BH172" s="340"/>
      <c r="BI172" s="340"/>
      <c r="BJ172" s="340"/>
      <c r="BK172" s="340"/>
      <c r="BL172" s="340"/>
      <c r="BM172" s="340"/>
      <c r="BN172" s="340"/>
      <c r="BO172" s="340"/>
      <c r="BP172" s="340"/>
      <c r="BQ172" s="340"/>
      <c r="BR172" s="340"/>
      <c r="BS172" s="340"/>
      <c r="BT172" s="340"/>
      <c r="BU172" s="340"/>
      <c r="BV172" s="340"/>
      <c r="BW172" s="340"/>
      <c r="BX172" s="340"/>
      <c r="BY172" s="340"/>
      <c r="BZ172" s="340"/>
      <c r="CA172" s="340"/>
      <c r="CB172" s="340"/>
      <c r="CC172" s="340"/>
      <c r="CD172" s="340"/>
      <c r="CE172" s="340"/>
      <c r="CF172" s="346"/>
      <c r="CG172" s="340"/>
      <c r="CH172" s="346"/>
      <c r="CI172" s="346"/>
      <c r="CJ172" s="346"/>
      <c r="CK172" s="346"/>
      <c r="CL172" s="340"/>
      <c r="CM172" s="340"/>
      <c r="CN172" s="340"/>
      <c r="CO172" s="340"/>
      <c r="CP172" s="340"/>
      <c r="CQ172" s="340"/>
      <c r="CR172" s="340"/>
      <c r="CS172" s="260"/>
      <c r="CT172" s="260"/>
      <c r="CU172" s="260"/>
      <c r="CV172" s="260"/>
      <c r="CW172" s="260"/>
      <c r="CX172" s="260"/>
      <c r="CY172" s="260"/>
      <c r="CZ172" s="260"/>
      <c r="DA172" s="260"/>
      <c r="DB172" s="260"/>
      <c r="DC172" s="260"/>
      <c r="DD172" s="260"/>
      <c r="DE172" s="260"/>
      <c r="DF172" s="260"/>
      <c r="DG172" s="260"/>
      <c r="DH172" s="260"/>
      <c r="DI172" s="260"/>
      <c r="DJ172" s="347"/>
      <c r="DK172" s="347"/>
      <c r="DL172" s="347"/>
      <c r="DM172" s="347"/>
      <c r="DN172" s="353"/>
      <c r="DO172" s="348"/>
      <c r="DP172" s="348"/>
      <c r="DQ172" s="348"/>
      <c r="DR172" s="348"/>
      <c r="DS172" s="348"/>
      <c r="DT172" s="348"/>
      <c r="DU172" s="348"/>
      <c r="DV172" s="348"/>
      <c r="DW172" s="348"/>
      <c r="DX172" s="348"/>
      <c r="DY172" s="348"/>
      <c r="DZ172" s="348"/>
      <c r="EA172" s="348"/>
      <c r="EB172" s="349"/>
      <c r="EC172" s="349"/>
      <c r="ED172" s="349"/>
      <c r="EE172" s="349"/>
      <c r="EF172" s="349"/>
      <c r="EG172" s="349"/>
      <c r="EH172" s="349"/>
      <c r="EI172" s="349"/>
      <c r="EJ172" s="349"/>
      <c r="EK172" s="341"/>
      <c r="EL172" s="339"/>
      <c r="EM172" s="339"/>
      <c r="EN172" s="339"/>
      <c r="EO172" s="341"/>
      <c r="EP172" s="339"/>
      <c r="EQ172" s="339"/>
      <c r="ER172" s="339"/>
      <c r="ES172" s="350"/>
      <c r="ET172" s="350"/>
      <c r="EU172" s="350"/>
      <c r="EV172" s="350"/>
      <c r="EW172" s="350"/>
      <c r="EX172" s="350"/>
      <c r="EY172" s="350"/>
      <c r="EZ172" s="345"/>
      <c r="FA172" s="339"/>
      <c r="FB172" s="339"/>
      <c r="FC172" s="339"/>
      <c r="GA172" s="94"/>
      <c r="GB172" s="94"/>
      <c r="GC172" s="94"/>
      <c r="GD172" s="94"/>
      <c r="GE172" s="94"/>
      <c r="GF172" s="94"/>
      <c r="GG172" s="94"/>
    </row>
    <row r="173" spans="1:189" s="63" customFormat="1">
      <c r="A173" s="95"/>
      <c r="B173" s="351"/>
      <c r="C173" s="339"/>
      <c r="D173" s="339"/>
      <c r="E173" s="339"/>
      <c r="F173" s="339"/>
      <c r="G173" s="339"/>
      <c r="H173" s="339"/>
      <c r="I173" s="352"/>
      <c r="J173" s="340"/>
      <c r="K173" s="340"/>
      <c r="L173" s="352"/>
      <c r="M173" s="352"/>
      <c r="N173" s="352"/>
      <c r="O173" s="352"/>
      <c r="P173" s="352"/>
      <c r="Q173" s="352"/>
      <c r="R173" s="352"/>
      <c r="S173" s="352"/>
      <c r="T173" s="352"/>
      <c r="U173" s="352"/>
      <c r="V173" s="340"/>
      <c r="W173" s="340"/>
      <c r="X173" s="340"/>
      <c r="Y173" s="340"/>
      <c r="Z173" s="340"/>
      <c r="AA173" s="340"/>
      <c r="AB173" s="340"/>
      <c r="AC173" s="340"/>
      <c r="AD173" s="340"/>
      <c r="AE173" s="340"/>
      <c r="AF173" s="340"/>
      <c r="AG173" s="340"/>
      <c r="AH173" s="340"/>
      <c r="AI173" s="340"/>
      <c r="AJ173" s="340"/>
      <c r="AK173" s="340"/>
      <c r="AL173" s="340"/>
      <c r="AM173" s="340"/>
      <c r="AN173" s="344"/>
      <c r="AO173" s="346"/>
      <c r="AP173" s="340"/>
      <c r="AQ173" s="340"/>
      <c r="AR173" s="340"/>
      <c r="AS173" s="340"/>
      <c r="AT173" s="340"/>
      <c r="AU173" s="340"/>
      <c r="AV173" s="340"/>
      <c r="AW173" s="340"/>
      <c r="AX173" s="340"/>
      <c r="AY173" s="340"/>
      <c r="AZ173" s="340"/>
      <c r="BA173" s="340"/>
      <c r="BB173" s="340"/>
      <c r="BC173" s="340"/>
      <c r="BD173" s="340"/>
      <c r="BE173" s="340"/>
      <c r="BF173" s="340"/>
      <c r="BG173" s="340"/>
      <c r="BH173" s="340"/>
      <c r="BI173" s="340"/>
      <c r="BJ173" s="340"/>
      <c r="BK173" s="340"/>
      <c r="BL173" s="340"/>
      <c r="BM173" s="340"/>
      <c r="BN173" s="340"/>
      <c r="BO173" s="340"/>
      <c r="BP173" s="340"/>
      <c r="BQ173" s="340"/>
      <c r="BR173" s="340"/>
      <c r="BS173" s="340"/>
      <c r="BT173" s="340"/>
      <c r="BU173" s="340"/>
      <c r="BV173" s="340"/>
      <c r="BW173" s="340"/>
      <c r="BX173" s="340"/>
      <c r="BY173" s="340"/>
      <c r="BZ173" s="340"/>
      <c r="CA173" s="340"/>
      <c r="CB173" s="340"/>
      <c r="CC173" s="340"/>
      <c r="CD173" s="340"/>
      <c r="CE173" s="340"/>
      <c r="CF173" s="346"/>
      <c r="CG173" s="340"/>
      <c r="CH173" s="346"/>
      <c r="CI173" s="346"/>
      <c r="CJ173" s="346"/>
      <c r="CK173" s="346"/>
      <c r="CL173" s="340"/>
      <c r="CM173" s="340"/>
      <c r="CN173" s="340"/>
      <c r="CO173" s="340"/>
      <c r="CP173" s="340"/>
      <c r="CQ173" s="340"/>
      <c r="CR173" s="340"/>
      <c r="CS173" s="260"/>
      <c r="CT173" s="260"/>
      <c r="CU173" s="260"/>
      <c r="CV173" s="260"/>
      <c r="CW173" s="260"/>
      <c r="CX173" s="260"/>
      <c r="CY173" s="260"/>
      <c r="CZ173" s="260"/>
      <c r="DA173" s="260"/>
      <c r="DB173" s="260"/>
      <c r="DC173" s="260"/>
      <c r="DD173" s="260"/>
      <c r="DE173" s="260"/>
      <c r="DF173" s="260"/>
      <c r="DG173" s="260"/>
      <c r="DH173" s="260"/>
      <c r="DI173" s="260"/>
      <c r="DJ173" s="347"/>
      <c r="DK173" s="347"/>
      <c r="DL173" s="347"/>
      <c r="DM173" s="347"/>
      <c r="DN173" s="353"/>
      <c r="DO173" s="348"/>
      <c r="DP173" s="348"/>
      <c r="DQ173" s="348"/>
      <c r="DR173" s="348"/>
      <c r="DS173" s="348"/>
      <c r="DT173" s="348"/>
      <c r="DU173" s="348"/>
      <c r="DV173" s="348"/>
      <c r="DW173" s="348"/>
      <c r="DX173" s="348"/>
      <c r="DY173" s="348"/>
      <c r="DZ173" s="348"/>
      <c r="EA173" s="348"/>
      <c r="EB173" s="349"/>
      <c r="EC173" s="349"/>
      <c r="ED173" s="349"/>
      <c r="EE173" s="349"/>
      <c r="EF173" s="349"/>
      <c r="EG173" s="349"/>
      <c r="EH173" s="349"/>
      <c r="EI173" s="349"/>
      <c r="EJ173" s="349"/>
      <c r="EK173" s="341"/>
      <c r="EL173" s="339"/>
      <c r="EM173" s="339"/>
      <c r="EN173" s="339"/>
      <c r="EO173" s="341"/>
      <c r="EP173" s="339"/>
      <c r="EQ173" s="339"/>
      <c r="ER173" s="339"/>
      <c r="ES173" s="350"/>
      <c r="ET173" s="350"/>
      <c r="EU173" s="350"/>
      <c r="EV173" s="350"/>
      <c r="EW173" s="350"/>
      <c r="EX173" s="350"/>
      <c r="EY173" s="350"/>
      <c r="EZ173" s="345"/>
      <c r="FA173" s="339"/>
      <c r="FB173" s="339"/>
      <c r="FC173" s="339"/>
      <c r="GA173" s="94"/>
      <c r="GB173" s="94"/>
      <c r="GC173" s="94"/>
      <c r="GD173" s="94"/>
      <c r="GE173" s="94"/>
      <c r="GF173" s="94"/>
      <c r="GG173" s="94"/>
    </row>
    <row r="174" spans="1:189" s="339" customFormat="1">
      <c r="A174" s="95"/>
      <c r="B174" s="351"/>
      <c r="I174" s="352"/>
      <c r="J174" s="340"/>
      <c r="K174" s="340"/>
      <c r="L174" s="352"/>
      <c r="M174" s="352"/>
      <c r="N174" s="352"/>
      <c r="O174" s="352"/>
      <c r="P174" s="352"/>
      <c r="Q174" s="352"/>
      <c r="R174" s="352"/>
      <c r="S174" s="352"/>
      <c r="T174" s="352"/>
      <c r="U174" s="352"/>
      <c r="V174" s="340"/>
      <c r="W174" s="340"/>
      <c r="X174" s="340"/>
      <c r="Y174" s="340"/>
      <c r="Z174" s="340"/>
      <c r="AA174" s="340"/>
      <c r="AB174" s="340"/>
      <c r="AC174" s="340"/>
      <c r="AD174" s="340"/>
      <c r="AE174" s="340"/>
      <c r="AF174" s="340"/>
      <c r="AG174" s="340"/>
      <c r="AH174" s="340"/>
      <c r="AI174" s="340"/>
      <c r="AJ174" s="340"/>
      <c r="AK174" s="340"/>
      <c r="AL174" s="340"/>
      <c r="AM174" s="340"/>
      <c r="AN174" s="344"/>
      <c r="AO174" s="346"/>
      <c r="AP174" s="340"/>
      <c r="AQ174" s="340"/>
      <c r="AR174" s="340"/>
      <c r="AS174" s="340"/>
      <c r="AT174" s="340"/>
      <c r="AU174" s="340"/>
      <c r="AV174" s="340"/>
      <c r="AW174" s="340"/>
      <c r="AX174" s="340"/>
      <c r="AY174" s="340"/>
      <c r="AZ174" s="340"/>
      <c r="BA174" s="340"/>
      <c r="BB174" s="340"/>
      <c r="BC174" s="340"/>
      <c r="BD174" s="340"/>
      <c r="BE174" s="340"/>
      <c r="BF174" s="340"/>
      <c r="BG174" s="340"/>
      <c r="BH174" s="340"/>
      <c r="BI174" s="340"/>
      <c r="BJ174" s="340"/>
      <c r="BK174" s="340"/>
      <c r="BL174" s="340"/>
      <c r="BM174" s="340"/>
      <c r="BN174" s="340"/>
      <c r="BO174" s="340"/>
      <c r="BP174" s="340"/>
      <c r="BQ174" s="340"/>
      <c r="BR174" s="340"/>
      <c r="BS174" s="340"/>
      <c r="BT174" s="340"/>
      <c r="BU174" s="340"/>
      <c r="BV174" s="340"/>
      <c r="BW174" s="340"/>
      <c r="BX174" s="340"/>
      <c r="BY174" s="340"/>
      <c r="BZ174" s="340"/>
      <c r="CA174" s="340"/>
      <c r="CB174" s="340"/>
      <c r="CC174" s="340"/>
      <c r="CD174" s="340"/>
      <c r="CE174" s="340"/>
      <c r="CF174" s="346"/>
      <c r="CG174" s="340"/>
      <c r="CH174" s="346"/>
      <c r="CI174" s="346"/>
      <c r="CJ174" s="346"/>
      <c r="CK174" s="346"/>
      <c r="CL174" s="340"/>
      <c r="CM174" s="340"/>
      <c r="CN174" s="340"/>
      <c r="CO174" s="340"/>
      <c r="CP174" s="340"/>
      <c r="CQ174" s="340"/>
      <c r="CR174" s="340"/>
      <c r="CS174" s="260"/>
      <c r="CT174" s="260"/>
      <c r="CU174" s="260"/>
      <c r="CV174" s="260"/>
      <c r="CW174" s="260"/>
      <c r="CX174" s="260"/>
      <c r="CY174" s="260"/>
      <c r="CZ174" s="260"/>
      <c r="DA174" s="260"/>
      <c r="DB174" s="260"/>
      <c r="DC174" s="260"/>
      <c r="DD174" s="260"/>
      <c r="DE174" s="260"/>
      <c r="DF174" s="260"/>
      <c r="DG174" s="260"/>
      <c r="DH174" s="260"/>
      <c r="DI174" s="260"/>
      <c r="DJ174" s="347"/>
      <c r="DK174" s="347"/>
      <c r="DL174" s="347"/>
      <c r="DM174" s="347"/>
      <c r="DN174" s="353"/>
      <c r="DO174" s="348"/>
      <c r="DP174" s="348"/>
      <c r="DQ174" s="348"/>
      <c r="DR174" s="348"/>
      <c r="DS174" s="348"/>
      <c r="DT174" s="348"/>
      <c r="DU174" s="348"/>
      <c r="DV174" s="348"/>
      <c r="DW174" s="348"/>
      <c r="DX174" s="348"/>
      <c r="DY174" s="348"/>
      <c r="DZ174" s="348"/>
      <c r="EA174" s="348"/>
      <c r="EB174" s="349"/>
      <c r="EC174" s="349"/>
      <c r="ED174" s="349"/>
      <c r="EE174" s="349"/>
      <c r="EF174" s="349"/>
      <c r="EG174" s="349"/>
      <c r="EH174" s="349"/>
      <c r="EI174" s="349"/>
      <c r="EJ174" s="349"/>
      <c r="EK174" s="341"/>
      <c r="EO174" s="341"/>
      <c r="ES174" s="350"/>
      <c r="ET174" s="350"/>
      <c r="EU174" s="350"/>
      <c r="EV174" s="350"/>
      <c r="EW174" s="350"/>
      <c r="EX174" s="350"/>
      <c r="EY174" s="350"/>
      <c r="EZ174" s="345"/>
      <c r="GA174" s="344"/>
      <c r="GB174" s="344"/>
      <c r="GC174" s="344"/>
      <c r="GD174" s="344"/>
      <c r="GE174" s="344"/>
      <c r="GF174" s="344"/>
      <c r="GG174" s="344"/>
    </row>
    <row r="175" spans="1:189" s="339" customFormat="1">
      <c r="A175" s="95"/>
      <c r="B175" s="351"/>
      <c r="I175" s="352"/>
      <c r="J175" s="340"/>
      <c r="K175" s="340"/>
      <c r="L175" s="352"/>
      <c r="M175" s="352"/>
      <c r="N175" s="352"/>
      <c r="O175" s="352"/>
      <c r="P175" s="352"/>
      <c r="Q175" s="352"/>
      <c r="R175" s="352"/>
      <c r="S175" s="352"/>
      <c r="T175" s="352"/>
      <c r="U175" s="352"/>
      <c r="V175" s="340"/>
      <c r="W175" s="340"/>
      <c r="X175" s="340"/>
      <c r="Y175" s="340"/>
      <c r="Z175" s="340"/>
      <c r="AA175" s="340"/>
      <c r="AB175" s="340"/>
      <c r="AC175" s="340"/>
      <c r="AD175" s="340"/>
      <c r="AE175" s="340"/>
      <c r="AF175" s="340"/>
      <c r="AG175" s="340"/>
      <c r="AH175" s="340"/>
      <c r="AI175" s="340"/>
      <c r="AJ175" s="340"/>
      <c r="AK175" s="340"/>
      <c r="AL175" s="340"/>
      <c r="AM175" s="340"/>
      <c r="AN175" s="344"/>
      <c r="AO175" s="346"/>
      <c r="AP175" s="340"/>
      <c r="AQ175" s="340"/>
      <c r="AR175" s="340"/>
      <c r="AS175" s="340"/>
      <c r="AT175" s="340"/>
      <c r="AU175" s="340"/>
      <c r="AV175" s="340"/>
      <c r="AW175" s="340"/>
      <c r="AX175" s="340"/>
      <c r="AY175" s="340"/>
      <c r="AZ175" s="340"/>
      <c r="BA175" s="340"/>
      <c r="BB175" s="340"/>
      <c r="BC175" s="340"/>
      <c r="BD175" s="340"/>
      <c r="BE175" s="340"/>
      <c r="BF175" s="340"/>
      <c r="BG175" s="340"/>
      <c r="BH175" s="340"/>
      <c r="BI175" s="340"/>
      <c r="BJ175" s="340"/>
      <c r="BK175" s="340"/>
      <c r="BL175" s="340"/>
      <c r="BM175" s="340"/>
      <c r="BN175" s="340"/>
      <c r="BO175" s="340"/>
      <c r="BP175" s="340"/>
      <c r="BQ175" s="340"/>
      <c r="BR175" s="340"/>
      <c r="BS175" s="340"/>
      <c r="BT175" s="340"/>
      <c r="BU175" s="340"/>
      <c r="BV175" s="340"/>
      <c r="BW175" s="340"/>
      <c r="BX175" s="340"/>
      <c r="BY175" s="340"/>
      <c r="BZ175" s="340"/>
      <c r="CA175" s="340"/>
      <c r="CB175" s="340"/>
      <c r="CC175" s="340"/>
      <c r="CD175" s="340"/>
      <c r="CE175" s="340"/>
      <c r="CF175" s="346"/>
      <c r="CG175" s="340"/>
      <c r="CH175" s="346"/>
      <c r="CI175" s="346"/>
      <c r="CJ175" s="346"/>
      <c r="CK175" s="346"/>
      <c r="CL175" s="340"/>
      <c r="CM175" s="340"/>
      <c r="CN175" s="340"/>
      <c r="CO175" s="340"/>
      <c r="CP175" s="340"/>
      <c r="CQ175" s="340"/>
      <c r="CR175" s="340"/>
      <c r="CS175" s="260"/>
      <c r="CT175" s="260"/>
      <c r="CU175" s="260"/>
      <c r="CV175" s="260"/>
      <c r="CW175" s="260"/>
      <c r="CX175" s="260"/>
      <c r="CY175" s="260"/>
      <c r="CZ175" s="260"/>
      <c r="DA175" s="260"/>
      <c r="DB175" s="260"/>
      <c r="DC175" s="260"/>
      <c r="DD175" s="260"/>
      <c r="DE175" s="260"/>
      <c r="DF175" s="260"/>
      <c r="DG175" s="260"/>
      <c r="DH175" s="260"/>
      <c r="DI175" s="260"/>
      <c r="DJ175" s="347"/>
      <c r="DK175" s="347"/>
      <c r="DL175" s="347"/>
      <c r="DM175" s="347"/>
      <c r="DN175" s="353"/>
      <c r="DO175" s="348"/>
      <c r="DP175" s="348"/>
      <c r="DQ175" s="348"/>
      <c r="DR175" s="348"/>
      <c r="DS175" s="348"/>
      <c r="DT175" s="348"/>
      <c r="DU175" s="348"/>
      <c r="DV175" s="348"/>
      <c r="DW175" s="348"/>
      <c r="DX175" s="348"/>
      <c r="DY175" s="348"/>
      <c r="DZ175" s="348"/>
      <c r="EA175" s="348"/>
      <c r="EB175" s="349"/>
      <c r="EC175" s="349"/>
      <c r="ED175" s="349"/>
      <c r="EE175" s="349"/>
      <c r="EF175" s="349"/>
      <c r="EG175" s="349"/>
      <c r="EH175" s="349"/>
      <c r="EI175" s="349"/>
      <c r="EJ175" s="349"/>
      <c r="EK175" s="341"/>
      <c r="EO175" s="341"/>
      <c r="ES175" s="350"/>
      <c r="ET175" s="350"/>
      <c r="EU175" s="350"/>
      <c r="EV175" s="350"/>
      <c r="EW175" s="350"/>
      <c r="EX175" s="350"/>
      <c r="EY175" s="350"/>
      <c r="EZ175" s="345"/>
      <c r="GA175" s="344"/>
      <c r="GB175" s="344"/>
      <c r="GC175" s="344"/>
      <c r="GD175" s="344"/>
      <c r="GE175" s="344"/>
      <c r="GF175" s="344"/>
      <c r="GG175" s="344"/>
    </row>
    <row r="176" spans="1:189" s="339" customFormat="1">
      <c r="A176" s="95"/>
      <c r="B176" s="351"/>
      <c r="I176" s="352"/>
      <c r="J176" s="340"/>
      <c r="K176" s="340"/>
      <c r="L176" s="352"/>
      <c r="M176" s="352"/>
      <c r="N176" s="352"/>
      <c r="O176" s="352"/>
      <c r="P176" s="352"/>
      <c r="Q176" s="352"/>
      <c r="R176" s="352"/>
      <c r="S176" s="352"/>
      <c r="T176" s="352"/>
      <c r="U176" s="352"/>
      <c r="V176" s="340"/>
      <c r="W176" s="340"/>
      <c r="X176" s="340"/>
      <c r="Y176" s="340"/>
      <c r="Z176" s="340"/>
      <c r="AA176" s="340"/>
      <c r="AB176" s="340"/>
      <c r="AC176" s="340"/>
      <c r="AD176" s="340"/>
      <c r="AE176" s="340"/>
      <c r="AF176" s="340"/>
      <c r="AG176" s="340"/>
      <c r="AH176" s="340"/>
      <c r="AI176" s="340"/>
      <c r="AJ176" s="340"/>
      <c r="AK176" s="340"/>
      <c r="AL176" s="340"/>
      <c r="AM176" s="340"/>
      <c r="AN176" s="344"/>
      <c r="AO176" s="346"/>
      <c r="AP176" s="340"/>
      <c r="AQ176" s="340"/>
      <c r="AR176" s="340"/>
      <c r="AS176" s="340"/>
      <c r="AT176" s="340"/>
      <c r="AU176" s="340"/>
      <c r="AV176" s="340"/>
      <c r="AW176" s="340"/>
      <c r="AX176" s="340"/>
      <c r="AY176" s="340"/>
      <c r="AZ176" s="340"/>
      <c r="BA176" s="340"/>
      <c r="BB176" s="340"/>
      <c r="BC176" s="340"/>
      <c r="BD176" s="340"/>
      <c r="BE176" s="340"/>
      <c r="BF176" s="340"/>
      <c r="BG176" s="340"/>
      <c r="BH176" s="340"/>
      <c r="BI176" s="340"/>
      <c r="BJ176" s="340"/>
      <c r="BK176" s="340"/>
      <c r="BL176" s="340"/>
      <c r="BM176" s="340"/>
      <c r="BN176" s="340"/>
      <c r="BO176" s="340"/>
      <c r="BP176" s="340"/>
      <c r="BQ176" s="340"/>
      <c r="BR176" s="340"/>
      <c r="BS176" s="340"/>
      <c r="BT176" s="340"/>
      <c r="BU176" s="340"/>
      <c r="BV176" s="340"/>
      <c r="BW176" s="340"/>
      <c r="BX176" s="340"/>
      <c r="BY176" s="340"/>
      <c r="BZ176" s="340"/>
      <c r="CA176" s="340"/>
      <c r="CB176" s="340"/>
      <c r="CC176" s="340"/>
      <c r="CD176" s="340"/>
      <c r="CE176" s="340"/>
      <c r="CF176" s="346"/>
      <c r="CG176" s="340"/>
      <c r="CH176" s="346"/>
      <c r="CI176" s="346"/>
      <c r="CJ176" s="346"/>
      <c r="CK176" s="346"/>
      <c r="CL176" s="340"/>
      <c r="CM176" s="340"/>
      <c r="CN176" s="340"/>
      <c r="CO176" s="340"/>
      <c r="CP176" s="340"/>
      <c r="CQ176" s="340"/>
      <c r="CR176" s="340"/>
      <c r="CS176" s="260"/>
      <c r="CT176" s="260"/>
      <c r="CU176" s="260"/>
      <c r="CV176" s="260"/>
      <c r="CW176" s="260"/>
      <c r="CX176" s="260"/>
      <c r="CY176" s="260"/>
      <c r="CZ176" s="260"/>
      <c r="DA176" s="260"/>
      <c r="DB176" s="260"/>
      <c r="DC176" s="260"/>
      <c r="DD176" s="260"/>
      <c r="DE176" s="260"/>
      <c r="DF176" s="260"/>
      <c r="DG176" s="260"/>
      <c r="DH176" s="260"/>
      <c r="DI176" s="260"/>
      <c r="DJ176" s="347"/>
      <c r="DK176" s="347"/>
      <c r="DL176" s="347"/>
      <c r="DM176" s="347"/>
      <c r="DN176" s="353"/>
      <c r="DO176" s="348"/>
      <c r="DP176" s="348"/>
      <c r="DQ176" s="348"/>
      <c r="DR176" s="348"/>
      <c r="DS176" s="348"/>
      <c r="DT176" s="348"/>
      <c r="DU176" s="348"/>
      <c r="DV176" s="348"/>
      <c r="DW176" s="348"/>
      <c r="DX176" s="348"/>
      <c r="DY176" s="348"/>
      <c r="DZ176" s="348"/>
      <c r="EA176" s="348"/>
      <c r="EB176" s="349"/>
      <c r="EC176" s="349"/>
      <c r="ED176" s="349"/>
      <c r="EE176" s="349"/>
      <c r="EF176" s="349"/>
      <c r="EG176" s="349"/>
      <c r="EH176" s="349"/>
      <c r="EI176" s="349"/>
      <c r="EJ176" s="349"/>
      <c r="EK176" s="341"/>
      <c r="EO176" s="341"/>
      <c r="ES176" s="350"/>
      <c r="ET176" s="350"/>
      <c r="EU176" s="350"/>
      <c r="EV176" s="350"/>
      <c r="EW176" s="350"/>
      <c r="EX176" s="350"/>
      <c r="EY176" s="350"/>
      <c r="EZ176" s="345"/>
      <c r="GA176" s="344"/>
      <c r="GB176" s="344"/>
      <c r="GC176" s="344"/>
      <c r="GD176" s="344"/>
      <c r="GE176" s="344"/>
      <c r="GF176" s="344"/>
      <c r="GG176" s="344"/>
    </row>
    <row r="177" spans="1:189" s="339" customFormat="1">
      <c r="A177" s="95"/>
      <c r="B177" s="351"/>
      <c r="I177" s="352"/>
      <c r="J177" s="340"/>
      <c r="K177" s="340"/>
      <c r="L177" s="352"/>
      <c r="M177" s="352"/>
      <c r="N177" s="352"/>
      <c r="O177" s="352"/>
      <c r="P177" s="352"/>
      <c r="Q177" s="352"/>
      <c r="R177" s="352"/>
      <c r="S177" s="352"/>
      <c r="T177" s="352"/>
      <c r="U177" s="352"/>
      <c r="V177" s="340"/>
      <c r="W177" s="340"/>
      <c r="X177" s="340"/>
      <c r="Y177" s="340"/>
      <c r="Z177" s="340"/>
      <c r="AA177" s="340"/>
      <c r="AB177" s="340"/>
      <c r="AC177" s="340"/>
      <c r="AD177" s="340"/>
      <c r="AE177" s="340"/>
      <c r="AF177" s="340"/>
      <c r="AG177" s="340"/>
      <c r="AH177" s="340"/>
      <c r="AI177" s="340"/>
      <c r="AJ177" s="340"/>
      <c r="AK177" s="340"/>
      <c r="AL177" s="340"/>
      <c r="AM177" s="340"/>
      <c r="AN177" s="344"/>
      <c r="AO177" s="346"/>
      <c r="AP177" s="340"/>
      <c r="AQ177" s="340"/>
      <c r="AR177" s="340"/>
      <c r="AS177" s="340"/>
      <c r="AT177" s="340"/>
      <c r="AU177" s="340"/>
      <c r="AV177" s="340"/>
      <c r="AW177" s="340"/>
      <c r="AX177" s="340"/>
      <c r="AY177" s="340"/>
      <c r="AZ177" s="340"/>
      <c r="BA177" s="340"/>
      <c r="BB177" s="340"/>
      <c r="BC177" s="340"/>
      <c r="BD177" s="340"/>
      <c r="BE177" s="340"/>
      <c r="BF177" s="340"/>
      <c r="BG177" s="340"/>
      <c r="BH177" s="340"/>
      <c r="BI177" s="340"/>
      <c r="BJ177" s="340"/>
      <c r="BK177" s="340"/>
      <c r="BL177" s="340"/>
      <c r="BM177" s="340"/>
      <c r="BN177" s="340"/>
      <c r="BO177" s="340"/>
      <c r="BP177" s="340"/>
      <c r="BQ177" s="340"/>
      <c r="BR177" s="340"/>
      <c r="BS177" s="340"/>
      <c r="BT177" s="340"/>
      <c r="BU177" s="340"/>
      <c r="BV177" s="340"/>
      <c r="BW177" s="340"/>
      <c r="BX177" s="340"/>
      <c r="BY177" s="340"/>
      <c r="BZ177" s="340"/>
      <c r="CA177" s="340"/>
      <c r="CB177" s="340"/>
      <c r="CC177" s="340"/>
      <c r="CD177" s="340"/>
      <c r="CE177" s="340"/>
      <c r="CF177" s="346"/>
      <c r="CG177" s="340"/>
      <c r="CH177" s="346"/>
      <c r="CI177" s="346"/>
      <c r="CJ177" s="346"/>
      <c r="CK177" s="346"/>
      <c r="CL177" s="340"/>
      <c r="CM177" s="340"/>
      <c r="CN177" s="340"/>
      <c r="CO177" s="340"/>
      <c r="CP177" s="340"/>
      <c r="CQ177" s="340"/>
      <c r="CR177" s="340"/>
      <c r="CS177" s="260"/>
      <c r="CT177" s="260"/>
      <c r="CU177" s="260"/>
      <c r="CV177" s="260"/>
      <c r="CW177" s="260"/>
      <c r="CX177" s="260"/>
      <c r="CY177" s="260"/>
      <c r="CZ177" s="260"/>
      <c r="DA177" s="260"/>
      <c r="DB177" s="260"/>
      <c r="DC177" s="260"/>
      <c r="DD177" s="260"/>
      <c r="DE177" s="260"/>
      <c r="DF177" s="260"/>
      <c r="DG177" s="260"/>
      <c r="DH177" s="260"/>
      <c r="DI177" s="260"/>
      <c r="DJ177" s="347"/>
      <c r="DK177" s="347"/>
      <c r="DL177" s="347"/>
      <c r="DM177" s="347"/>
      <c r="DN177" s="353"/>
      <c r="DO177" s="348"/>
      <c r="DP177" s="348"/>
      <c r="DQ177" s="348"/>
      <c r="DR177" s="348"/>
      <c r="DS177" s="348"/>
      <c r="DT177" s="348"/>
      <c r="DU177" s="348"/>
      <c r="DV177" s="348"/>
      <c r="DW177" s="348"/>
      <c r="DX177" s="348"/>
      <c r="DY177" s="348"/>
      <c r="DZ177" s="348"/>
      <c r="EA177" s="348"/>
      <c r="EB177" s="349"/>
      <c r="EC177" s="349"/>
      <c r="ED177" s="349"/>
      <c r="EE177" s="349"/>
      <c r="EF177" s="349"/>
      <c r="EG177" s="349"/>
      <c r="EH177" s="349"/>
      <c r="EI177" s="349"/>
      <c r="EJ177" s="349"/>
      <c r="EK177" s="341"/>
      <c r="EO177" s="341"/>
      <c r="ES177" s="350"/>
      <c r="ET177" s="350"/>
      <c r="EU177" s="350"/>
      <c r="EV177" s="350"/>
      <c r="EW177" s="350"/>
      <c r="EX177" s="350"/>
      <c r="EY177" s="350"/>
      <c r="EZ177" s="345"/>
      <c r="GA177" s="344"/>
      <c r="GB177" s="344"/>
      <c r="GC177" s="344"/>
      <c r="GD177" s="344"/>
      <c r="GE177" s="344"/>
      <c r="GF177" s="344"/>
      <c r="GG177" s="344"/>
    </row>
    <row r="178" spans="1:189" s="339" customFormat="1">
      <c r="A178" s="95"/>
      <c r="B178" s="351"/>
      <c r="I178" s="352"/>
      <c r="J178" s="340"/>
      <c r="K178" s="340"/>
      <c r="L178" s="352"/>
      <c r="M178" s="352"/>
      <c r="N178" s="352"/>
      <c r="O178" s="352"/>
      <c r="P178" s="352"/>
      <c r="Q178" s="352"/>
      <c r="R178" s="352"/>
      <c r="S178" s="352"/>
      <c r="T178" s="352"/>
      <c r="U178" s="352"/>
      <c r="V178" s="340"/>
      <c r="W178" s="340"/>
      <c r="X178" s="340"/>
      <c r="Y178" s="340"/>
      <c r="Z178" s="340"/>
      <c r="AA178" s="340"/>
      <c r="AB178" s="340"/>
      <c r="AC178" s="340"/>
      <c r="AD178" s="340"/>
      <c r="AE178" s="340"/>
      <c r="AF178" s="340"/>
      <c r="AG178" s="340"/>
      <c r="AH178" s="340"/>
      <c r="AI178" s="340"/>
      <c r="AJ178" s="340"/>
      <c r="AK178" s="340"/>
      <c r="AL178" s="340"/>
      <c r="AM178" s="340"/>
      <c r="AN178" s="344"/>
      <c r="AO178" s="346"/>
      <c r="AP178" s="340"/>
      <c r="AQ178" s="340"/>
      <c r="AR178" s="340"/>
      <c r="AS178" s="340"/>
      <c r="AT178" s="340"/>
      <c r="AU178" s="340"/>
      <c r="AV178" s="340"/>
      <c r="AW178" s="340"/>
      <c r="AX178" s="340"/>
      <c r="AY178" s="340"/>
      <c r="AZ178" s="340"/>
      <c r="BA178" s="340"/>
      <c r="BB178" s="340"/>
      <c r="BC178" s="340"/>
      <c r="BD178" s="340"/>
      <c r="BE178" s="340"/>
      <c r="BF178" s="340"/>
      <c r="BG178" s="340"/>
      <c r="BH178" s="340"/>
      <c r="BI178" s="340"/>
      <c r="BJ178" s="340"/>
      <c r="BK178" s="340"/>
      <c r="BL178" s="340"/>
      <c r="BM178" s="340"/>
      <c r="BN178" s="340"/>
      <c r="BO178" s="340"/>
      <c r="BP178" s="340"/>
      <c r="BQ178" s="340"/>
      <c r="BR178" s="340"/>
      <c r="BS178" s="340"/>
      <c r="BT178" s="340"/>
      <c r="BU178" s="340"/>
      <c r="BV178" s="340"/>
      <c r="BW178" s="340"/>
      <c r="BX178" s="340"/>
      <c r="BY178" s="340"/>
      <c r="BZ178" s="340"/>
      <c r="CA178" s="340"/>
      <c r="CB178" s="340"/>
      <c r="CC178" s="340"/>
      <c r="CD178" s="340"/>
      <c r="CE178" s="340"/>
      <c r="CF178" s="346"/>
      <c r="CG178" s="340"/>
      <c r="CH178" s="346"/>
      <c r="CI178" s="346"/>
      <c r="CJ178" s="346"/>
      <c r="CK178" s="346"/>
      <c r="CL178" s="340"/>
      <c r="CM178" s="340"/>
      <c r="CN178" s="340"/>
      <c r="CO178" s="340"/>
      <c r="CP178" s="340"/>
      <c r="CQ178" s="340"/>
      <c r="CR178" s="340"/>
      <c r="CS178" s="260"/>
      <c r="CT178" s="260"/>
      <c r="CU178" s="260"/>
      <c r="CV178" s="260"/>
      <c r="CW178" s="260"/>
      <c r="CX178" s="260"/>
      <c r="CY178" s="260"/>
      <c r="CZ178" s="260"/>
      <c r="DA178" s="260"/>
      <c r="DB178" s="260"/>
      <c r="DC178" s="260"/>
      <c r="DD178" s="260"/>
      <c r="DE178" s="260"/>
      <c r="DF178" s="260"/>
      <c r="DG178" s="260"/>
      <c r="DH178" s="260"/>
      <c r="DI178" s="260"/>
      <c r="DJ178" s="347"/>
      <c r="DK178" s="347"/>
      <c r="DL178" s="347"/>
      <c r="DM178" s="347"/>
      <c r="DN178" s="353"/>
      <c r="DO178" s="348"/>
      <c r="DP178" s="348"/>
      <c r="DQ178" s="348"/>
      <c r="DR178" s="348"/>
      <c r="DS178" s="348"/>
      <c r="DT178" s="348"/>
      <c r="DU178" s="348"/>
      <c r="DV178" s="348"/>
      <c r="DW178" s="348"/>
      <c r="DX178" s="348"/>
      <c r="DY178" s="348"/>
      <c r="DZ178" s="348"/>
      <c r="EA178" s="348"/>
      <c r="EB178" s="349"/>
      <c r="EC178" s="349"/>
      <c r="ED178" s="349"/>
      <c r="EE178" s="349"/>
      <c r="EF178" s="349"/>
      <c r="EG178" s="349"/>
      <c r="EH178" s="349"/>
      <c r="EI178" s="349"/>
      <c r="EJ178" s="349"/>
      <c r="EK178" s="341"/>
      <c r="EO178" s="341"/>
      <c r="ES178" s="350"/>
      <c r="ET178" s="350"/>
      <c r="EU178" s="350"/>
      <c r="EV178" s="350"/>
      <c r="EW178" s="350"/>
      <c r="EX178" s="350"/>
      <c r="EY178" s="350"/>
      <c r="EZ178" s="345"/>
      <c r="GA178" s="344"/>
      <c r="GB178" s="344"/>
      <c r="GC178" s="344"/>
      <c r="GD178" s="344"/>
      <c r="GE178" s="344"/>
      <c r="GF178" s="344"/>
      <c r="GG178" s="344"/>
    </row>
    <row r="179" spans="1:189" s="339" customFormat="1">
      <c r="A179" s="95"/>
      <c r="B179" s="351"/>
      <c r="I179" s="352"/>
      <c r="J179" s="340"/>
      <c r="K179" s="340"/>
      <c r="L179" s="352"/>
      <c r="M179" s="352"/>
      <c r="N179" s="352"/>
      <c r="O179" s="352"/>
      <c r="P179" s="352"/>
      <c r="Q179" s="352"/>
      <c r="R179" s="352"/>
      <c r="S179" s="352"/>
      <c r="T179" s="352"/>
      <c r="U179" s="352"/>
      <c r="V179" s="340"/>
      <c r="W179" s="340"/>
      <c r="X179" s="340"/>
      <c r="Y179" s="340"/>
      <c r="Z179" s="340"/>
      <c r="AA179" s="340"/>
      <c r="AB179" s="340"/>
      <c r="AC179" s="340"/>
      <c r="AD179" s="340"/>
      <c r="AE179" s="340"/>
      <c r="AF179" s="340"/>
      <c r="AG179" s="340"/>
      <c r="AH179" s="340"/>
      <c r="AI179" s="340"/>
      <c r="AJ179" s="340"/>
      <c r="AK179" s="340"/>
      <c r="AL179" s="340"/>
      <c r="AM179" s="340"/>
      <c r="AN179" s="344"/>
      <c r="AO179" s="346"/>
      <c r="AP179" s="340"/>
      <c r="AQ179" s="340"/>
      <c r="AR179" s="340"/>
      <c r="AS179" s="340"/>
      <c r="AT179" s="340"/>
      <c r="AU179" s="340"/>
      <c r="AV179" s="340"/>
      <c r="AW179" s="340"/>
      <c r="AX179" s="340"/>
      <c r="AY179" s="340"/>
      <c r="AZ179" s="340"/>
      <c r="BA179" s="340"/>
      <c r="BB179" s="340"/>
      <c r="BC179" s="340"/>
      <c r="BD179" s="340"/>
      <c r="BE179" s="340"/>
      <c r="BF179" s="340"/>
      <c r="BG179" s="340"/>
      <c r="BH179" s="340"/>
      <c r="BI179" s="340"/>
      <c r="BJ179" s="340"/>
      <c r="BK179" s="340"/>
      <c r="BL179" s="340"/>
      <c r="BM179" s="340"/>
      <c r="BN179" s="340"/>
      <c r="BO179" s="340"/>
      <c r="BP179" s="340"/>
      <c r="BQ179" s="340"/>
      <c r="BR179" s="340"/>
      <c r="BS179" s="340"/>
      <c r="BT179" s="340"/>
      <c r="BU179" s="340"/>
      <c r="BV179" s="340"/>
      <c r="BW179" s="340"/>
      <c r="BX179" s="340"/>
      <c r="BY179" s="340"/>
      <c r="BZ179" s="340"/>
      <c r="CA179" s="340"/>
      <c r="CB179" s="340"/>
      <c r="CC179" s="340"/>
      <c r="CD179" s="340"/>
      <c r="CE179" s="340"/>
      <c r="CF179" s="346"/>
      <c r="CG179" s="340"/>
      <c r="CH179" s="346"/>
      <c r="CI179" s="346"/>
      <c r="CJ179" s="346"/>
      <c r="CK179" s="346"/>
      <c r="CL179" s="340"/>
      <c r="CM179" s="340"/>
      <c r="CN179" s="340"/>
      <c r="CO179" s="340"/>
      <c r="CP179" s="340"/>
      <c r="CQ179" s="340"/>
      <c r="CR179" s="340"/>
      <c r="CS179" s="260"/>
      <c r="CT179" s="260"/>
      <c r="CU179" s="260"/>
      <c r="CV179" s="260"/>
      <c r="CW179" s="260"/>
      <c r="CX179" s="260"/>
      <c r="CY179" s="260"/>
      <c r="CZ179" s="260"/>
      <c r="DA179" s="260"/>
      <c r="DB179" s="260"/>
      <c r="DC179" s="260"/>
      <c r="DD179" s="260"/>
      <c r="DE179" s="260"/>
      <c r="DF179" s="260"/>
      <c r="DG179" s="260"/>
      <c r="DH179" s="260"/>
      <c r="DI179" s="260"/>
      <c r="DJ179" s="347"/>
      <c r="DK179" s="347"/>
      <c r="DL179" s="347"/>
      <c r="DM179" s="347"/>
      <c r="DN179" s="353"/>
      <c r="DO179" s="348"/>
      <c r="DP179" s="348"/>
      <c r="DQ179" s="348"/>
      <c r="DR179" s="348"/>
      <c r="DS179" s="348"/>
      <c r="DT179" s="348"/>
      <c r="DU179" s="348"/>
      <c r="DV179" s="348"/>
      <c r="DW179" s="348"/>
      <c r="DX179" s="348"/>
      <c r="DY179" s="348"/>
      <c r="DZ179" s="348"/>
      <c r="EA179" s="348"/>
      <c r="EB179" s="349"/>
      <c r="EC179" s="349"/>
      <c r="ED179" s="349"/>
      <c r="EE179" s="349"/>
      <c r="EF179" s="349"/>
      <c r="EG179" s="349"/>
      <c r="EH179" s="349"/>
      <c r="EI179" s="349"/>
      <c r="EJ179" s="349"/>
      <c r="EK179" s="341"/>
      <c r="EO179" s="341"/>
      <c r="ES179" s="350"/>
      <c r="ET179" s="350"/>
      <c r="EU179" s="350"/>
      <c r="EV179" s="350"/>
      <c r="EW179" s="350"/>
      <c r="EX179" s="350"/>
      <c r="EY179" s="350"/>
      <c r="EZ179" s="345"/>
      <c r="GA179" s="344"/>
      <c r="GB179" s="344"/>
      <c r="GC179" s="344"/>
      <c r="GD179" s="344"/>
      <c r="GE179" s="344"/>
      <c r="GF179" s="344"/>
      <c r="GG179" s="344"/>
    </row>
    <row r="180" spans="1:189" s="339" customFormat="1">
      <c r="A180" s="95"/>
      <c r="B180" s="351"/>
      <c r="I180" s="352"/>
      <c r="J180" s="340"/>
      <c r="K180" s="340"/>
      <c r="L180" s="352"/>
      <c r="M180" s="352"/>
      <c r="N180" s="352"/>
      <c r="O180" s="352"/>
      <c r="P180" s="352"/>
      <c r="Q180" s="352"/>
      <c r="R180" s="352"/>
      <c r="S180" s="352"/>
      <c r="T180" s="352"/>
      <c r="U180" s="352"/>
      <c r="V180" s="340"/>
      <c r="W180" s="340"/>
      <c r="X180" s="340"/>
      <c r="Y180" s="340"/>
      <c r="Z180" s="340"/>
      <c r="AA180" s="340"/>
      <c r="AB180" s="340"/>
      <c r="AC180" s="340"/>
      <c r="AD180" s="340"/>
      <c r="AE180" s="340"/>
      <c r="AF180" s="340"/>
      <c r="AG180" s="340"/>
      <c r="AH180" s="340"/>
      <c r="AI180" s="340"/>
      <c r="AJ180" s="340"/>
      <c r="AK180" s="340"/>
      <c r="AL180" s="340"/>
      <c r="AM180" s="340"/>
      <c r="AN180" s="344"/>
      <c r="AO180" s="346"/>
      <c r="AP180" s="340"/>
      <c r="AQ180" s="340"/>
      <c r="AR180" s="340"/>
      <c r="AS180" s="340"/>
      <c r="AT180" s="340"/>
      <c r="AU180" s="340"/>
      <c r="AV180" s="340"/>
      <c r="AW180" s="340"/>
      <c r="AX180" s="340"/>
      <c r="AY180" s="340"/>
      <c r="AZ180" s="340"/>
      <c r="BA180" s="340"/>
      <c r="BB180" s="340"/>
      <c r="BC180" s="340"/>
      <c r="BD180" s="340"/>
      <c r="BE180" s="340"/>
      <c r="BF180" s="340"/>
      <c r="BG180" s="340"/>
      <c r="BH180" s="340"/>
      <c r="BI180" s="340"/>
      <c r="BJ180" s="340"/>
      <c r="BK180" s="340"/>
      <c r="BL180" s="340"/>
      <c r="BM180" s="340"/>
      <c r="BN180" s="340"/>
      <c r="BO180" s="340"/>
      <c r="BP180" s="340"/>
      <c r="BQ180" s="340"/>
      <c r="BR180" s="340"/>
      <c r="BS180" s="340"/>
      <c r="BT180" s="340"/>
      <c r="BU180" s="340"/>
      <c r="BV180" s="340"/>
      <c r="BW180" s="340"/>
      <c r="BX180" s="340"/>
      <c r="BY180" s="340"/>
      <c r="BZ180" s="340"/>
      <c r="CA180" s="340"/>
      <c r="CB180" s="340"/>
      <c r="CC180" s="340"/>
      <c r="CD180" s="340"/>
      <c r="CE180" s="340"/>
      <c r="CF180" s="346"/>
      <c r="CG180" s="340"/>
      <c r="CH180" s="346"/>
      <c r="CI180" s="346"/>
      <c r="CJ180" s="346"/>
      <c r="CK180" s="346"/>
      <c r="CL180" s="340"/>
      <c r="CM180" s="340"/>
      <c r="CN180" s="340"/>
      <c r="CO180" s="340"/>
      <c r="CP180" s="340"/>
      <c r="CQ180" s="340"/>
      <c r="CR180" s="340"/>
      <c r="CS180" s="260"/>
      <c r="CT180" s="260"/>
      <c r="CU180" s="260"/>
      <c r="CV180" s="260"/>
      <c r="CW180" s="260"/>
      <c r="CX180" s="260"/>
      <c r="CY180" s="260"/>
      <c r="CZ180" s="260"/>
      <c r="DA180" s="260"/>
      <c r="DB180" s="260"/>
      <c r="DC180" s="260"/>
      <c r="DD180" s="260"/>
      <c r="DE180" s="260"/>
      <c r="DF180" s="260"/>
      <c r="DG180" s="260"/>
      <c r="DH180" s="260"/>
      <c r="DI180" s="260"/>
      <c r="DJ180" s="347"/>
      <c r="DK180" s="347"/>
      <c r="DL180" s="347"/>
      <c r="DM180" s="347"/>
      <c r="DN180" s="353"/>
      <c r="DO180" s="348"/>
      <c r="DP180" s="348"/>
      <c r="DQ180" s="348"/>
      <c r="DR180" s="348"/>
      <c r="DS180" s="348"/>
      <c r="DT180" s="348"/>
      <c r="DU180" s="348"/>
      <c r="DV180" s="348"/>
      <c r="DW180" s="348"/>
      <c r="DX180" s="348"/>
      <c r="DY180" s="348"/>
      <c r="DZ180" s="348"/>
      <c r="EA180" s="348"/>
      <c r="EB180" s="349"/>
      <c r="EC180" s="349"/>
      <c r="ED180" s="349"/>
      <c r="EE180" s="349"/>
      <c r="EF180" s="349"/>
      <c r="EG180" s="349"/>
      <c r="EH180" s="349"/>
      <c r="EI180" s="349"/>
      <c r="EJ180" s="349"/>
      <c r="EK180" s="341"/>
      <c r="EO180" s="341"/>
      <c r="ES180" s="350"/>
      <c r="ET180" s="350"/>
      <c r="EU180" s="350"/>
      <c r="EV180" s="350"/>
      <c r="EW180" s="350"/>
      <c r="EX180" s="350"/>
      <c r="EY180" s="350"/>
      <c r="EZ180" s="345"/>
      <c r="GA180" s="344"/>
      <c r="GB180" s="344"/>
      <c r="GC180" s="344"/>
      <c r="GD180" s="344"/>
      <c r="GE180" s="344"/>
      <c r="GF180" s="344"/>
      <c r="GG180" s="344"/>
    </row>
    <row r="181" spans="1:189" s="339" customFormat="1">
      <c r="A181" s="95"/>
      <c r="B181" s="351"/>
      <c r="I181" s="352"/>
      <c r="J181" s="340"/>
      <c r="K181" s="340"/>
      <c r="L181" s="352"/>
      <c r="M181" s="352"/>
      <c r="N181" s="352"/>
      <c r="O181" s="352"/>
      <c r="P181" s="352"/>
      <c r="Q181" s="352"/>
      <c r="R181" s="352"/>
      <c r="S181" s="352"/>
      <c r="T181" s="352"/>
      <c r="U181" s="352"/>
      <c r="V181" s="340"/>
      <c r="W181" s="340"/>
      <c r="X181" s="340"/>
      <c r="Y181" s="340"/>
      <c r="Z181" s="340"/>
      <c r="AA181" s="340"/>
      <c r="AB181" s="340"/>
      <c r="AC181" s="340"/>
      <c r="AD181" s="340"/>
      <c r="AE181" s="340"/>
      <c r="AF181" s="340"/>
      <c r="AG181" s="340"/>
      <c r="AH181" s="340"/>
      <c r="AI181" s="340"/>
      <c r="AJ181" s="340"/>
      <c r="AK181" s="340"/>
      <c r="AL181" s="340"/>
      <c r="AM181" s="340"/>
      <c r="AN181" s="344"/>
      <c r="AO181" s="346"/>
      <c r="AP181" s="340"/>
      <c r="AQ181" s="340"/>
      <c r="AR181" s="340"/>
      <c r="AS181" s="340"/>
      <c r="AT181" s="340"/>
      <c r="AU181" s="340"/>
      <c r="AV181" s="340"/>
      <c r="AW181" s="340"/>
      <c r="AX181" s="340"/>
      <c r="AY181" s="340"/>
      <c r="AZ181" s="340"/>
      <c r="BA181" s="340"/>
      <c r="BB181" s="340"/>
      <c r="BC181" s="340"/>
      <c r="BD181" s="340"/>
      <c r="BE181" s="340"/>
      <c r="BF181" s="340"/>
      <c r="BG181" s="340"/>
      <c r="BH181" s="340"/>
      <c r="BI181" s="340"/>
      <c r="BJ181" s="340"/>
      <c r="BK181" s="340"/>
      <c r="BL181" s="340"/>
      <c r="BM181" s="340"/>
      <c r="BN181" s="340"/>
      <c r="BO181" s="340"/>
      <c r="BP181" s="340"/>
      <c r="BQ181" s="340"/>
      <c r="BR181" s="340"/>
      <c r="BS181" s="340"/>
      <c r="BT181" s="340"/>
      <c r="BU181" s="340"/>
      <c r="BV181" s="340"/>
      <c r="BW181" s="340"/>
      <c r="BX181" s="340"/>
      <c r="BY181" s="340"/>
      <c r="BZ181" s="340"/>
      <c r="CA181" s="340"/>
      <c r="CB181" s="340"/>
      <c r="CC181" s="340"/>
      <c r="CD181" s="340"/>
      <c r="CE181" s="340"/>
      <c r="CF181" s="346"/>
      <c r="CG181" s="340"/>
      <c r="CH181" s="346"/>
      <c r="CI181" s="346"/>
      <c r="CJ181" s="346"/>
      <c r="CK181" s="346"/>
      <c r="CL181" s="340"/>
      <c r="CM181" s="340"/>
      <c r="CN181" s="340"/>
      <c r="CO181" s="340"/>
      <c r="CP181" s="340"/>
      <c r="CQ181" s="340"/>
      <c r="CR181" s="340"/>
      <c r="CS181" s="260"/>
      <c r="CT181" s="260"/>
      <c r="CU181" s="260"/>
      <c r="CV181" s="260"/>
      <c r="CW181" s="260"/>
      <c r="CX181" s="260"/>
      <c r="CY181" s="260"/>
      <c r="CZ181" s="260"/>
      <c r="DA181" s="260"/>
      <c r="DB181" s="260"/>
      <c r="DC181" s="260"/>
      <c r="DD181" s="260"/>
      <c r="DE181" s="260"/>
      <c r="DF181" s="260"/>
      <c r="DG181" s="260"/>
      <c r="DH181" s="260"/>
      <c r="DI181" s="260"/>
      <c r="DJ181" s="347"/>
      <c r="DK181" s="347"/>
      <c r="DL181" s="347"/>
      <c r="DM181" s="347"/>
      <c r="DN181" s="353"/>
      <c r="DO181" s="348"/>
      <c r="DP181" s="348"/>
      <c r="DQ181" s="348"/>
      <c r="DR181" s="348"/>
      <c r="DS181" s="348"/>
      <c r="DT181" s="348"/>
      <c r="DU181" s="348"/>
      <c r="DV181" s="348"/>
      <c r="DW181" s="348"/>
      <c r="DX181" s="348"/>
      <c r="DY181" s="348"/>
      <c r="DZ181" s="348"/>
      <c r="EA181" s="348"/>
      <c r="EB181" s="349"/>
      <c r="EC181" s="349"/>
      <c r="ED181" s="349"/>
      <c r="EE181" s="349"/>
      <c r="EF181" s="349"/>
      <c r="EG181" s="349"/>
      <c r="EH181" s="349"/>
      <c r="EI181" s="349"/>
      <c r="EJ181" s="349"/>
      <c r="EK181" s="341"/>
      <c r="EO181" s="341"/>
      <c r="ES181" s="350"/>
      <c r="ET181" s="350"/>
      <c r="EU181" s="350"/>
      <c r="EV181" s="350"/>
      <c r="EW181" s="350"/>
      <c r="EX181" s="350"/>
      <c r="EY181" s="350"/>
      <c r="EZ181" s="345"/>
      <c r="GA181" s="344"/>
      <c r="GB181" s="344"/>
      <c r="GC181" s="344"/>
      <c r="GD181" s="344"/>
      <c r="GE181" s="344"/>
      <c r="GF181" s="344"/>
      <c r="GG181" s="344"/>
    </row>
    <row r="182" spans="1:189" s="339" customFormat="1">
      <c r="A182" s="95"/>
      <c r="B182" s="351"/>
      <c r="I182" s="352"/>
      <c r="J182" s="340"/>
      <c r="K182" s="340"/>
      <c r="L182" s="352"/>
      <c r="M182" s="352"/>
      <c r="N182" s="352"/>
      <c r="O182" s="352"/>
      <c r="P182" s="352"/>
      <c r="Q182" s="352"/>
      <c r="R182" s="352"/>
      <c r="S182" s="352"/>
      <c r="T182" s="352"/>
      <c r="U182" s="352"/>
      <c r="V182" s="340"/>
      <c r="W182" s="340"/>
      <c r="X182" s="340"/>
      <c r="Y182" s="340"/>
      <c r="Z182" s="340"/>
      <c r="AA182" s="340"/>
      <c r="AB182" s="340"/>
      <c r="AC182" s="340"/>
      <c r="AD182" s="340"/>
      <c r="AE182" s="340"/>
      <c r="AF182" s="340"/>
      <c r="AG182" s="340"/>
      <c r="AH182" s="340"/>
      <c r="AI182" s="340"/>
      <c r="AJ182" s="340"/>
      <c r="AK182" s="340"/>
      <c r="AL182" s="340"/>
      <c r="AM182" s="340"/>
      <c r="AN182" s="344"/>
      <c r="AO182" s="346"/>
      <c r="AP182" s="340"/>
      <c r="AQ182" s="340"/>
      <c r="AR182" s="340"/>
      <c r="AS182" s="340"/>
      <c r="AT182" s="340"/>
      <c r="AU182" s="340"/>
      <c r="AV182" s="340"/>
      <c r="AW182" s="340"/>
      <c r="AX182" s="340"/>
      <c r="AY182" s="340"/>
      <c r="AZ182" s="340"/>
      <c r="BA182" s="340"/>
      <c r="BB182" s="340"/>
      <c r="BC182" s="340"/>
      <c r="BD182" s="340"/>
      <c r="BE182" s="340"/>
      <c r="BF182" s="340"/>
      <c r="BG182" s="340"/>
      <c r="BH182" s="340"/>
      <c r="BI182" s="340"/>
      <c r="BJ182" s="340"/>
      <c r="BK182" s="340"/>
      <c r="BL182" s="340"/>
      <c r="BM182" s="340"/>
      <c r="BN182" s="340"/>
      <c r="BO182" s="340"/>
      <c r="BP182" s="340"/>
      <c r="BQ182" s="340"/>
      <c r="BR182" s="340"/>
      <c r="BS182" s="340"/>
      <c r="BT182" s="340"/>
      <c r="BU182" s="340"/>
      <c r="BV182" s="340"/>
      <c r="BW182" s="340"/>
      <c r="BX182" s="340"/>
      <c r="BY182" s="340"/>
      <c r="BZ182" s="340"/>
      <c r="CA182" s="340"/>
      <c r="CB182" s="340"/>
      <c r="CC182" s="340"/>
      <c r="CD182" s="340"/>
      <c r="CE182" s="340"/>
      <c r="CF182" s="346"/>
      <c r="CG182" s="340"/>
      <c r="CH182" s="346"/>
      <c r="CI182" s="346"/>
      <c r="CJ182" s="346"/>
      <c r="CK182" s="346"/>
      <c r="CL182" s="340"/>
      <c r="CM182" s="340"/>
      <c r="CN182" s="340"/>
      <c r="CO182" s="340"/>
      <c r="CP182" s="340"/>
      <c r="CQ182" s="340"/>
      <c r="CR182" s="340"/>
      <c r="CS182" s="260"/>
      <c r="CT182" s="260"/>
      <c r="CU182" s="260"/>
      <c r="CV182" s="260"/>
      <c r="CW182" s="260"/>
      <c r="CX182" s="260"/>
      <c r="CY182" s="260"/>
      <c r="CZ182" s="260"/>
      <c r="DA182" s="260"/>
      <c r="DB182" s="260"/>
      <c r="DC182" s="260"/>
      <c r="DD182" s="260"/>
      <c r="DE182" s="260"/>
      <c r="DF182" s="260"/>
      <c r="DG182" s="260"/>
      <c r="DH182" s="260"/>
      <c r="DI182" s="260"/>
      <c r="DJ182" s="347"/>
      <c r="DK182" s="347"/>
      <c r="DL182" s="347"/>
      <c r="DM182" s="347"/>
      <c r="DN182" s="353"/>
      <c r="DO182" s="348"/>
      <c r="DP182" s="348"/>
      <c r="DQ182" s="348"/>
      <c r="DR182" s="348"/>
      <c r="DS182" s="348"/>
      <c r="DT182" s="348"/>
      <c r="DU182" s="348"/>
      <c r="DV182" s="348"/>
      <c r="DW182" s="348"/>
      <c r="DX182" s="348"/>
      <c r="DY182" s="348"/>
      <c r="DZ182" s="348"/>
      <c r="EA182" s="348"/>
      <c r="EB182" s="349"/>
      <c r="EC182" s="349"/>
      <c r="ED182" s="349"/>
      <c r="EE182" s="349"/>
      <c r="EF182" s="349"/>
      <c r="EG182" s="349"/>
      <c r="EH182" s="349"/>
      <c r="EI182" s="349"/>
      <c r="EJ182" s="349"/>
      <c r="EK182" s="341"/>
      <c r="EO182" s="341"/>
      <c r="ES182" s="350"/>
      <c r="ET182" s="350"/>
      <c r="EU182" s="350"/>
      <c r="EV182" s="350"/>
      <c r="EW182" s="350"/>
      <c r="EX182" s="350"/>
      <c r="EY182" s="350"/>
      <c r="EZ182" s="345"/>
      <c r="GA182" s="344"/>
      <c r="GB182" s="344"/>
      <c r="GC182" s="344"/>
      <c r="GD182" s="344"/>
      <c r="GE182" s="344"/>
      <c r="GF182" s="344"/>
      <c r="GG182" s="344"/>
    </row>
    <row r="183" spans="1:189" s="339" customFormat="1">
      <c r="A183" s="95"/>
      <c r="B183" s="351"/>
      <c r="I183" s="352"/>
      <c r="J183" s="340"/>
      <c r="K183" s="340"/>
      <c r="L183" s="352"/>
      <c r="M183" s="352"/>
      <c r="N183" s="352"/>
      <c r="O183" s="352"/>
      <c r="P183" s="352"/>
      <c r="Q183" s="352"/>
      <c r="R183" s="352"/>
      <c r="S183" s="352"/>
      <c r="T183" s="352"/>
      <c r="U183" s="352"/>
      <c r="V183" s="340"/>
      <c r="W183" s="340"/>
      <c r="X183" s="340"/>
      <c r="Y183" s="340"/>
      <c r="Z183" s="340"/>
      <c r="AA183" s="340"/>
      <c r="AB183" s="340"/>
      <c r="AC183" s="340"/>
      <c r="AD183" s="340"/>
      <c r="AE183" s="340"/>
      <c r="AF183" s="340"/>
      <c r="AG183" s="340"/>
      <c r="AH183" s="340"/>
      <c r="AI183" s="340"/>
      <c r="AJ183" s="340"/>
      <c r="AK183" s="340"/>
      <c r="AL183" s="340"/>
      <c r="AM183" s="340"/>
      <c r="AN183" s="344"/>
      <c r="AO183" s="346"/>
      <c r="AP183" s="340"/>
      <c r="AQ183" s="340"/>
      <c r="AR183" s="340"/>
      <c r="AS183" s="340"/>
      <c r="AT183" s="340"/>
      <c r="AU183" s="340"/>
      <c r="AV183" s="340"/>
      <c r="AW183" s="340"/>
      <c r="AX183" s="340"/>
      <c r="AY183" s="340"/>
      <c r="AZ183" s="340"/>
      <c r="BA183" s="340"/>
      <c r="BB183" s="340"/>
      <c r="BC183" s="340"/>
      <c r="BD183" s="340"/>
      <c r="BE183" s="340"/>
      <c r="BF183" s="340"/>
      <c r="BG183" s="340"/>
      <c r="BH183" s="340"/>
      <c r="BI183" s="340"/>
      <c r="BJ183" s="340"/>
      <c r="BK183" s="340"/>
      <c r="BL183" s="340"/>
      <c r="BM183" s="340"/>
      <c r="BN183" s="340"/>
      <c r="BO183" s="340"/>
      <c r="BP183" s="340"/>
      <c r="BQ183" s="340"/>
      <c r="BR183" s="340"/>
      <c r="BS183" s="340"/>
      <c r="BT183" s="340"/>
      <c r="BU183" s="340"/>
      <c r="BV183" s="340"/>
      <c r="BW183" s="340"/>
      <c r="BX183" s="340"/>
      <c r="BY183" s="340"/>
      <c r="BZ183" s="340"/>
      <c r="CA183" s="340"/>
      <c r="CB183" s="340"/>
      <c r="CC183" s="340"/>
      <c r="CD183" s="340"/>
      <c r="CE183" s="340"/>
      <c r="CF183" s="346"/>
      <c r="CG183" s="340"/>
      <c r="CH183" s="346"/>
      <c r="CI183" s="346"/>
      <c r="CJ183" s="346"/>
      <c r="CK183" s="346"/>
      <c r="CL183" s="340"/>
      <c r="CM183" s="340"/>
      <c r="CN183" s="340"/>
      <c r="CO183" s="340"/>
      <c r="CP183" s="340"/>
      <c r="CQ183" s="340"/>
      <c r="CR183" s="340"/>
      <c r="CS183" s="260"/>
      <c r="CT183" s="260"/>
      <c r="CU183" s="260"/>
      <c r="CV183" s="260"/>
      <c r="CW183" s="260"/>
      <c r="CX183" s="260"/>
      <c r="CY183" s="260"/>
      <c r="CZ183" s="260"/>
      <c r="DA183" s="260"/>
      <c r="DB183" s="260"/>
      <c r="DC183" s="260"/>
      <c r="DD183" s="260"/>
      <c r="DE183" s="260"/>
      <c r="DF183" s="260"/>
      <c r="DG183" s="260"/>
      <c r="DH183" s="260"/>
      <c r="DI183" s="260"/>
      <c r="DJ183" s="347"/>
      <c r="DK183" s="347"/>
      <c r="DL183" s="347"/>
      <c r="DM183" s="347"/>
      <c r="DN183" s="353"/>
      <c r="DO183" s="348"/>
      <c r="DP183" s="348"/>
      <c r="DQ183" s="348"/>
      <c r="DR183" s="348"/>
      <c r="DS183" s="348"/>
      <c r="DT183" s="348"/>
      <c r="DU183" s="348"/>
      <c r="DV183" s="348"/>
      <c r="DW183" s="348"/>
      <c r="DX183" s="348"/>
      <c r="DY183" s="348"/>
      <c r="DZ183" s="348"/>
      <c r="EA183" s="348"/>
      <c r="EB183" s="349"/>
      <c r="EC183" s="349"/>
      <c r="ED183" s="349"/>
      <c r="EE183" s="349"/>
      <c r="EF183" s="349"/>
      <c r="EG183" s="349"/>
      <c r="EH183" s="349"/>
      <c r="EI183" s="349"/>
      <c r="EJ183" s="349"/>
      <c r="EK183" s="341"/>
      <c r="EO183" s="341"/>
      <c r="ES183" s="350"/>
      <c r="ET183" s="350"/>
      <c r="EU183" s="350"/>
      <c r="EV183" s="350"/>
      <c r="EW183" s="350"/>
      <c r="EX183" s="350"/>
      <c r="EY183" s="350"/>
      <c r="EZ183" s="345"/>
      <c r="GA183" s="344"/>
      <c r="GB183" s="344"/>
      <c r="GC183" s="344"/>
      <c r="GD183" s="344"/>
      <c r="GE183" s="344"/>
      <c r="GF183" s="344"/>
      <c r="GG183" s="344"/>
    </row>
    <row r="184" spans="1:189" s="339" customFormat="1">
      <c r="A184" s="95"/>
      <c r="B184" s="351"/>
      <c r="I184" s="352"/>
      <c r="J184" s="340"/>
      <c r="K184" s="340"/>
      <c r="L184" s="352"/>
      <c r="M184" s="352"/>
      <c r="N184" s="352"/>
      <c r="O184" s="352"/>
      <c r="P184" s="352"/>
      <c r="Q184" s="352"/>
      <c r="R184" s="352"/>
      <c r="S184" s="352"/>
      <c r="T184" s="352"/>
      <c r="U184" s="352"/>
      <c r="V184" s="340"/>
      <c r="W184" s="340"/>
      <c r="X184" s="340"/>
      <c r="Y184" s="340"/>
      <c r="Z184" s="340"/>
      <c r="AA184" s="340"/>
      <c r="AB184" s="340"/>
      <c r="AC184" s="340"/>
      <c r="AD184" s="340"/>
      <c r="AE184" s="340"/>
      <c r="AF184" s="340"/>
      <c r="AG184" s="340"/>
      <c r="AH184" s="340"/>
      <c r="AI184" s="340"/>
      <c r="AJ184" s="340"/>
      <c r="AK184" s="340"/>
      <c r="AL184" s="340"/>
      <c r="AM184" s="340"/>
      <c r="AN184" s="344"/>
      <c r="AO184" s="346"/>
      <c r="AP184" s="340"/>
      <c r="AQ184" s="340"/>
      <c r="AR184" s="340"/>
      <c r="AS184" s="340"/>
      <c r="AT184" s="340"/>
      <c r="AU184" s="340"/>
      <c r="AV184" s="340"/>
      <c r="AW184" s="340"/>
      <c r="AX184" s="340"/>
      <c r="AY184" s="340"/>
      <c r="AZ184" s="340"/>
      <c r="BA184" s="340"/>
      <c r="BB184" s="340"/>
      <c r="BC184" s="340"/>
      <c r="BD184" s="340"/>
      <c r="BE184" s="340"/>
      <c r="BF184" s="340"/>
      <c r="BG184" s="340"/>
      <c r="BH184" s="340"/>
      <c r="BI184" s="340"/>
      <c r="BJ184" s="340"/>
      <c r="BK184" s="340"/>
      <c r="BL184" s="340"/>
      <c r="BM184" s="340"/>
      <c r="BN184" s="340"/>
      <c r="BO184" s="340"/>
      <c r="BP184" s="340"/>
      <c r="BQ184" s="340"/>
      <c r="BR184" s="340"/>
      <c r="BS184" s="340"/>
      <c r="BT184" s="340"/>
      <c r="BU184" s="340"/>
      <c r="BV184" s="340"/>
      <c r="BW184" s="340"/>
      <c r="BX184" s="340"/>
      <c r="BY184" s="340"/>
      <c r="BZ184" s="340"/>
      <c r="CA184" s="340"/>
      <c r="CB184" s="340"/>
      <c r="CC184" s="340"/>
      <c r="CD184" s="340"/>
      <c r="CE184" s="340"/>
      <c r="CF184" s="346"/>
      <c r="CG184" s="340"/>
      <c r="CH184" s="346"/>
      <c r="CI184" s="346"/>
      <c r="CJ184" s="346"/>
      <c r="CK184" s="346"/>
      <c r="CL184" s="340"/>
      <c r="CM184" s="340"/>
      <c r="CN184" s="340"/>
      <c r="CO184" s="340"/>
      <c r="CP184" s="340"/>
      <c r="CQ184" s="340"/>
      <c r="CR184" s="340"/>
      <c r="CS184" s="260"/>
      <c r="CT184" s="260"/>
      <c r="CU184" s="260"/>
      <c r="CV184" s="260"/>
      <c r="CW184" s="260"/>
      <c r="CX184" s="260"/>
      <c r="CY184" s="260"/>
      <c r="CZ184" s="260"/>
      <c r="DA184" s="260"/>
      <c r="DB184" s="260"/>
      <c r="DC184" s="260"/>
      <c r="DD184" s="260"/>
      <c r="DE184" s="260"/>
      <c r="DF184" s="260"/>
      <c r="DG184" s="260"/>
      <c r="DH184" s="260"/>
      <c r="DI184" s="260"/>
      <c r="DJ184" s="347"/>
      <c r="DK184" s="347"/>
      <c r="DL184" s="347"/>
      <c r="DM184" s="347"/>
      <c r="DN184" s="353"/>
      <c r="DO184" s="348"/>
      <c r="DP184" s="348"/>
      <c r="DQ184" s="348"/>
      <c r="DR184" s="348"/>
      <c r="DS184" s="348"/>
      <c r="DT184" s="348"/>
      <c r="DU184" s="348"/>
      <c r="DV184" s="348"/>
      <c r="DW184" s="348"/>
      <c r="DX184" s="348"/>
      <c r="DY184" s="348"/>
      <c r="DZ184" s="348"/>
      <c r="EA184" s="348"/>
      <c r="EB184" s="349"/>
      <c r="EC184" s="349"/>
      <c r="ED184" s="349"/>
      <c r="EE184" s="349"/>
      <c r="EF184" s="349"/>
      <c r="EG184" s="349"/>
      <c r="EH184" s="349"/>
      <c r="EI184" s="349"/>
      <c r="EJ184" s="349"/>
      <c r="EK184" s="341"/>
      <c r="EO184" s="341"/>
      <c r="ES184" s="350"/>
      <c r="ET184" s="350"/>
      <c r="EU184" s="350"/>
      <c r="EV184" s="350"/>
      <c r="EW184" s="350"/>
      <c r="EX184" s="350"/>
      <c r="EY184" s="350"/>
      <c r="EZ184" s="345"/>
      <c r="GA184" s="344"/>
      <c r="GB184" s="344"/>
      <c r="GC184" s="344"/>
      <c r="GD184" s="344"/>
      <c r="GE184" s="344"/>
      <c r="GF184" s="344"/>
      <c r="GG184" s="344"/>
    </row>
    <row r="185" spans="1:189" s="339" customFormat="1">
      <c r="A185" s="95"/>
      <c r="B185" s="351"/>
      <c r="I185" s="352"/>
      <c r="J185" s="340"/>
      <c r="K185" s="340"/>
      <c r="L185" s="352"/>
      <c r="M185" s="352"/>
      <c r="N185" s="352"/>
      <c r="O185" s="352"/>
      <c r="P185" s="352"/>
      <c r="Q185" s="352"/>
      <c r="R185" s="352"/>
      <c r="S185" s="352"/>
      <c r="T185" s="352"/>
      <c r="U185" s="352"/>
      <c r="V185" s="340"/>
      <c r="W185" s="340"/>
      <c r="X185" s="340"/>
      <c r="Y185" s="340"/>
      <c r="Z185" s="340"/>
      <c r="AA185" s="340"/>
      <c r="AB185" s="340"/>
      <c r="AC185" s="340"/>
      <c r="AD185" s="340"/>
      <c r="AE185" s="340"/>
      <c r="AF185" s="340"/>
      <c r="AG185" s="340"/>
      <c r="AH185" s="340"/>
      <c r="AI185" s="340"/>
      <c r="AJ185" s="340"/>
      <c r="AK185" s="340"/>
      <c r="AL185" s="340"/>
      <c r="AM185" s="340"/>
      <c r="AN185" s="344"/>
      <c r="AO185" s="346"/>
      <c r="AP185" s="340"/>
      <c r="AQ185" s="340"/>
      <c r="AR185" s="340"/>
      <c r="AS185" s="340"/>
      <c r="AT185" s="340"/>
      <c r="AU185" s="340"/>
      <c r="AV185" s="340"/>
      <c r="AW185" s="340"/>
      <c r="AX185" s="340"/>
      <c r="AY185" s="340"/>
      <c r="AZ185" s="340"/>
      <c r="BA185" s="340"/>
      <c r="BB185" s="340"/>
      <c r="BC185" s="340"/>
      <c r="BD185" s="340"/>
      <c r="BE185" s="340"/>
      <c r="BF185" s="340"/>
      <c r="BG185" s="340"/>
      <c r="BH185" s="340"/>
      <c r="BI185" s="340"/>
      <c r="BJ185" s="340"/>
      <c r="BK185" s="340"/>
      <c r="BL185" s="340"/>
      <c r="BM185" s="340"/>
      <c r="BN185" s="340"/>
      <c r="BO185" s="340"/>
      <c r="BP185" s="340"/>
      <c r="BQ185" s="340"/>
      <c r="BR185" s="340"/>
      <c r="BS185" s="340"/>
      <c r="BT185" s="340"/>
      <c r="BU185" s="340"/>
      <c r="BV185" s="340"/>
      <c r="BW185" s="340"/>
      <c r="BX185" s="340"/>
      <c r="BY185" s="340"/>
      <c r="BZ185" s="340"/>
      <c r="CA185" s="340"/>
      <c r="CB185" s="340"/>
      <c r="CC185" s="340"/>
      <c r="CD185" s="340"/>
      <c r="CE185" s="340"/>
      <c r="CF185" s="346"/>
      <c r="CG185" s="340"/>
      <c r="CH185" s="346"/>
      <c r="CI185" s="346"/>
      <c r="CJ185" s="346"/>
      <c r="CK185" s="346"/>
      <c r="CL185" s="340"/>
      <c r="CM185" s="340"/>
      <c r="CN185" s="340"/>
      <c r="CO185" s="340"/>
      <c r="CP185" s="340"/>
      <c r="CQ185" s="340"/>
      <c r="CR185" s="340"/>
      <c r="CS185" s="260"/>
      <c r="CT185" s="260"/>
      <c r="CU185" s="260"/>
      <c r="CV185" s="260"/>
      <c r="CW185" s="260"/>
      <c r="CX185" s="260"/>
      <c r="CY185" s="260"/>
      <c r="CZ185" s="260"/>
      <c r="DA185" s="260"/>
      <c r="DB185" s="260"/>
      <c r="DC185" s="260"/>
      <c r="DD185" s="260"/>
      <c r="DE185" s="260"/>
      <c r="DF185" s="260"/>
      <c r="DG185" s="260"/>
      <c r="DH185" s="260"/>
      <c r="DI185" s="260"/>
      <c r="DJ185" s="347"/>
      <c r="DK185" s="347"/>
      <c r="DL185" s="347"/>
      <c r="DM185" s="347"/>
      <c r="DN185" s="353"/>
      <c r="DO185" s="348"/>
      <c r="DP185" s="348"/>
      <c r="DQ185" s="348"/>
      <c r="DR185" s="348"/>
      <c r="DS185" s="348"/>
      <c r="DT185" s="348"/>
      <c r="DU185" s="348"/>
      <c r="DV185" s="348"/>
      <c r="DW185" s="348"/>
      <c r="DX185" s="348"/>
      <c r="DY185" s="348"/>
      <c r="DZ185" s="348"/>
      <c r="EA185" s="348"/>
      <c r="EB185" s="349"/>
      <c r="EC185" s="349"/>
      <c r="ED185" s="349"/>
      <c r="EE185" s="349"/>
      <c r="EF185" s="349"/>
      <c r="EG185" s="349"/>
      <c r="EH185" s="349"/>
      <c r="EI185" s="349"/>
      <c r="EJ185" s="349"/>
      <c r="EK185" s="341"/>
      <c r="EO185" s="341"/>
      <c r="ES185" s="350"/>
      <c r="ET185" s="350"/>
      <c r="EU185" s="350"/>
      <c r="EV185" s="350"/>
      <c r="EW185" s="350"/>
      <c r="EX185" s="350"/>
      <c r="EY185" s="350"/>
      <c r="EZ185" s="345"/>
      <c r="GA185" s="344"/>
      <c r="GB185" s="344"/>
      <c r="GC185" s="344"/>
      <c r="GD185" s="344"/>
      <c r="GE185" s="344"/>
      <c r="GF185" s="344"/>
      <c r="GG185" s="344"/>
    </row>
    <row r="186" spans="1:189" s="339" customFormat="1">
      <c r="A186" s="95"/>
      <c r="B186" s="351"/>
      <c r="I186" s="352"/>
      <c r="J186" s="340"/>
      <c r="K186" s="340"/>
      <c r="L186" s="352"/>
      <c r="M186" s="352"/>
      <c r="N186" s="352"/>
      <c r="O186" s="352"/>
      <c r="P186" s="352"/>
      <c r="Q186" s="352"/>
      <c r="R186" s="352"/>
      <c r="S186" s="352"/>
      <c r="T186" s="352"/>
      <c r="U186" s="352"/>
      <c r="V186" s="340"/>
      <c r="W186" s="340"/>
      <c r="X186" s="340"/>
      <c r="Y186" s="340"/>
      <c r="Z186" s="340"/>
      <c r="AA186" s="340"/>
      <c r="AB186" s="340"/>
      <c r="AC186" s="340"/>
      <c r="AD186" s="340"/>
      <c r="AE186" s="340"/>
      <c r="AF186" s="340"/>
      <c r="AG186" s="340"/>
      <c r="AH186" s="340"/>
      <c r="AI186" s="340"/>
      <c r="AJ186" s="340"/>
      <c r="AK186" s="340"/>
      <c r="AL186" s="340"/>
      <c r="AM186" s="340"/>
      <c r="AN186" s="344"/>
      <c r="AO186" s="346"/>
      <c r="AP186" s="340"/>
      <c r="AQ186" s="340"/>
      <c r="AR186" s="340"/>
      <c r="AS186" s="340"/>
      <c r="AT186" s="340"/>
      <c r="AU186" s="340"/>
      <c r="AV186" s="340"/>
      <c r="AW186" s="340"/>
      <c r="AX186" s="340"/>
      <c r="AY186" s="340"/>
      <c r="AZ186" s="340"/>
      <c r="BA186" s="340"/>
      <c r="BB186" s="340"/>
      <c r="BC186" s="340"/>
      <c r="BD186" s="340"/>
      <c r="BE186" s="340"/>
      <c r="BF186" s="340"/>
      <c r="BG186" s="340"/>
      <c r="BH186" s="340"/>
      <c r="BI186" s="340"/>
      <c r="BJ186" s="340"/>
      <c r="BK186" s="340"/>
      <c r="BL186" s="340"/>
      <c r="BM186" s="340"/>
      <c r="BN186" s="340"/>
      <c r="BO186" s="340"/>
      <c r="BP186" s="340"/>
      <c r="BQ186" s="340"/>
      <c r="BR186" s="340"/>
      <c r="BS186" s="340"/>
      <c r="BT186" s="340"/>
      <c r="BU186" s="340"/>
      <c r="BV186" s="340"/>
      <c r="BW186" s="340"/>
      <c r="BX186" s="340"/>
      <c r="BY186" s="340"/>
      <c r="BZ186" s="340"/>
      <c r="CA186" s="340"/>
      <c r="CB186" s="340"/>
      <c r="CC186" s="340"/>
      <c r="CD186" s="340"/>
      <c r="CE186" s="340"/>
      <c r="CF186" s="346"/>
      <c r="CG186" s="340"/>
      <c r="CH186" s="346"/>
      <c r="CI186" s="346"/>
      <c r="CJ186" s="346"/>
      <c r="CK186" s="346"/>
      <c r="CL186" s="340"/>
      <c r="CM186" s="340"/>
      <c r="CN186" s="340"/>
      <c r="CO186" s="340"/>
      <c r="CP186" s="340"/>
      <c r="CQ186" s="340"/>
      <c r="CR186" s="340"/>
      <c r="CS186" s="260"/>
      <c r="CT186" s="260"/>
      <c r="CU186" s="260"/>
      <c r="CV186" s="260"/>
      <c r="CW186" s="260"/>
      <c r="CX186" s="260"/>
      <c r="CY186" s="260"/>
      <c r="CZ186" s="260"/>
      <c r="DA186" s="260"/>
      <c r="DB186" s="260"/>
      <c r="DC186" s="260"/>
      <c r="DD186" s="260"/>
      <c r="DE186" s="260"/>
      <c r="DF186" s="260"/>
      <c r="DG186" s="260"/>
      <c r="DH186" s="260"/>
      <c r="DI186" s="260"/>
      <c r="DJ186" s="347"/>
      <c r="DK186" s="347"/>
      <c r="DL186" s="347"/>
      <c r="DM186" s="347"/>
      <c r="DN186" s="353"/>
      <c r="DO186" s="348"/>
      <c r="DP186" s="348"/>
      <c r="DQ186" s="348"/>
      <c r="DR186" s="348"/>
      <c r="DS186" s="348"/>
      <c r="DT186" s="348"/>
      <c r="DU186" s="348"/>
      <c r="DV186" s="348"/>
      <c r="DW186" s="348"/>
      <c r="DX186" s="348"/>
      <c r="DY186" s="348"/>
      <c r="DZ186" s="348"/>
      <c r="EA186" s="348"/>
      <c r="EB186" s="349"/>
      <c r="EC186" s="349"/>
      <c r="ED186" s="349"/>
      <c r="EE186" s="349"/>
      <c r="EF186" s="349"/>
      <c r="EG186" s="349"/>
      <c r="EH186" s="349"/>
      <c r="EI186" s="349"/>
      <c r="EJ186" s="349"/>
      <c r="EK186" s="341"/>
      <c r="EO186" s="341"/>
      <c r="ES186" s="350"/>
      <c r="ET186" s="350"/>
      <c r="EU186" s="350"/>
      <c r="EV186" s="350"/>
      <c r="EW186" s="350"/>
      <c r="EX186" s="350"/>
      <c r="EY186" s="350"/>
      <c r="EZ186" s="345"/>
      <c r="GA186" s="344"/>
      <c r="GB186" s="344"/>
      <c r="GC186" s="344"/>
      <c r="GD186" s="344"/>
      <c r="GE186" s="344"/>
      <c r="GF186" s="344"/>
      <c r="GG186" s="344"/>
    </row>
    <row r="187" spans="1:189" s="339" customFormat="1">
      <c r="A187" s="95"/>
      <c r="B187" s="351"/>
      <c r="I187" s="352"/>
      <c r="J187" s="340"/>
      <c r="K187" s="340"/>
      <c r="L187" s="352"/>
      <c r="M187" s="352"/>
      <c r="N187" s="352"/>
      <c r="O187" s="352"/>
      <c r="P187" s="352"/>
      <c r="Q187" s="352"/>
      <c r="R187" s="352"/>
      <c r="S187" s="352"/>
      <c r="T187" s="352"/>
      <c r="U187" s="352"/>
      <c r="V187" s="340"/>
      <c r="W187" s="340"/>
      <c r="X187" s="340"/>
      <c r="Y187" s="340"/>
      <c r="Z187" s="340"/>
      <c r="AA187" s="340"/>
      <c r="AB187" s="340"/>
      <c r="AC187" s="340"/>
      <c r="AD187" s="340"/>
      <c r="AE187" s="340"/>
      <c r="AF187" s="340"/>
      <c r="AG187" s="340"/>
      <c r="AH187" s="340"/>
      <c r="AI187" s="340"/>
      <c r="AJ187" s="340"/>
      <c r="AK187" s="340"/>
      <c r="AL187" s="340"/>
      <c r="AM187" s="340"/>
      <c r="AN187" s="344"/>
      <c r="AO187" s="346"/>
      <c r="AP187" s="340"/>
      <c r="AQ187" s="340"/>
      <c r="AR187" s="340"/>
      <c r="AS187" s="340"/>
      <c r="AT187" s="340"/>
      <c r="AU187" s="340"/>
      <c r="AV187" s="340"/>
      <c r="AW187" s="340"/>
      <c r="AX187" s="340"/>
      <c r="AY187" s="340"/>
      <c r="AZ187" s="340"/>
      <c r="BA187" s="340"/>
      <c r="BB187" s="340"/>
      <c r="BC187" s="340"/>
      <c r="BD187" s="340"/>
      <c r="BE187" s="340"/>
      <c r="BF187" s="340"/>
      <c r="BG187" s="340"/>
      <c r="BH187" s="340"/>
      <c r="BI187" s="340"/>
      <c r="BJ187" s="340"/>
      <c r="BK187" s="340"/>
      <c r="BL187" s="340"/>
      <c r="BM187" s="340"/>
      <c r="BN187" s="340"/>
      <c r="BO187" s="340"/>
      <c r="BP187" s="340"/>
      <c r="BQ187" s="340"/>
      <c r="BR187" s="340"/>
      <c r="BS187" s="340"/>
      <c r="BT187" s="340"/>
      <c r="BU187" s="340"/>
      <c r="BV187" s="340"/>
      <c r="BW187" s="340"/>
      <c r="BX187" s="340"/>
      <c r="BY187" s="340"/>
      <c r="BZ187" s="340"/>
      <c r="CA187" s="340"/>
      <c r="CB187" s="340"/>
      <c r="CC187" s="340"/>
      <c r="CD187" s="340"/>
      <c r="CE187" s="340"/>
      <c r="CF187" s="346"/>
      <c r="CG187" s="340"/>
      <c r="CH187" s="346"/>
      <c r="CI187" s="346"/>
      <c r="CJ187" s="346"/>
      <c r="CK187" s="346"/>
      <c r="CL187" s="340"/>
      <c r="CM187" s="340"/>
      <c r="CN187" s="340"/>
      <c r="CO187" s="340"/>
      <c r="CP187" s="340"/>
      <c r="CQ187" s="340"/>
      <c r="CR187" s="340"/>
      <c r="CS187" s="260"/>
      <c r="CT187" s="260"/>
      <c r="CU187" s="260"/>
      <c r="CV187" s="260"/>
      <c r="CW187" s="260"/>
      <c r="CX187" s="260"/>
      <c r="CY187" s="260"/>
      <c r="CZ187" s="260"/>
      <c r="DA187" s="260"/>
      <c r="DB187" s="260"/>
      <c r="DC187" s="260"/>
      <c r="DD187" s="260"/>
      <c r="DE187" s="260"/>
      <c r="DF187" s="260"/>
      <c r="DG187" s="260"/>
      <c r="DH187" s="260"/>
      <c r="DI187" s="260"/>
      <c r="DJ187" s="347"/>
      <c r="DK187" s="347"/>
      <c r="DL187" s="347"/>
      <c r="DM187" s="347"/>
      <c r="DN187" s="353"/>
      <c r="DO187" s="348"/>
      <c r="DP187" s="348"/>
      <c r="DQ187" s="348"/>
      <c r="DR187" s="348"/>
      <c r="DS187" s="348"/>
      <c r="DT187" s="348"/>
      <c r="DU187" s="348"/>
      <c r="DV187" s="348"/>
      <c r="DW187" s="348"/>
      <c r="DX187" s="348"/>
      <c r="DY187" s="348"/>
      <c r="DZ187" s="348"/>
      <c r="EA187" s="348"/>
      <c r="EB187" s="349"/>
      <c r="EC187" s="349"/>
      <c r="ED187" s="349"/>
      <c r="EE187" s="349"/>
      <c r="EF187" s="349"/>
      <c r="EG187" s="349"/>
      <c r="EH187" s="349"/>
      <c r="EI187" s="349"/>
      <c r="EJ187" s="349"/>
      <c r="EK187" s="341"/>
      <c r="EO187" s="341"/>
      <c r="ES187" s="350"/>
      <c r="ET187" s="350"/>
      <c r="EU187" s="350"/>
      <c r="EV187" s="350"/>
      <c r="EW187" s="350"/>
      <c r="EX187" s="350"/>
      <c r="EY187" s="350"/>
      <c r="EZ187" s="345"/>
      <c r="GA187" s="344"/>
      <c r="GB187" s="344"/>
      <c r="GC187" s="344"/>
      <c r="GD187" s="344"/>
      <c r="GE187" s="344"/>
      <c r="GF187" s="344"/>
      <c r="GG187" s="344"/>
    </row>
    <row r="188" spans="1:189" s="339" customFormat="1">
      <c r="A188" s="95"/>
      <c r="B188" s="351"/>
      <c r="I188" s="352"/>
      <c r="J188" s="340"/>
      <c r="K188" s="340"/>
      <c r="L188" s="352"/>
      <c r="M188" s="352"/>
      <c r="N188" s="352"/>
      <c r="O188" s="352"/>
      <c r="P188" s="352"/>
      <c r="Q188" s="352"/>
      <c r="R188" s="352"/>
      <c r="S188" s="352"/>
      <c r="T188" s="352"/>
      <c r="U188" s="352"/>
      <c r="V188" s="340"/>
      <c r="W188" s="340"/>
      <c r="X188" s="340"/>
      <c r="Y188" s="340"/>
      <c r="Z188" s="340"/>
      <c r="AA188" s="340"/>
      <c r="AB188" s="340"/>
      <c r="AC188" s="340"/>
      <c r="AD188" s="340"/>
      <c r="AE188" s="340"/>
      <c r="AF188" s="340"/>
      <c r="AG188" s="340"/>
      <c r="AH188" s="340"/>
      <c r="AI188" s="340"/>
      <c r="AJ188" s="340"/>
      <c r="AK188" s="340"/>
      <c r="AL188" s="340"/>
      <c r="AM188" s="340"/>
      <c r="AN188" s="344"/>
      <c r="AO188" s="346"/>
      <c r="AP188" s="340"/>
      <c r="AQ188" s="340"/>
      <c r="AR188" s="340"/>
      <c r="AS188" s="340"/>
      <c r="AT188" s="340"/>
      <c r="AU188" s="340"/>
      <c r="AV188" s="340"/>
      <c r="AW188" s="340"/>
      <c r="AX188" s="340"/>
      <c r="AY188" s="340"/>
      <c r="AZ188" s="340"/>
      <c r="BA188" s="340"/>
      <c r="BB188" s="340"/>
      <c r="BC188" s="340"/>
      <c r="BD188" s="340"/>
      <c r="BE188" s="340"/>
      <c r="BF188" s="340"/>
      <c r="BG188" s="340"/>
      <c r="BH188" s="340"/>
      <c r="BI188" s="340"/>
      <c r="BJ188" s="340"/>
      <c r="BK188" s="340"/>
      <c r="BL188" s="340"/>
      <c r="BM188" s="340"/>
      <c r="BN188" s="340"/>
      <c r="BO188" s="340"/>
      <c r="BP188" s="340"/>
      <c r="BQ188" s="340"/>
      <c r="BR188" s="340"/>
      <c r="BS188" s="340"/>
      <c r="BT188" s="340"/>
      <c r="BU188" s="340"/>
      <c r="BV188" s="340"/>
      <c r="BW188" s="340"/>
      <c r="BX188" s="340"/>
      <c r="BY188" s="340"/>
      <c r="BZ188" s="340"/>
      <c r="CA188" s="340"/>
      <c r="CB188" s="340"/>
      <c r="CC188" s="340"/>
      <c r="CD188" s="340"/>
      <c r="CE188" s="340"/>
      <c r="CF188" s="346"/>
      <c r="CG188" s="340"/>
      <c r="CH188" s="346"/>
      <c r="CI188" s="346"/>
      <c r="CJ188" s="346"/>
      <c r="CK188" s="346"/>
      <c r="CL188" s="340"/>
      <c r="CM188" s="340"/>
      <c r="CN188" s="340"/>
      <c r="CO188" s="340"/>
      <c r="CP188" s="340"/>
      <c r="CQ188" s="340"/>
      <c r="CR188" s="340"/>
      <c r="CS188" s="260"/>
      <c r="CT188" s="260"/>
      <c r="CU188" s="260"/>
      <c r="CV188" s="260"/>
      <c r="CW188" s="260"/>
      <c r="CX188" s="260"/>
      <c r="CY188" s="260"/>
      <c r="CZ188" s="260"/>
      <c r="DA188" s="260"/>
      <c r="DB188" s="260"/>
      <c r="DC188" s="260"/>
      <c r="DD188" s="260"/>
      <c r="DE188" s="260"/>
      <c r="DF188" s="260"/>
      <c r="DG188" s="260"/>
      <c r="DH188" s="260"/>
      <c r="DI188" s="260"/>
      <c r="DJ188" s="347"/>
      <c r="DK188" s="347"/>
      <c r="DL188" s="347"/>
      <c r="DM188" s="347"/>
      <c r="DN188" s="353"/>
      <c r="DO188" s="348"/>
      <c r="DP188" s="348"/>
      <c r="DQ188" s="348"/>
      <c r="DR188" s="348"/>
      <c r="DS188" s="348"/>
      <c r="DT188" s="348"/>
      <c r="DU188" s="348"/>
      <c r="DV188" s="348"/>
      <c r="DW188" s="348"/>
      <c r="DX188" s="348"/>
      <c r="DY188" s="348"/>
      <c r="DZ188" s="348"/>
      <c r="EA188" s="348"/>
      <c r="EB188" s="349"/>
      <c r="EC188" s="349"/>
      <c r="ED188" s="349"/>
      <c r="EE188" s="349"/>
      <c r="EF188" s="349"/>
      <c r="EG188" s="349"/>
      <c r="EH188" s="349"/>
      <c r="EI188" s="349"/>
      <c r="EJ188" s="349"/>
      <c r="EK188" s="341"/>
      <c r="EO188" s="341"/>
      <c r="ES188" s="350"/>
      <c r="ET188" s="350"/>
      <c r="EU188" s="350"/>
      <c r="EV188" s="350"/>
      <c r="EW188" s="350"/>
      <c r="EX188" s="350"/>
      <c r="EY188" s="350"/>
      <c r="EZ188" s="345"/>
      <c r="GA188" s="344"/>
      <c r="GB188" s="344"/>
      <c r="GC188" s="344"/>
      <c r="GD188" s="344"/>
      <c r="GE188" s="344"/>
      <c r="GF188" s="344"/>
      <c r="GG188" s="344"/>
    </row>
    <row r="189" spans="1:189" s="339" customFormat="1">
      <c r="A189" s="95"/>
      <c r="B189" s="351"/>
      <c r="I189" s="352"/>
      <c r="J189" s="340"/>
      <c r="K189" s="340"/>
      <c r="L189" s="352"/>
      <c r="M189" s="352"/>
      <c r="N189" s="352"/>
      <c r="O189" s="352"/>
      <c r="P189" s="352"/>
      <c r="Q189" s="352"/>
      <c r="R189" s="352"/>
      <c r="S189" s="352"/>
      <c r="T189" s="352"/>
      <c r="U189" s="352"/>
      <c r="V189" s="340"/>
      <c r="W189" s="340"/>
      <c r="X189" s="340"/>
      <c r="Y189" s="340"/>
      <c r="Z189" s="340"/>
      <c r="AA189" s="340"/>
      <c r="AB189" s="340"/>
      <c r="AC189" s="340"/>
      <c r="AD189" s="340"/>
      <c r="AE189" s="340"/>
      <c r="AF189" s="340"/>
      <c r="AG189" s="340"/>
      <c r="AH189" s="340"/>
      <c r="AI189" s="340"/>
      <c r="AJ189" s="340"/>
      <c r="AK189" s="340"/>
      <c r="AL189" s="340"/>
      <c r="AM189" s="340"/>
      <c r="AN189" s="344"/>
      <c r="AO189" s="346"/>
      <c r="AP189" s="340"/>
      <c r="AQ189" s="340"/>
      <c r="AR189" s="340"/>
      <c r="AS189" s="340"/>
      <c r="AT189" s="340"/>
      <c r="AU189" s="340"/>
      <c r="AV189" s="340"/>
      <c r="AW189" s="340"/>
      <c r="AX189" s="340"/>
      <c r="AY189" s="340"/>
      <c r="AZ189" s="340"/>
      <c r="BA189" s="340"/>
      <c r="BB189" s="340"/>
      <c r="BC189" s="340"/>
      <c r="BD189" s="340"/>
      <c r="BE189" s="340"/>
      <c r="BF189" s="340"/>
      <c r="BG189" s="340"/>
      <c r="BH189" s="340"/>
      <c r="BI189" s="340"/>
      <c r="BJ189" s="340"/>
      <c r="BK189" s="340"/>
      <c r="BL189" s="340"/>
      <c r="BM189" s="340"/>
      <c r="BN189" s="340"/>
      <c r="BO189" s="340"/>
      <c r="BP189" s="340"/>
      <c r="BQ189" s="340"/>
      <c r="BR189" s="340"/>
      <c r="BS189" s="340"/>
      <c r="BT189" s="340"/>
      <c r="BU189" s="340"/>
      <c r="BV189" s="340"/>
      <c r="BW189" s="340"/>
      <c r="BX189" s="340"/>
      <c r="BY189" s="340"/>
      <c r="BZ189" s="340"/>
      <c r="CA189" s="340"/>
      <c r="CB189" s="340"/>
      <c r="CC189" s="340"/>
      <c r="CD189" s="340"/>
      <c r="CE189" s="340"/>
      <c r="CF189" s="346"/>
      <c r="CG189" s="340"/>
      <c r="CH189" s="346"/>
      <c r="CI189" s="346"/>
      <c r="CJ189" s="346"/>
      <c r="CK189" s="346"/>
      <c r="CL189" s="340"/>
      <c r="CM189" s="340"/>
      <c r="CN189" s="340"/>
      <c r="CO189" s="340"/>
      <c r="CP189" s="340"/>
      <c r="CQ189" s="340"/>
      <c r="CR189" s="340"/>
      <c r="CS189" s="260"/>
      <c r="CT189" s="260"/>
      <c r="CU189" s="260"/>
      <c r="CV189" s="260"/>
      <c r="CW189" s="260"/>
      <c r="CX189" s="260"/>
      <c r="CY189" s="260"/>
      <c r="CZ189" s="260"/>
      <c r="DA189" s="260"/>
      <c r="DB189" s="260"/>
      <c r="DC189" s="260"/>
      <c r="DD189" s="260"/>
      <c r="DE189" s="260"/>
      <c r="DF189" s="260"/>
      <c r="DG189" s="260"/>
      <c r="DH189" s="260"/>
      <c r="DI189" s="260"/>
      <c r="DJ189" s="347"/>
      <c r="DK189" s="347"/>
      <c r="DL189" s="347"/>
      <c r="DM189" s="347"/>
      <c r="DN189" s="353"/>
      <c r="DO189" s="348"/>
      <c r="DP189" s="348"/>
      <c r="DQ189" s="348"/>
      <c r="DR189" s="348"/>
      <c r="DS189" s="348"/>
      <c r="DT189" s="348"/>
      <c r="DU189" s="348"/>
      <c r="DV189" s="348"/>
      <c r="DW189" s="348"/>
      <c r="DX189" s="348"/>
      <c r="DY189" s="348"/>
      <c r="DZ189" s="348"/>
      <c r="EA189" s="348"/>
      <c r="EB189" s="349"/>
      <c r="EC189" s="349"/>
      <c r="ED189" s="349"/>
      <c r="EE189" s="349"/>
      <c r="EF189" s="349"/>
      <c r="EG189" s="349"/>
      <c r="EH189" s="349"/>
      <c r="EI189" s="349"/>
      <c r="EJ189" s="349"/>
      <c r="EK189" s="341"/>
      <c r="EO189" s="341"/>
      <c r="ES189" s="350"/>
      <c r="ET189" s="350"/>
      <c r="EU189" s="350"/>
      <c r="EV189" s="350"/>
      <c r="EW189" s="350"/>
      <c r="EX189" s="350"/>
      <c r="EY189" s="350"/>
      <c r="EZ189" s="345"/>
      <c r="GA189" s="344"/>
      <c r="GB189" s="344"/>
      <c r="GC189" s="344"/>
      <c r="GD189" s="344"/>
      <c r="GE189" s="344"/>
      <c r="GF189" s="344"/>
      <c r="GG189" s="344"/>
    </row>
    <row r="190" spans="1:189" s="339" customFormat="1">
      <c r="A190" s="95"/>
      <c r="B190" s="351"/>
      <c r="I190" s="352"/>
      <c r="J190" s="340"/>
      <c r="K190" s="340"/>
      <c r="L190" s="352"/>
      <c r="M190" s="352"/>
      <c r="N190" s="352"/>
      <c r="O190" s="352"/>
      <c r="P190" s="352"/>
      <c r="Q190" s="352"/>
      <c r="R190" s="352"/>
      <c r="S190" s="352"/>
      <c r="T190" s="352"/>
      <c r="U190" s="352"/>
      <c r="V190" s="340"/>
      <c r="W190" s="340"/>
      <c r="X190" s="340"/>
      <c r="Y190" s="340"/>
      <c r="Z190" s="340"/>
      <c r="AA190" s="340"/>
      <c r="AB190" s="340"/>
      <c r="AC190" s="340"/>
      <c r="AD190" s="340"/>
      <c r="AE190" s="340"/>
      <c r="AF190" s="340"/>
      <c r="AG190" s="340"/>
      <c r="AH190" s="340"/>
      <c r="AI190" s="340"/>
      <c r="AJ190" s="340"/>
      <c r="AK190" s="340"/>
      <c r="AL190" s="340"/>
      <c r="AM190" s="340"/>
      <c r="AN190" s="344"/>
      <c r="AO190" s="346"/>
      <c r="AP190" s="340"/>
      <c r="AQ190" s="340"/>
      <c r="AR190" s="340"/>
      <c r="AS190" s="340"/>
      <c r="AT190" s="340"/>
      <c r="AU190" s="340"/>
      <c r="AV190" s="340"/>
      <c r="AW190" s="340"/>
      <c r="AX190" s="340"/>
      <c r="AY190" s="340"/>
      <c r="AZ190" s="340"/>
      <c r="BA190" s="340"/>
      <c r="BB190" s="340"/>
      <c r="BC190" s="340"/>
      <c r="BD190" s="340"/>
      <c r="BE190" s="340"/>
      <c r="BF190" s="340"/>
      <c r="BG190" s="340"/>
      <c r="BH190" s="340"/>
      <c r="BI190" s="340"/>
      <c r="BJ190" s="340"/>
      <c r="BK190" s="340"/>
      <c r="BL190" s="340"/>
      <c r="BM190" s="340"/>
      <c r="BN190" s="340"/>
      <c r="BO190" s="340"/>
      <c r="BP190" s="340"/>
      <c r="BQ190" s="340"/>
      <c r="BR190" s="340"/>
      <c r="BS190" s="340"/>
      <c r="BT190" s="340"/>
      <c r="BU190" s="340"/>
      <c r="BV190" s="340"/>
      <c r="BW190" s="340"/>
      <c r="BX190" s="340"/>
      <c r="BY190" s="340"/>
      <c r="BZ190" s="340"/>
      <c r="CA190" s="340"/>
      <c r="CB190" s="340"/>
      <c r="CC190" s="340"/>
      <c r="CD190" s="340"/>
      <c r="CE190" s="340"/>
      <c r="CF190" s="346"/>
      <c r="CG190" s="340"/>
      <c r="CH190" s="346"/>
      <c r="CI190" s="346"/>
      <c r="CJ190" s="346"/>
      <c r="CK190" s="346"/>
      <c r="CL190" s="340"/>
      <c r="CM190" s="340"/>
      <c r="CN190" s="340"/>
      <c r="CO190" s="340"/>
      <c r="CP190" s="340"/>
      <c r="CQ190" s="340"/>
      <c r="CR190" s="340"/>
      <c r="CS190" s="260"/>
      <c r="CT190" s="260"/>
      <c r="CU190" s="260"/>
      <c r="CV190" s="260"/>
      <c r="CW190" s="260"/>
      <c r="CX190" s="260"/>
      <c r="CY190" s="260"/>
      <c r="CZ190" s="260"/>
      <c r="DA190" s="260"/>
      <c r="DB190" s="260"/>
      <c r="DC190" s="260"/>
      <c r="DD190" s="260"/>
      <c r="DE190" s="260"/>
      <c r="DF190" s="260"/>
      <c r="DG190" s="260"/>
      <c r="DH190" s="260"/>
      <c r="DI190" s="260"/>
      <c r="DJ190" s="347"/>
      <c r="DK190" s="347"/>
      <c r="DL190" s="347"/>
      <c r="DM190" s="347"/>
      <c r="DN190" s="353"/>
      <c r="DO190" s="348"/>
      <c r="DP190" s="348"/>
      <c r="DQ190" s="348"/>
      <c r="DR190" s="348"/>
      <c r="DS190" s="348"/>
      <c r="DT190" s="348"/>
      <c r="DU190" s="348"/>
      <c r="DV190" s="348"/>
      <c r="DW190" s="348"/>
      <c r="DX190" s="348"/>
      <c r="DY190" s="348"/>
      <c r="DZ190" s="348"/>
      <c r="EA190" s="348"/>
      <c r="EB190" s="349"/>
      <c r="EC190" s="349"/>
      <c r="ED190" s="349"/>
      <c r="EE190" s="349"/>
      <c r="EF190" s="349"/>
      <c r="EG190" s="349"/>
      <c r="EH190" s="349"/>
      <c r="EI190" s="349"/>
      <c r="EJ190" s="349"/>
      <c r="EK190" s="341"/>
      <c r="EO190" s="341"/>
      <c r="ES190" s="350"/>
      <c r="ET190" s="350"/>
      <c r="EU190" s="350"/>
      <c r="EV190" s="350"/>
      <c r="EW190" s="350"/>
      <c r="EX190" s="350"/>
      <c r="EY190" s="350"/>
      <c r="EZ190" s="345"/>
      <c r="GA190" s="344"/>
      <c r="GB190" s="344"/>
      <c r="GC190" s="344"/>
      <c r="GD190" s="344"/>
      <c r="GE190" s="344"/>
      <c r="GF190" s="344"/>
      <c r="GG190" s="344"/>
    </row>
    <row r="191" spans="1:189" s="339" customFormat="1">
      <c r="A191" s="95"/>
      <c r="B191" s="351"/>
      <c r="I191" s="352"/>
      <c r="J191" s="340"/>
      <c r="K191" s="340"/>
      <c r="L191" s="352"/>
      <c r="M191" s="352"/>
      <c r="N191" s="352"/>
      <c r="O191" s="352"/>
      <c r="P191" s="352"/>
      <c r="Q191" s="352"/>
      <c r="R191" s="352"/>
      <c r="S191" s="352"/>
      <c r="T191" s="352"/>
      <c r="U191" s="352"/>
      <c r="V191" s="340"/>
      <c r="W191" s="340"/>
      <c r="X191" s="340"/>
      <c r="Y191" s="340"/>
      <c r="Z191" s="340"/>
      <c r="AA191" s="340"/>
      <c r="AB191" s="340"/>
      <c r="AC191" s="340"/>
      <c r="AD191" s="340"/>
      <c r="AE191" s="340"/>
      <c r="AF191" s="340"/>
      <c r="AG191" s="340"/>
      <c r="AH191" s="340"/>
      <c r="AI191" s="340"/>
      <c r="AJ191" s="340"/>
      <c r="AK191" s="340"/>
      <c r="AL191" s="340"/>
      <c r="AM191" s="340"/>
      <c r="AN191" s="344"/>
      <c r="AO191" s="346"/>
      <c r="AP191" s="340"/>
      <c r="AQ191" s="340"/>
      <c r="AR191" s="340"/>
      <c r="AS191" s="340"/>
      <c r="AT191" s="340"/>
      <c r="AU191" s="340"/>
      <c r="AV191" s="340"/>
      <c r="AW191" s="340"/>
      <c r="AX191" s="340"/>
      <c r="AY191" s="340"/>
      <c r="AZ191" s="340"/>
      <c r="BA191" s="340"/>
      <c r="BB191" s="340"/>
      <c r="BC191" s="340"/>
      <c r="BD191" s="340"/>
      <c r="BE191" s="340"/>
      <c r="BF191" s="340"/>
      <c r="BG191" s="340"/>
      <c r="BH191" s="340"/>
      <c r="BI191" s="340"/>
      <c r="BJ191" s="340"/>
      <c r="BK191" s="340"/>
      <c r="BL191" s="340"/>
      <c r="BM191" s="340"/>
      <c r="BN191" s="340"/>
      <c r="BO191" s="340"/>
      <c r="BP191" s="340"/>
      <c r="BQ191" s="340"/>
      <c r="BR191" s="340"/>
      <c r="BS191" s="340"/>
      <c r="BT191" s="340"/>
      <c r="BU191" s="340"/>
      <c r="BV191" s="340"/>
      <c r="BW191" s="340"/>
      <c r="BX191" s="340"/>
      <c r="BY191" s="340"/>
      <c r="BZ191" s="340"/>
      <c r="CA191" s="340"/>
      <c r="CB191" s="340"/>
      <c r="CC191" s="340"/>
      <c r="CD191" s="340"/>
      <c r="CE191" s="340"/>
      <c r="CF191" s="346"/>
      <c r="CG191" s="340"/>
      <c r="CH191" s="346"/>
      <c r="CI191" s="346"/>
      <c r="CJ191" s="346"/>
      <c r="CK191" s="346"/>
      <c r="CL191" s="340"/>
      <c r="CM191" s="340"/>
      <c r="CN191" s="340"/>
      <c r="CO191" s="340"/>
      <c r="CP191" s="340"/>
      <c r="CQ191" s="340"/>
      <c r="CR191" s="340"/>
      <c r="CS191" s="260"/>
      <c r="CT191" s="260"/>
      <c r="CU191" s="260"/>
      <c r="CV191" s="260"/>
      <c r="CW191" s="260"/>
      <c r="CX191" s="260"/>
      <c r="CY191" s="260"/>
      <c r="CZ191" s="260"/>
      <c r="DA191" s="260"/>
      <c r="DB191" s="260"/>
      <c r="DC191" s="260"/>
      <c r="DD191" s="260"/>
      <c r="DE191" s="260"/>
      <c r="DF191" s="260"/>
      <c r="DG191" s="260"/>
      <c r="DH191" s="260"/>
      <c r="DI191" s="260"/>
      <c r="DJ191" s="347"/>
      <c r="DK191" s="347"/>
      <c r="DL191" s="347"/>
      <c r="DM191" s="347"/>
      <c r="DN191" s="353"/>
      <c r="DO191" s="348"/>
      <c r="DP191" s="348"/>
      <c r="DQ191" s="348"/>
      <c r="DR191" s="348"/>
      <c r="DS191" s="348"/>
      <c r="DT191" s="348"/>
      <c r="DU191" s="348"/>
      <c r="DV191" s="348"/>
      <c r="DW191" s="348"/>
      <c r="DX191" s="348"/>
      <c r="DY191" s="348"/>
      <c r="DZ191" s="348"/>
      <c r="EA191" s="348"/>
      <c r="EB191" s="349"/>
      <c r="EC191" s="349"/>
      <c r="ED191" s="349"/>
      <c r="EE191" s="349"/>
      <c r="EF191" s="349"/>
      <c r="EG191" s="349"/>
      <c r="EH191" s="349"/>
      <c r="EI191" s="349"/>
      <c r="EJ191" s="349"/>
      <c r="EK191" s="341"/>
      <c r="EO191" s="341"/>
      <c r="ES191" s="350"/>
      <c r="ET191" s="350"/>
      <c r="EU191" s="350"/>
      <c r="EV191" s="350"/>
      <c r="EW191" s="350"/>
      <c r="EX191" s="350"/>
      <c r="EY191" s="350"/>
      <c r="EZ191" s="345"/>
      <c r="GA191" s="344"/>
      <c r="GB191" s="344"/>
      <c r="GC191" s="344"/>
      <c r="GD191" s="344"/>
      <c r="GE191" s="344"/>
      <c r="GF191" s="344"/>
      <c r="GG191" s="344"/>
    </row>
    <row r="192" spans="1:189" s="339" customFormat="1">
      <c r="A192" s="95"/>
      <c r="B192" s="351"/>
      <c r="I192" s="352"/>
      <c r="J192" s="340"/>
      <c r="K192" s="340"/>
      <c r="L192" s="352"/>
      <c r="M192" s="352"/>
      <c r="N192" s="352"/>
      <c r="O192" s="352"/>
      <c r="P192" s="352"/>
      <c r="Q192" s="352"/>
      <c r="R192" s="352"/>
      <c r="S192" s="352"/>
      <c r="T192" s="352"/>
      <c r="U192" s="352"/>
      <c r="V192" s="340"/>
      <c r="W192" s="340"/>
      <c r="X192" s="340"/>
      <c r="Y192" s="340"/>
      <c r="Z192" s="340"/>
      <c r="AA192" s="340"/>
      <c r="AB192" s="340"/>
      <c r="AC192" s="340"/>
      <c r="AD192" s="340"/>
      <c r="AE192" s="340"/>
      <c r="AF192" s="340"/>
      <c r="AG192" s="340"/>
      <c r="AH192" s="340"/>
      <c r="AI192" s="340"/>
      <c r="AJ192" s="340"/>
      <c r="AK192" s="340"/>
      <c r="AL192" s="340"/>
      <c r="AM192" s="340"/>
      <c r="AN192" s="344"/>
      <c r="AO192" s="346"/>
      <c r="AP192" s="340"/>
      <c r="AQ192" s="340"/>
      <c r="AR192" s="340"/>
      <c r="AS192" s="340"/>
      <c r="AT192" s="340"/>
      <c r="AU192" s="340"/>
      <c r="AV192" s="340"/>
      <c r="AW192" s="340"/>
      <c r="AX192" s="340"/>
      <c r="AY192" s="340"/>
      <c r="AZ192" s="340"/>
      <c r="BA192" s="340"/>
      <c r="BB192" s="340"/>
      <c r="BC192" s="340"/>
      <c r="BD192" s="340"/>
      <c r="BE192" s="340"/>
      <c r="BF192" s="340"/>
      <c r="BG192" s="340"/>
      <c r="BH192" s="340"/>
      <c r="BI192" s="340"/>
      <c r="BJ192" s="340"/>
      <c r="BK192" s="340"/>
      <c r="BL192" s="340"/>
      <c r="BM192" s="340"/>
      <c r="BN192" s="340"/>
      <c r="BO192" s="340"/>
      <c r="BP192" s="340"/>
      <c r="BQ192" s="340"/>
      <c r="BR192" s="340"/>
      <c r="BS192" s="340"/>
      <c r="BT192" s="340"/>
      <c r="BU192" s="340"/>
      <c r="BV192" s="340"/>
      <c r="BW192" s="340"/>
      <c r="BX192" s="340"/>
      <c r="BY192" s="340"/>
      <c r="BZ192" s="340"/>
      <c r="CA192" s="340"/>
      <c r="CB192" s="340"/>
      <c r="CC192" s="340"/>
      <c r="CD192" s="340"/>
      <c r="CE192" s="340"/>
      <c r="CF192" s="346"/>
      <c r="CG192" s="340"/>
      <c r="CH192" s="346"/>
      <c r="CI192" s="346"/>
      <c r="CJ192" s="346"/>
      <c r="CK192" s="346"/>
      <c r="CL192" s="340"/>
      <c r="CM192" s="340"/>
      <c r="CN192" s="340"/>
      <c r="CO192" s="340"/>
      <c r="CP192" s="340"/>
      <c r="CQ192" s="340"/>
      <c r="CR192" s="340"/>
      <c r="CS192" s="260"/>
      <c r="CT192" s="260"/>
      <c r="CU192" s="260"/>
      <c r="CV192" s="260"/>
      <c r="CW192" s="260"/>
      <c r="CX192" s="260"/>
      <c r="CY192" s="260"/>
      <c r="CZ192" s="260"/>
      <c r="DA192" s="260"/>
      <c r="DB192" s="260"/>
      <c r="DC192" s="260"/>
      <c r="DD192" s="260"/>
      <c r="DE192" s="260"/>
      <c r="DF192" s="260"/>
      <c r="DG192" s="260"/>
      <c r="DH192" s="260"/>
      <c r="DI192" s="260"/>
      <c r="DJ192" s="347"/>
      <c r="DK192" s="347"/>
      <c r="DL192" s="347"/>
      <c r="DM192" s="347"/>
      <c r="DN192" s="353"/>
      <c r="DO192" s="348"/>
      <c r="DP192" s="348"/>
      <c r="DQ192" s="348"/>
      <c r="DR192" s="348"/>
      <c r="DS192" s="348"/>
      <c r="DT192" s="348"/>
      <c r="DU192" s="348"/>
      <c r="DV192" s="348"/>
      <c r="DW192" s="348"/>
      <c r="DX192" s="348"/>
      <c r="DY192" s="348"/>
      <c r="DZ192" s="348"/>
      <c r="EA192" s="348"/>
      <c r="EB192" s="349"/>
      <c r="EC192" s="349"/>
      <c r="ED192" s="349"/>
      <c r="EE192" s="349"/>
      <c r="EF192" s="349"/>
      <c r="EG192" s="349"/>
      <c r="EH192" s="349"/>
      <c r="EI192" s="349"/>
      <c r="EJ192" s="349"/>
      <c r="EK192" s="341"/>
      <c r="EO192" s="341"/>
      <c r="ES192" s="350"/>
      <c r="ET192" s="350"/>
      <c r="EU192" s="350"/>
      <c r="EV192" s="350"/>
      <c r="EW192" s="350"/>
      <c r="EX192" s="350"/>
      <c r="EY192" s="350"/>
      <c r="EZ192" s="345"/>
      <c r="GA192" s="344"/>
      <c r="GB192" s="344"/>
      <c r="GC192" s="344"/>
      <c r="GD192" s="344"/>
      <c r="GE192" s="344"/>
      <c r="GF192" s="344"/>
      <c r="GG192" s="344"/>
    </row>
    <row r="193" spans="1:189" s="339" customFormat="1">
      <c r="A193" s="95"/>
      <c r="B193" s="351"/>
      <c r="I193" s="352"/>
      <c r="J193" s="340"/>
      <c r="K193" s="340"/>
      <c r="L193" s="352"/>
      <c r="M193" s="352"/>
      <c r="N193" s="352"/>
      <c r="O193" s="352"/>
      <c r="P193" s="352"/>
      <c r="Q193" s="352"/>
      <c r="R193" s="352"/>
      <c r="S193" s="352"/>
      <c r="T193" s="352"/>
      <c r="U193" s="352"/>
      <c r="V193" s="340"/>
      <c r="W193" s="340"/>
      <c r="X193" s="340"/>
      <c r="Y193" s="340"/>
      <c r="Z193" s="340"/>
      <c r="AA193" s="340"/>
      <c r="AB193" s="340"/>
      <c r="AC193" s="340"/>
      <c r="AD193" s="340"/>
      <c r="AE193" s="340"/>
      <c r="AF193" s="340"/>
      <c r="AG193" s="340"/>
      <c r="AH193" s="340"/>
      <c r="AI193" s="340"/>
      <c r="AJ193" s="340"/>
      <c r="AK193" s="340"/>
      <c r="AL193" s="340"/>
      <c r="AM193" s="340"/>
      <c r="AN193" s="344"/>
      <c r="AO193" s="346"/>
      <c r="AP193" s="340"/>
      <c r="AQ193" s="340"/>
      <c r="AR193" s="340"/>
      <c r="AS193" s="340"/>
      <c r="AT193" s="340"/>
      <c r="AU193" s="340"/>
      <c r="AV193" s="340"/>
      <c r="AW193" s="340"/>
      <c r="AX193" s="340"/>
      <c r="AY193" s="340"/>
      <c r="AZ193" s="340"/>
      <c r="BA193" s="340"/>
      <c r="BB193" s="340"/>
      <c r="BC193" s="340"/>
      <c r="BD193" s="340"/>
      <c r="BE193" s="340"/>
      <c r="BF193" s="340"/>
      <c r="BG193" s="340"/>
      <c r="BH193" s="340"/>
      <c r="BI193" s="340"/>
      <c r="BJ193" s="340"/>
      <c r="BK193" s="340"/>
      <c r="BL193" s="340"/>
      <c r="BM193" s="340"/>
      <c r="BN193" s="340"/>
      <c r="BO193" s="340"/>
      <c r="BP193" s="340"/>
      <c r="BQ193" s="340"/>
      <c r="BR193" s="340"/>
      <c r="BS193" s="340"/>
      <c r="BT193" s="340"/>
      <c r="BU193" s="340"/>
      <c r="BV193" s="340"/>
      <c r="BW193" s="340"/>
      <c r="BX193" s="340"/>
      <c r="BY193" s="340"/>
      <c r="BZ193" s="340"/>
      <c r="CA193" s="340"/>
      <c r="CB193" s="340"/>
      <c r="CC193" s="340"/>
      <c r="CD193" s="340"/>
      <c r="CE193" s="340"/>
      <c r="CF193" s="346"/>
      <c r="CG193" s="340"/>
      <c r="CH193" s="346"/>
      <c r="CI193" s="346"/>
      <c r="CJ193" s="346"/>
      <c r="CK193" s="346"/>
      <c r="CL193" s="340"/>
      <c r="CM193" s="340"/>
      <c r="CN193" s="340"/>
      <c r="CO193" s="340"/>
      <c r="CP193" s="340"/>
      <c r="CQ193" s="340"/>
      <c r="CR193" s="340"/>
      <c r="CS193" s="260"/>
      <c r="CT193" s="260"/>
      <c r="CU193" s="260"/>
      <c r="CV193" s="260"/>
      <c r="CW193" s="260"/>
      <c r="CX193" s="260"/>
      <c r="CY193" s="260"/>
      <c r="CZ193" s="260"/>
      <c r="DA193" s="260"/>
      <c r="DB193" s="260"/>
      <c r="DC193" s="260"/>
      <c r="DD193" s="260"/>
      <c r="DE193" s="260"/>
      <c r="DF193" s="260"/>
      <c r="DG193" s="260"/>
      <c r="DH193" s="260"/>
      <c r="DI193" s="260"/>
      <c r="DJ193" s="347"/>
      <c r="DK193" s="347"/>
      <c r="DL193" s="347"/>
      <c r="DM193" s="347"/>
      <c r="DN193" s="353"/>
      <c r="DO193" s="348"/>
      <c r="DP193" s="348"/>
      <c r="DQ193" s="348"/>
      <c r="DR193" s="348"/>
      <c r="DS193" s="348"/>
      <c r="DT193" s="348"/>
      <c r="DU193" s="348"/>
      <c r="DV193" s="348"/>
      <c r="DW193" s="348"/>
      <c r="DX193" s="348"/>
      <c r="DY193" s="348"/>
      <c r="DZ193" s="348"/>
      <c r="EA193" s="348"/>
      <c r="EB193" s="349"/>
      <c r="EC193" s="349"/>
      <c r="ED193" s="349"/>
      <c r="EE193" s="349"/>
      <c r="EF193" s="349"/>
      <c r="EG193" s="349"/>
      <c r="EH193" s="349"/>
      <c r="EI193" s="349"/>
      <c r="EJ193" s="349"/>
      <c r="EK193" s="341"/>
      <c r="EO193" s="341"/>
      <c r="ES193" s="350"/>
      <c r="ET193" s="350"/>
      <c r="EU193" s="350"/>
      <c r="EV193" s="350"/>
      <c r="EW193" s="350"/>
      <c r="EX193" s="350"/>
      <c r="EY193" s="350"/>
      <c r="EZ193" s="345"/>
      <c r="GA193" s="344"/>
      <c r="GB193" s="344"/>
      <c r="GC193" s="344"/>
      <c r="GD193" s="344"/>
      <c r="GE193" s="344"/>
      <c r="GF193" s="344"/>
      <c r="GG193" s="344"/>
    </row>
    <row r="194" spans="1:189" s="339" customFormat="1">
      <c r="A194" s="95"/>
      <c r="B194" s="351"/>
      <c r="I194" s="352"/>
      <c r="J194" s="340"/>
      <c r="K194" s="340"/>
      <c r="L194" s="352"/>
      <c r="M194" s="352"/>
      <c r="N194" s="352"/>
      <c r="O194" s="352"/>
      <c r="P194" s="352"/>
      <c r="Q194" s="352"/>
      <c r="R194" s="352"/>
      <c r="S194" s="352"/>
      <c r="T194" s="352"/>
      <c r="U194" s="352"/>
      <c r="V194" s="340"/>
      <c r="W194" s="340"/>
      <c r="X194" s="340"/>
      <c r="Y194" s="340"/>
      <c r="Z194" s="340"/>
      <c r="AA194" s="340"/>
      <c r="AB194" s="340"/>
      <c r="AC194" s="340"/>
      <c r="AD194" s="340"/>
      <c r="AE194" s="340"/>
      <c r="AF194" s="340"/>
      <c r="AG194" s="340"/>
      <c r="AH194" s="340"/>
      <c r="AI194" s="340"/>
      <c r="AJ194" s="340"/>
      <c r="AK194" s="340"/>
      <c r="AL194" s="340"/>
      <c r="AM194" s="340"/>
      <c r="AN194" s="344"/>
      <c r="AO194" s="346"/>
      <c r="AP194" s="340"/>
      <c r="AQ194" s="340"/>
      <c r="AR194" s="340"/>
      <c r="AS194" s="340"/>
      <c r="AT194" s="340"/>
      <c r="AU194" s="340"/>
      <c r="AV194" s="340"/>
      <c r="AW194" s="340"/>
      <c r="AX194" s="340"/>
      <c r="AY194" s="340"/>
      <c r="AZ194" s="340"/>
      <c r="BA194" s="340"/>
      <c r="BB194" s="340"/>
      <c r="BC194" s="340"/>
      <c r="BD194" s="340"/>
      <c r="BE194" s="340"/>
      <c r="BF194" s="340"/>
      <c r="BG194" s="340"/>
      <c r="BH194" s="340"/>
      <c r="BI194" s="340"/>
      <c r="BJ194" s="340"/>
      <c r="BK194" s="340"/>
      <c r="BL194" s="340"/>
      <c r="BM194" s="340"/>
      <c r="BN194" s="340"/>
      <c r="BO194" s="340"/>
      <c r="BP194" s="340"/>
      <c r="BQ194" s="340"/>
      <c r="BR194" s="340"/>
      <c r="BS194" s="340"/>
      <c r="BT194" s="340"/>
      <c r="BU194" s="340"/>
      <c r="BV194" s="340"/>
      <c r="BW194" s="340"/>
      <c r="BX194" s="340"/>
      <c r="BY194" s="340"/>
      <c r="BZ194" s="340"/>
      <c r="CA194" s="340"/>
      <c r="CB194" s="340"/>
      <c r="CC194" s="340"/>
      <c r="CD194" s="340"/>
      <c r="CE194" s="340"/>
      <c r="CF194" s="346"/>
      <c r="CG194" s="340"/>
      <c r="CH194" s="346"/>
      <c r="CI194" s="346"/>
      <c r="CJ194" s="346"/>
      <c r="CK194" s="346"/>
      <c r="CL194" s="340"/>
      <c r="CM194" s="340"/>
      <c r="CN194" s="340"/>
      <c r="CO194" s="340"/>
      <c r="CP194" s="340"/>
      <c r="CQ194" s="340"/>
      <c r="CR194" s="340"/>
      <c r="CS194" s="260"/>
      <c r="CT194" s="260"/>
      <c r="CU194" s="260"/>
      <c r="CV194" s="260"/>
      <c r="CW194" s="260"/>
      <c r="CX194" s="260"/>
      <c r="CY194" s="260"/>
      <c r="CZ194" s="260"/>
      <c r="DA194" s="260"/>
      <c r="DB194" s="260"/>
      <c r="DC194" s="260"/>
      <c r="DD194" s="260"/>
      <c r="DE194" s="260"/>
      <c r="DF194" s="260"/>
      <c r="DG194" s="260"/>
      <c r="DH194" s="260"/>
      <c r="DI194" s="260"/>
      <c r="DJ194" s="347"/>
      <c r="DK194" s="347"/>
      <c r="DL194" s="347"/>
      <c r="DM194" s="347"/>
      <c r="DN194" s="353"/>
      <c r="DO194" s="348"/>
      <c r="DP194" s="348"/>
      <c r="DQ194" s="348"/>
      <c r="DR194" s="348"/>
      <c r="DS194" s="348"/>
      <c r="DT194" s="348"/>
      <c r="DU194" s="348"/>
      <c r="DV194" s="348"/>
      <c r="DW194" s="348"/>
      <c r="DX194" s="348"/>
      <c r="DY194" s="348"/>
      <c r="DZ194" s="348"/>
      <c r="EA194" s="348"/>
      <c r="EB194" s="349"/>
      <c r="EC194" s="349"/>
      <c r="ED194" s="349"/>
      <c r="EE194" s="349"/>
      <c r="EF194" s="349"/>
      <c r="EG194" s="349"/>
      <c r="EH194" s="349"/>
      <c r="EI194" s="349"/>
      <c r="EJ194" s="349"/>
      <c r="EK194" s="341"/>
      <c r="EO194" s="341"/>
      <c r="ES194" s="350"/>
      <c r="ET194" s="350"/>
      <c r="EU194" s="350"/>
      <c r="EV194" s="350"/>
      <c r="EW194" s="350"/>
      <c r="EX194" s="350"/>
      <c r="EY194" s="350"/>
      <c r="EZ194" s="345"/>
      <c r="GA194" s="344"/>
      <c r="GB194" s="344"/>
      <c r="GC194" s="344"/>
      <c r="GD194" s="344"/>
      <c r="GE194" s="344"/>
      <c r="GF194" s="344"/>
      <c r="GG194" s="344"/>
    </row>
    <row r="195" spans="1:189">
      <c r="A195" s="95"/>
      <c r="B195" s="9"/>
      <c r="I195" s="54"/>
      <c r="J195" s="6"/>
      <c r="K195" s="6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90"/>
      <c r="AO195" s="91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91"/>
      <c r="CG195" s="6"/>
      <c r="CH195" s="91"/>
      <c r="CI195" s="91"/>
      <c r="CJ195" s="91"/>
      <c r="CK195" s="91"/>
      <c r="CL195" s="6"/>
      <c r="CM195" s="6"/>
      <c r="CN195" s="6"/>
      <c r="CO195" s="6"/>
      <c r="CP195" s="6"/>
      <c r="CQ195" s="6"/>
      <c r="CR195" s="6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8"/>
      <c r="DK195" s="8"/>
      <c r="DL195" s="8"/>
      <c r="DM195" s="8"/>
      <c r="DN195" s="55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83"/>
      <c r="EC195" s="83"/>
      <c r="ED195" s="83"/>
      <c r="EE195" s="83"/>
      <c r="EF195" s="83"/>
      <c r="EG195" s="83"/>
      <c r="EH195" s="83"/>
      <c r="EI195" s="83"/>
      <c r="EJ195" s="83"/>
      <c r="EK195" s="2"/>
      <c r="EO195" s="2"/>
      <c r="ES195" s="58"/>
      <c r="ET195" s="58"/>
      <c r="EU195" s="58"/>
      <c r="EV195" s="58"/>
      <c r="EW195" s="58"/>
      <c r="EX195" s="58"/>
      <c r="EY195" s="58"/>
      <c r="EZ195" s="85"/>
    </row>
    <row r="196" spans="1:189">
      <c r="A196" s="95"/>
      <c r="B196" s="9"/>
      <c r="I196" s="54"/>
      <c r="J196" s="6"/>
      <c r="K196" s="6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90"/>
      <c r="AO196" s="91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91"/>
      <c r="CG196" s="6"/>
      <c r="CH196" s="91"/>
      <c r="CI196" s="91"/>
      <c r="CJ196" s="91"/>
      <c r="CK196" s="91"/>
      <c r="CL196" s="6"/>
      <c r="CM196" s="6"/>
      <c r="CN196" s="6"/>
      <c r="CO196" s="6"/>
      <c r="CP196" s="6"/>
      <c r="CQ196" s="6"/>
      <c r="CR196" s="6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8"/>
      <c r="DK196" s="8"/>
      <c r="DL196" s="8"/>
      <c r="DM196" s="8"/>
      <c r="DN196" s="55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83"/>
      <c r="EC196" s="83"/>
      <c r="ED196" s="83"/>
      <c r="EE196" s="83"/>
      <c r="EF196" s="83"/>
      <c r="EG196" s="83"/>
      <c r="EH196" s="83"/>
      <c r="EI196" s="83"/>
      <c r="EJ196" s="83"/>
      <c r="EK196" s="2"/>
      <c r="EO196" s="2"/>
      <c r="ES196" s="58"/>
      <c r="ET196" s="58"/>
      <c r="EU196" s="58"/>
      <c r="EV196" s="58"/>
      <c r="EW196" s="58"/>
      <c r="EX196" s="58"/>
      <c r="EY196" s="58"/>
      <c r="EZ196" s="85"/>
    </row>
    <row r="197" spans="1:189">
      <c r="A197" s="95"/>
      <c r="B197" s="9"/>
      <c r="I197" s="54"/>
      <c r="J197" s="6"/>
      <c r="K197" s="6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90"/>
      <c r="AO197" s="91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91"/>
      <c r="CG197" s="6"/>
      <c r="CH197" s="91"/>
      <c r="CI197" s="91"/>
      <c r="CJ197" s="91"/>
      <c r="CK197" s="91"/>
      <c r="CL197" s="6"/>
      <c r="CM197" s="6"/>
      <c r="CN197" s="6"/>
      <c r="CO197" s="6"/>
      <c r="CP197" s="6"/>
      <c r="CQ197" s="6"/>
      <c r="CR197" s="6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8"/>
      <c r="DK197" s="8"/>
      <c r="DL197" s="8"/>
      <c r="DM197" s="8"/>
      <c r="DN197" s="55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83"/>
      <c r="EC197" s="83"/>
      <c r="ED197" s="83"/>
      <c r="EE197" s="83"/>
      <c r="EF197" s="83"/>
      <c r="EG197" s="83"/>
      <c r="EH197" s="83"/>
      <c r="EI197" s="83"/>
      <c r="EJ197" s="83"/>
      <c r="EK197" s="2"/>
      <c r="EO197" s="2"/>
      <c r="ES197" s="58"/>
      <c r="ET197" s="58"/>
      <c r="EU197" s="58"/>
      <c r="EV197" s="58"/>
      <c r="EW197" s="58"/>
      <c r="EX197" s="58"/>
      <c r="EY197" s="58"/>
      <c r="EZ197" s="85"/>
    </row>
    <row r="198" spans="1:189">
      <c r="A198" s="95"/>
      <c r="B198" s="9"/>
      <c r="I198" s="54"/>
      <c r="J198" s="6"/>
      <c r="K198" s="6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90"/>
      <c r="AO198" s="91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91"/>
      <c r="CG198" s="6"/>
      <c r="CH198" s="91"/>
      <c r="CI198" s="91"/>
      <c r="CJ198" s="91"/>
      <c r="CK198" s="91"/>
      <c r="CL198" s="6"/>
      <c r="CM198" s="6"/>
      <c r="CN198" s="6"/>
      <c r="CO198" s="6"/>
      <c r="CP198" s="6"/>
      <c r="CQ198" s="6"/>
      <c r="CR198" s="6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8"/>
      <c r="DK198" s="8"/>
      <c r="DL198" s="8"/>
      <c r="DM198" s="8"/>
      <c r="DN198" s="55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83"/>
      <c r="EC198" s="83"/>
      <c r="ED198" s="83"/>
      <c r="EE198" s="83"/>
      <c r="EF198" s="83"/>
      <c r="EG198" s="83"/>
      <c r="EH198" s="83"/>
      <c r="EI198" s="83"/>
      <c r="EJ198" s="83"/>
      <c r="EK198" s="2"/>
      <c r="EO198" s="2"/>
      <c r="ES198" s="58"/>
      <c r="ET198" s="58"/>
      <c r="EU198" s="58"/>
      <c r="EV198" s="58"/>
      <c r="EW198" s="58"/>
      <c r="EX198" s="58"/>
      <c r="EY198" s="58"/>
      <c r="EZ198" s="85"/>
    </row>
    <row r="199" spans="1:189">
      <c r="A199" s="95"/>
      <c r="B199" s="9"/>
      <c r="I199" s="54"/>
      <c r="J199" s="6"/>
      <c r="K199" s="6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90"/>
      <c r="AO199" s="91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91"/>
      <c r="CG199" s="6"/>
      <c r="CH199" s="91"/>
      <c r="CI199" s="91"/>
      <c r="CJ199" s="91"/>
      <c r="CK199" s="91"/>
      <c r="CL199" s="6"/>
      <c r="CM199" s="6"/>
      <c r="CN199" s="6"/>
      <c r="CO199" s="6"/>
      <c r="CP199" s="6"/>
      <c r="CQ199" s="6"/>
      <c r="CR199" s="6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8"/>
      <c r="DK199" s="8"/>
      <c r="DL199" s="8"/>
      <c r="DM199" s="8"/>
      <c r="DN199" s="55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83"/>
      <c r="EC199" s="83"/>
      <c r="ED199" s="83"/>
      <c r="EE199" s="83"/>
      <c r="EF199" s="83"/>
      <c r="EG199" s="83"/>
      <c r="EH199" s="83"/>
      <c r="EI199" s="83"/>
      <c r="EJ199" s="83"/>
      <c r="EK199" s="2"/>
      <c r="EO199" s="2"/>
      <c r="ES199" s="58"/>
      <c r="ET199" s="58"/>
      <c r="EU199" s="58"/>
      <c r="EV199" s="58"/>
      <c r="EW199" s="58"/>
      <c r="EX199" s="58"/>
      <c r="EY199" s="58"/>
      <c r="EZ199" s="85"/>
    </row>
    <row r="200" spans="1:189">
      <c r="A200" s="95"/>
      <c r="B200" s="9"/>
      <c r="I200" s="54"/>
      <c r="J200" s="6"/>
      <c r="K200" s="6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90"/>
      <c r="AO200" s="91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91"/>
      <c r="CG200" s="6"/>
      <c r="CH200" s="91"/>
      <c r="CI200" s="91"/>
      <c r="CJ200" s="91"/>
      <c r="CK200" s="91"/>
      <c r="CL200" s="6"/>
      <c r="CM200" s="6"/>
      <c r="CN200" s="6"/>
      <c r="CO200" s="6"/>
      <c r="CP200" s="6"/>
      <c r="CQ200" s="6"/>
      <c r="CR200" s="6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8"/>
      <c r="DK200" s="8"/>
      <c r="DL200" s="8"/>
      <c r="DM200" s="8"/>
      <c r="DN200" s="55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83"/>
      <c r="EC200" s="83"/>
      <c r="ED200" s="83"/>
      <c r="EE200" s="83"/>
      <c r="EF200" s="83"/>
      <c r="EG200" s="83"/>
      <c r="EH200" s="83"/>
      <c r="EI200" s="83"/>
      <c r="EJ200" s="83"/>
      <c r="EK200" s="2"/>
      <c r="EO200" s="2"/>
      <c r="ES200" s="58"/>
      <c r="ET200" s="58"/>
      <c r="EU200" s="58"/>
      <c r="EV200" s="58"/>
      <c r="EW200" s="58"/>
      <c r="EX200" s="58"/>
      <c r="EY200" s="58"/>
      <c r="EZ200" s="85"/>
    </row>
    <row r="201" spans="1:189">
      <c r="A201" s="95"/>
      <c r="B201" s="9"/>
      <c r="I201" s="54"/>
      <c r="J201" s="6"/>
      <c r="K201" s="6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90"/>
      <c r="AO201" s="91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91"/>
      <c r="CG201" s="6"/>
      <c r="CH201" s="91"/>
      <c r="CI201" s="91"/>
      <c r="CJ201" s="91"/>
      <c r="CK201" s="91"/>
      <c r="CL201" s="6"/>
      <c r="CM201" s="6"/>
      <c r="CN201" s="6"/>
      <c r="CO201" s="6"/>
      <c r="CP201" s="6"/>
      <c r="CQ201" s="6"/>
      <c r="CR201" s="6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8"/>
      <c r="DK201" s="8"/>
      <c r="DL201" s="8"/>
      <c r="DM201" s="8"/>
      <c r="DN201" s="55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83"/>
      <c r="EC201" s="83"/>
      <c r="ED201" s="83"/>
      <c r="EE201" s="83"/>
      <c r="EF201" s="83"/>
      <c r="EG201" s="83"/>
      <c r="EH201" s="83"/>
      <c r="EI201" s="83"/>
      <c r="EJ201" s="83"/>
      <c r="EK201" s="2"/>
      <c r="EO201" s="2"/>
      <c r="ES201" s="58"/>
      <c r="ET201" s="58"/>
      <c r="EU201" s="58"/>
      <c r="EV201" s="58"/>
      <c r="EW201" s="58"/>
      <c r="EX201" s="58"/>
      <c r="EY201" s="58"/>
      <c r="EZ201" s="85"/>
    </row>
    <row r="202" spans="1:189">
      <c r="A202" s="95"/>
      <c r="B202" s="9"/>
      <c r="I202" s="54"/>
      <c r="J202" s="6"/>
      <c r="K202" s="6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90"/>
      <c r="AO202" s="91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91"/>
      <c r="CG202" s="6"/>
      <c r="CH202" s="91"/>
      <c r="CI202" s="91"/>
      <c r="CJ202" s="91"/>
      <c r="CK202" s="91"/>
      <c r="CL202" s="6"/>
      <c r="CM202" s="6"/>
      <c r="CN202" s="6"/>
      <c r="CO202" s="6"/>
      <c r="CP202" s="6"/>
      <c r="CQ202" s="6"/>
      <c r="CR202" s="6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8"/>
      <c r="DK202" s="8"/>
      <c r="DL202" s="8"/>
      <c r="DM202" s="8"/>
      <c r="DN202" s="55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83"/>
      <c r="EC202" s="83"/>
      <c r="ED202" s="83"/>
      <c r="EE202" s="83"/>
      <c r="EF202" s="83"/>
      <c r="EG202" s="83"/>
      <c r="EH202" s="83"/>
      <c r="EI202" s="83"/>
      <c r="EJ202" s="83"/>
      <c r="EK202" s="2"/>
      <c r="EO202" s="2"/>
      <c r="ES202" s="58"/>
      <c r="ET202" s="58"/>
      <c r="EU202" s="58"/>
      <c r="EV202" s="58"/>
      <c r="EW202" s="58"/>
      <c r="EX202" s="58"/>
      <c r="EY202" s="58"/>
      <c r="EZ202" s="85"/>
    </row>
    <row r="203" spans="1:189">
      <c r="A203" s="95"/>
      <c r="B203" s="9"/>
      <c r="I203" s="54"/>
      <c r="J203" s="6"/>
      <c r="K203" s="6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90"/>
      <c r="AO203" s="91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91"/>
      <c r="CG203" s="6"/>
      <c r="CH203" s="91"/>
      <c r="CI203" s="91"/>
      <c r="CJ203" s="91"/>
      <c r="CK203" s="91"/>
      <c r="CL203" s="6"/>
      <c r="CM203" s="6"/>
      <c r="CN203" s="6"/>
      <c r="CO203" s="6"/>
      <c r="CP203" s="6"/>
      <c r="CQ203" s="6"/>
      <c r="CR203" s="6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8"/>
      <c r="DK203" s="8"/>
      <c r="DL203" s="8"/>
      <c r="DM203" s="8"/>
      <c r="DN203" s="55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83"/>
      <c r="EC203" s="83"/>
      <c r="ED203" s="83"/>
      <c r="EE203" s="83"/>
      <c r="EF203" s="83"/>
      <c r="EG203" s="83"/>
      <c r="EH203" s="83"/>
      <c r="EI203" s="83"/>
      <c r="EJ203" s="83"/>
      <c r="EK203" s="2"/>
      <c r="EO203" s="2"/>
      <c r="ES203" s="58"/>
      <c r="ET203" s="58"/>
      <c r="EU203" s="58"/>
      <c r="EV203" s="58"/>
      <c r="EW203" s="58"/>
      <c r="EX203" s="58"/>
      <c r="EY203" s="58"/>
      <c r="EZ203" s="85"/>
    </row>
    <row r="204" spans="1:189">
      <c r="A204" s="95"/>
      <c r="B204" s="9"/>
      <c r="I204" s="54"/>
      <c r="J204" s="6"/>
      <c r="K204" s="6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90"/>
      <c r="AO204" s="91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91"/>
      <c r="CG204" s="6"/>
      <c r="CH204" s="91"/>
      <c r="CI204" s="91"/>
      <c r="CJ204" s="91"/>
      <c r="CK204" s="91"/>
      <c r="CL204" s="6"/>
      <c r="CM204" s="6"/>
      <c r="CN204" s="6"/>
      <c r="CO204" s="6"/>
      <c r="CP204" s="6"/>
      <c r="CQ204" s="6"/>
      <c r="CR204" s="6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8"/>
      <c r="DK204" s="8"/>
      <c r="DL204" s="8"/>
      <c r="DM204" s="8"/>
      <c r="DN204" s="55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83"/>
      <c r="EC204" s="83"/>
      <c r="ED204" s="83"/>
      <c r="EE204" s="83"/>
      <c r="EF204" s="83"/>
      <c r="EG204" s="83"/>
      <c r="EH204" s="83"/>
      <c r="EI204" s="83"/>
      <c r="EJ204" s="83"/>
      <c r="EK204" s="2"/>
      <c r="EO204" s="2"/>
      <c r="ES204" s="58"/>
      <c r="ET204" s="58"/>
      <c r="EU204" s="58"/>
      <c r="EV204" s="58"/>
      <c r="EW204" s="58"/>
      <c r="EX204" s="58"/>
      <c r="EY204" s="58"/>
      <c r="EZ204" s="85"/>
    </row>
    <row r="205" spans="1:189">
      <c r="A205" s="95"/>
      <c r="B205" s="9"/>
      <c r="I205" s="54"/>
      <c r="J205" s="6"/>
      <c r="K205" s="6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90"/>
      <c r="AO205" s="91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91"/>
      <c r="CG205" s="6"/>
      <c r="CH205" s="91"/>
      <c r="CI205" s="91"/>
      <c r="CJ205" s="91"/>
      <c r="CK205" s="91"/>
      <c r="CL205" s="6"/>
      <c r="CM205" s="6"/>
      <c r="CN205" s="6"/>
      <c r="CO205" s="6"/>
      <c r="CP205" s="6"/>
      <c r="CQ205" s="6"/>
      <c r="CR205" s="6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8"/>
      <c r="DK205" s="8"/>
      <c r="DL205" s="8"/>
      <c r="DM205" s="8"/>
      <c r="DN205" s="55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83"/>
      <c r="EC205" s="83"/>
      <c r="ED205" s="83"/>
      <c r="EE205" s="83"/>
      <c r="EF205" s="83"/>
      <c r="EG205" s="83"/>
      <c r="EH205" s="83"/>
      <c r="EI205" s="83"/>
      <c r="EJ205" s="83"/>
      <c r="EK205" s="2"/>
      <c r="EO205" s="2"/>
      <c r="ES205" s="58"/>
      <c r="ET205" s="58"/>
      <c r="EU205" s="58"/>
      <c r="EV205" s="58"/>
      <c r="EW205" s="58"/>
      <c r="EX205" s="58"/>
      <c r="EY205" s="58"/>
      <c r="EZ205" s="85"/>
    </row>
    <row r="206" spans="1:189">
      <c r="A206" s="95"/>
      <c r="B206" s="9"/>
      <c r="I206" s="54"/>
      <c r="J206" s="6"/>
      <c r="K206" s="6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90"/>
      <c r="AO206" s="91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91"/>
      <c r="CG206" s="6"/>
      <c r="CH206" s="91"/>
      <c r="CI206" s="91"/>
      <c r="CJ206" s="91"/>
      <c r="CK206" s="91"/>
      <c r="CL206" s="6"/>
      <c r="CM206" s="6"/>
      <c r="CN206" s="6"/>
      <c r="CO206" s="6"/>
      <c r="CP206" s="6"/>
      <c r="CQ206" s="6"/>
      <c r="CR206" s="6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8"/>
      <c r="DK206" s="8"/>
      <c r="DL206" s="8"/>
      <c r="DM206" s="8"/>
      <c r="DN206" s="55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83"/>
      <c r="EC206" s="83"/>
      <c r="ED206" s="83"/>
      <c r="EE206" s="83"/>
      <c r="EF206" s="83"/>
      <c r="EG206" s="83"/>
      <c r="EH206" s="83"/>
      <c r="EI206" s="83"/>
      <c r="EJ206" s="83"/>
      <c r="EK206" s="2"/>
      <c r="EO206" s="2"/>
      <c r="ES206" s="58"/>
      <c r="ET206" s="58"/>
      <c r="EU206" s="58"/>
      <c r="EV206" s="58"/>
      <c r="EW206" s="58"/>
      <c r="EX206" s="58"/>
      <c r="EY206" s="58"/>
      <c r="EZ206" s="85"/>
    </row>
    <row r="207" spans="1:189">
      <c r="A207" s="95"/>
      <c r="B207" s="9"/>
      <c r="I207" s="54"/>
      <c r="J207" s="6"/>
      <c r="K207" s="6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90"/>
      <c r="AO207" s="91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91"/>
      <c r="CG207" s="6"/>
      <c r="CH207" s="91"/>
      <c r="CI207" s="91"/>
      <c r="CJ207" s="91"/>
      <c r="CK207" s="91"/>
      <c r="CL207" s="6"/>
      <c r="CM207" s="6"/>
      <c r="CN207" s="6"/>
      <c r="CO207" s="6"/>
      <c r="CP207" s="6"/>
      <c r="CQ207" s="6"/>
      <c r="CR207" s="6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8"/>
      <c r="DK207" s="8"/>
      <c r="DL207" s="8"/>
      <c r="DM207" s="8"/>
      <c r="DN207" s="55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83"/>
      <c r="EC207" s="83"/>
      <c r="ED207" s="83"/>
      <c r="EE207" s="83"/>
      <c r="EF207" s="83"/>
      <c r="EG207" s="83"/>
      <c r="EH207" s="83"/>
      <c r="EI207" s="83"/>
      <c r="EJ207" s="83"/>
      <c r="EK207" s="2"/>
      <c r="EO207" s="2"/>
      <c r="ES207" s="58"/>
      <c r="ET207" s="58"/>
      <c r="EU207" s="58"/>
      <c r="EV207" s="58"/>
      <c r="EW207" s="58"/>
      <c r="EX207" s="58"/>
      <c r="EY207" s="58"/>
      <c r="EZ207" s="85"/>
    </row>
    <row r="208" spans="1:189">
      <c r="A208" s="95"/>
      <c r="B208" s="9"/>
      <c r="I208" s="54"/>
      <c r="J208" s="6"/>
      <c r="K208" s="6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90"/>
      <c r="AO208" s="91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91"/>
      <c r="CG208" s="6"/>
      <c r="CH208" s="91"/>
      <c r="CI208" s="91"/>
      <c r="CJ208" s="91"/>
      <c r="CK208" s="91"/>
      <c r="CL208" s="6"/>
      <c r="CM208" s="6"/>
      <c r="CN208" s="6"/>
      <c r="CO208" s="6"/>
      <c r="CP208" s="6"/>
      <c r="CQ208" s="6"/>
      <c r="CR208" s="6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8"/>
      <c r="DK208" s="8"/>
      <c r="DL208" s="8"/>
      <c r="DM208" s="8"/>
      <c r="DN208" s="55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83"/>
      <c r="EC208" s="83"/>
      <c r="ED208" s="83"/>
      <c r="EE208" s="83"/>
      <c r="EF208" s="83"/>
      <c r="EG208" s="83"/>
      <c r="EH208" s="83"/>
      <c r="EI208" s="83"/>
      <c r="EJ208" s="83"/>
      <c r="EK208" s="2"/>
      <c r="EO208" s="2"/>
      <c r="ES208" s="58"/>
      <c r="ET208" s="58"/>
      <c r="EU208" s="58"/>
      <c r="EV208" s="58"/>
      <c r="EW208" s="58"/>
      <c r="EX208" s="58"/>
      <c r="EY208" s="58"/>
      <c r="EZ208" s="85"/>
    </row>
    <row r="209" spans="1:156">
      <c r="A209" s="95"/>
      <c r="B209" s="9"/>
      <c r="I209" s="54"/>
      <c r="J209" s="6"/>
      <c r="K209" s="6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90"/>
      <c r="AO209" s="91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91"/>
      <c r="CG209" s="6"/>
      <c r="CH209" s="91"/>
      <c r="CI209" s="91"/>
      <c r="CJ209" s="91"/>
      <c r="CK209" s="91"/>
      <c r="CL209" s="6"/>
      <c r="CM209" s="6"/>
      <c r="CN209" s="6"/>
      <c r="CO209" s="6"/>
      <c r="CP209" s="6"/>
      <c r="CQ209" s="6"/>
      <c r="CR209" s="6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8"/>
      <c r="DK209" s="8"/>
      <c r="DL209" s="8"/>
      <c r="DM209" s="8"/>
      <c r="DN209" s="55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83"/>
      <c r="EC209" s="83"/>
      <c r="ED209" s="83"/>
      <c r="EE209" s="83"/>
      <c r="EF209" s="83"/>
      <c r="EG209" s="83"/>
      <c r="EH209" s="83"/>
      <c r="EI209" s="83"/>
      <c r="EJ209" s="83"/>
      <c r="EK209" s="2"/>
      <c r="EO209" s="2"/>
      <c r="ES209" s="58"/>
      <c r="ET209" s="58"/>
      <c r="EU209" s="58"/>
      <c r="EV209" s="58"/>
      <c r="EW209" s="58"/>
      <c r="EX209" s="58"/>
      <c r="EY209" s="58"/>
      <c r="EZ209" s="85"/>
    </row>
    <row r="210" spans="1:156">
      <c r="A210" s="95"/>
      <c r="B210" s="9"/>
      <c r="I210" s="54"/>
      <c r="J210" s="6"/>
      <c r="K210" s="6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90"/>
      <c r="AO210" s="91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91"/>
      <c r="CG210" s="6"/>
      <c r="CH210" s="91"/>
      <c r="CI210" s="91"/>
      <c r="CJ210" s="91"/>
      <c r="CK210" s="91"/>
      <c r="CL210" s="6"/>
      <c r="CM210" s="6"/>
      <c r="CN210" s="6"/>
      <c r="CO210" s="6"/>
      <c r="CP210" s="6"/>
      <c r="CQ210" s="6"/>
      <c r="CR210" s="6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8"/>
      <c r="DK210" s="8"/>
      <c r="DL210" s="8"/>
      <c r="DM210" s="8"/>
      <c r="DN210" s="55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83"/>
      <c r="EC210" s="83"/>
      <c r="ED210" s="83"/>
      <c r="EE210" s="83"/>
      <c r="EF210" s="83"/>
      <c r="EG210" s="83"/>
      <c r="EH210" s="83"/>
      <c r="EI210" s="83"/>
      <c r="EJ210" s="83"/>
      <c r="EK210" s="2"/>
      <c r="EO210" s="2"/>
      <c r="ES210" s="58"/>
      <c r="ET210" s="58"/>
      <c r="EU210" s="58"/>
      <c r="EV210" s="58"/>
      <c r="EW210" s="58"/>
      <c r="EX210" s="58"/>
      <c r="EY210" s="58"/>
      <c r="EZ210" s="85"/>
    </row>
    <row r="211" spans="1:156">
      <c r="A211" s="95"/>
      <c r="B211" s="9"/>
      <c r="I211" s="54"/>
      <c r="J211" s="6"/>
      <c r="K211" s="6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90"/>
      <c r="AO211" s="91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91"/>
      <c r="CG211" s="6"/>
      <c r="CH211" s="91"/>
      <c r="CI211" s="91"/>
      <c r="CJ211" s="91"/>
      <c r="CK211" s="91"/>
      <c r="CL211" s="6"/>
      <c r="CM211" s="6"/>
      <c r="CN211" s="6"/>
      <c r="CO211" s="6"/>
      <c r="CP211" s="6"/>
      <c r="CQ211" s="6"/>
      <c r="CR211" s="6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8"/>
      <c r="DK211" s="8"/>
      <c r="DL211" s="8"/>
      <c r="DM211" s="8"/>
      <c r="DN211" s="55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83"/>
      <c r="EC211" s="83"/>
      <c r="ED211" s="83"/>
      <c r="EE211" s="83"/>
      <c r="EF211" s="83"/>
      <c r="EG211" s="83"/>
      <c r="EH211" s="83"/>
      <c r="EI211" s="83"/>
      <c r="EJ211" s="83"/>
      <c r="EK211" s="2"/>
      <c r="EO211" s="2"/>
      <c r="ES211" s="58"/>
      <c r="ET211" s="58"/>
      <c r="EU211" s="58"/>
      <c r="EV211" s="58"/>
      <c r="EW211" s="58"/>
      <c r="EX211" s="58"/>
      <c r="EY211" s="58"/>
      <c r="EZ211" s="85"/>
    </row>
    <row r="212" spans="1:156">
      <c r="A212" s="95"/>
      <c r="B212" s="9"/>
      <c r="I212" s="54"/>
      <c r="J212" s="6"/>
      <c r="K212" s="6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90"/>
      <c r="AO212" s="91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91"/>
      <c r="CG212" s="6"/>
      <c r="CH212" s="91"/>
      <c r="CI212" s="91"/>
      <c r="CJ212" s="91"/>
      <c r="CK212" s="91"/>
      <c r="CL212" s="6"/>
      <c r="CM212" s="6"/>
      <c r="CN212" s="6"/>
      <c r="CO212" s="6"/>
      <c r="CP212" s="6"/>
      <c r="CQ212" s="6"/>
      <c r="CR212" s="6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8"/>
      <c r="DK212" s="8"/>
      <c r="DL212" s="8"/>
      <c r="DM212" s="8"/>
      <c r="DN212" s="55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83"/>
      <c r="EC212" s="83"/>
      <c r="ED212" s="83"/>
      <c r="EE212" s="83"/>
      <c r="EF212" s="83"/>
      <c r="EG212" s="83"/>
      <c r="EH212" s="83"/>
      <c r="EI212" s="83"/>
      <c r="EJ212" s="83"/>
      <c r="EK212" s="2"/>
      <c r="EO212" s="2"/>
      <c r="ES212" s="58"/>
      <c r="ET212" s="58"/>
      <c r="EU212" s="58"/>
      <c r="EV212" s="58"/>
      <c r="EW212" s="58"/>
      <c r="EX212" s="58"/>
      <c r="EY212" s="58"/>
      <c r="EZ212" s="85"/>
    </row>
    <row r="213" spans="1:156">
      <c r="A213" s="95"/>
      <c r="B213" s="9"/>
      <c r="I213" s="54"/>
      <c r="J213" s="6"/>
      <c r="K213" s="6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90"/>
      <c r="AO213" s="91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91"/>
      <c r="CG213" s="6"/>
      <c r="CH213" s="91"/>
      <c r="CI213" s="91"/>
      <c r="CJ213" s="91"/>
      <c r="CK213" s="91"/>
      <c r="CL213" s="6"/>
      <c r="CM213" s="6"/>
      <c r="CN213" s="6"/>
      <c r="CO213" s="6"/>
      <c r="CP213" s="6"/>
      <c r="CQ213" s="6"/>
      <c r="CR213" s="6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8"/>
      <c r="DK213" s="8"/>
      <c r="DL213" s="8"/>
      <c r="DM213" s="8"/>
      <c r="DN213" s="55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83"/>
      <c r="EC213" s="83"/>
      <c r="ED213" s="83"/>
      <c r="EE213" s="83"/>
      <c r="EF213" s="83"/>
      <c r="EG213" s="83"/>
      <c r="EH213" s="83"/>
      <c r="EI213" s="83"/>
      <c r="EJ213" s="83"/>
      <c r="EK213" s="2"/>
      <c r="EO213" s="2"/>
      <c r="ES213" s="58"/>
      <c r="ET213" s="58"/>
      <c r="EU213" s="58"/>
      <c r="EV213" s="58"/>
      <c r="EW213" s="58"/>
      <c r="EX213" s="58"/>
      <c r="EY213" s="58"/>
      <c r="EZ213" s="85"/>
    </row>
    <row r="214" spans="1:156">
      <c r="A214" s="95"/>
      <c r="B214" s="9"/>
      <c r="I214" s="54"/>
      <c r="J214" s="6"/>
      <c r="K214" s="6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90"/>
      <c r="AO214" s="91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91"/>
      <c r="CG214" s="6"/>
      <c r="CH214" s="91"/>
      <c r="CI214" s="91"/>
      <c r="CJ214" s="91"/>
      <c r="CK214" s="91"/>
      <c r="CL214" s="6"/>
      <c r="CM214" s="6"/>
      <c r="CN214" s="6"/>
      <c r="CO214" s="6"/>
      <c r="CP214" s="6"/>
      <c r="CQ214" s="6"/>
      <c r="CR214" s="6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8"/>
      <c r="DK214" s="8"/>
      <c r="DL214" s="8"/>
      <c r="DM214" s="8"/>
      <c r="DN214" s="55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83"/>
      <c r="EC214" s="83"/>
      <c r="ED214" s="83"/>
      <c r="EE214" s="83"/>
      <c r="EF214" s="83"/>
      <c r="EG214" s="83"/>
      <c r="EH214" s="83"/>
      <c r="EI214" s="83"/>
      <c r="EJ214" s="83"/>
      <c r="EK214" s="2"/>
      <c r="EO214" s="2"/>
      <c r="ES214" s="58"/>
      <c r="ET214" s="58"/>
      <c r="EU214" s="58"/>
      <c r="EV214" s="58"/>
      <c r="EW214" s="58"/>
      <c r="EX214" s="58"/>
      <c r="EY214" s="58"/>
      <c r="EZ214" s="85"/>
    </row>
    <row r="215" spans="1:156">
      <c r="A215" s="95"/>
      <c r="B215" s="9"/>
      <c r="I215" s="54"/>
      <c r="J215" s="6"/>
      <c r="K215" s="6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90"/>
      <c r="AO215" s="91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91"/>
      <c r="CG215" s="6"/>
      <c r="CH215" s="91"/>
      <c r="CI215" s="91"/>
      <c r="CJ215" s="91"/>
      <c r="CK215" s="91"/>
      <c r="CL215" s="6"/>
      <c r="CM215" s="6"/>
      <c r="CN215" s="6"/>
      <c r="CO215" s="6"/>
      <c r="CP215" s="6"/>
      <c r="CQ215" s="6"/>
      <c r="CR215" s="6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8"/>
      <c r="DK215" s="8"/>
      <c r="DL215" s="8"/>
      <c r="DM215" s="8"/>
      <c r="DN215" s="55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83"/>
      <c r="EC215" s="83"/>
      <c r="ED215" s="83"/>
      <c r="EE215" s="83"/>
      <c r="EF215" s="83"/>
      <c r="EG215" s="83"/>
      <c r="EH215" s="83"/>
      <c r="EI215" s="83"/>
      <c r="EJ215" s="83"/>
      <c r="EK215" s="2"/>
      <c r="EO215" s="2"/>
      <c r="ES215" s="58"/>
      <c r="ET215" s="58"/>
      <c r="EU215" s="58"/>
      <c r="EV215" s="58"/>
      <c r="EW215" s="58"/>
      <c r="EX215" s="58"/>
      <c r="EY215" s="58"/>
      <c r="EZ215" s="85"/>
    </row>
    <row r="216" spans="1:156">
      <c r="A216" s="95"/>
      <c r="B216" s="9"/>
      <c r="I216" s="54"/>
      <c r="J216" s="6"/>
      <c r="K216" s="6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90"/>
      <c r="AO216" s="91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91"/>
      <c r="CG216" s="6"/>
      <c r="CH216" s="91"/>
      <c r="CI216" s="91"/>
      <c r="CJ216" s="91"/>
      <c r="CK216" s="91"/>
      <c r="CL216" s="6"/>
      <c r="CM216" s="6"/>
      <c r="CN216" s="6"/>
      <c r="CO216" s="6"/>
      <c r="CP216" s="6"/>
      <c r="CQ216" s="6"/>
      <c r="CR216" s="6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8"/>
      <c r="DK216" s="8"/>
      <c r="DL216" s="8"/>
      <c r="DM216" s="8"/>
      <c r="DN216" s="55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83"/>
      <c r="EC216" s="83"/>
      <c r="ED216" s="83"/>
      <c r="EE216" s="83"/>
      <c r="EF216" s="83"/>
      <c r="EG216" s="83"/>
      <c r="EH216" s="83"/>
      <c r="EI216" s="83"/>
      <c r="EJ216" s="83"/>
      <c r="EK216" s="2"/>
      <c r="EO216" s="2"/>
      <c r="ES216" s="58"/>
      <c r="ET216" s="58"/>
      <c r="EU216" s="58"/>
      <c r="EV216" s="58"/>
      <c r="EW216" s="58"/>
      <c r="EX216" s="58"/>
      <c r="EY216" s="58"/>
      <c r="EZ216" s="85"/>
    </row>
    <row r="217" spans="1:156">
      <c r="A217" s="95"/>
      <c r="B217" s="9"/>
      <c r="I217" s="54"/>
      <c r="J217" s="6"/>
      <c r="K217" s="6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90"/>
      <c r="AO217" s="91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91"/>
      <c r="CG217" s="6"/>
      <c r="CH217" s="91"/>
      <c r="CI217" s="91"/>
      <c r="CJ217" s="91"/>
      <c r="CK217" s="91"/>
      <c r="CL217" s="6"/>
      <c r="CM217" s="6"/>
      <c r="CN217" s="6"/>
      <c r="CO217" s="6"/>
      <c r="CP217" s="6"/>
      <c r="CQ217" s="6"/>
      <c r="CR217" s="6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8"/>
      <c r="DK217" s="8"/>
      <c r="DL217" s="8"/>
      <c r="DM217" s="8"/>
      <c r="DN217" s="55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83"/>
      <c r="EC217" s="83"/>
      <c r="ED217" s="83"/>
      <c r="EE217" s="83"/>
      <c r="EF217" s="83"/>
      <c r="EG217" s="83"/>
      <c r="EH217" s="83"/>
      <c r="EI217" s="83"/>
      <c r="EJ217" s="83"/>
      <c r="EK217" s="2"/>
      <c r="EO217" s="2"/>
      <c r="ES217" s="58"/>
      <c r="ET217" s="58"/>
      <c r="EU217" s="58"/>
      <c r="EV217" s="58"/>
      <c r="EW217" s="58"/>
      <c r="EX217" s="58"/>
      <c r="EY217" s="58"/>
      <c r="EZ217" s="85"/>
    </row>
    <row r="218" spans="1:156">
      <c r="A218" s="95"/>
      <c r="B218" s="9"/>
      <c r="I218" s="54"/>
      <c r="J218" s="6"/>
      <c r="K218" s="6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90"/>
      <c r="AO218" s="91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91"/>
      <c r="CG218" s="6"/>
      <c r="CH218" s="91"/>
      <c r="CI218" s="91"/>
      <c r="CJ218" s="91"/>
      <c r="CK218" s="91"/>
      <c r="CL218" s="6"/>
      <c r="CM218" s="6"/>
      <c r="CN218" s="6"/>
      <c r="CO218" s="6"/>
      <c r="CP218" s="6"/>
      <c r="CQ218" s="6"/>
      <c r="CR218" s="6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8"/>
      <c r="DK218" s="8"/>
      <c r="DL218" s="8"/>
      <c r="DM218" s="8"/>
      <c r="DN218" s="55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83"/>
      <c r="EC218" s="83"/>
      <c r="ED218" s="83"/>
      <c r="EE218" s="83"/>
      <c r="EF218" s="83"/>
      <c r="EG218" s="83"/>
      <c r="EH218" s="83"/>
      <c r="EI218" s="83"/>
      <c r="EJ218" s="83"/>
      <c r="EK218" s="2"/>
      <c r="EO218" s="2"/>
      <c r="ES218" s="58"/>
      <c r="ET218" s="58"/>
      <c r="EU218" s="58"/>
      <c r="EV218" s="58"/>
      <c r="EW218" s="58"/>
      <c r="EX218" s="58"/>
      <c r="EY218" s="58"/>
      <c r="EZ218" s="85"/>
    </row>
    <row r="219" spans="1:156">
      <c r="A219" s="95"/>
      <c r="B219" s="9"/>
      <c r="I219" s="54"/>
      <c r="J219" s="6"/>
      <c r="K219" s="6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90"/>
      <c r="AO219" s="91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91"/>
      <c r="CG219" s="6"/>
      <c r="CH219" s="91"/>
      <c r="CI219" s="91"/>
      <c r="CJ219" s="91"/>
      <c r="CK219" s="91"/>
      <c r="CL219" s="6"/>
      <c r="CM219" s="6"/>
      <c r="CN219" s="6"/>
      <c r="CO219" s="6"/>
      <c r="CP219" s="6"/>
      <c r="CQ219" s="6"/>
      <c r="CR219" s="6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8"/>
      <c r="DK219" s="8"/>
      <c r="DL219" s="8"/>
      <c r="DM219" s="8"/>
      <c r="DN219" s="55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83"/>
      <c r="EC219" s="83"/>
      <c r="ED219" s="83"/>
      <c r="EE219" s="83"/>
      <c r="EF219" s="83"/>
      <c r="EG219" s="83"/>
      <c r="EH219" s="83"/>
      <c r="EI219" s="83"/>
      <c r="EJ219" s="83"/>
      <c r="EK219" s="2"/>
      <c r="EO219" s="2"/>
      <c r="ES219" s="58"/>
      <c r="ET219" s="58"/>
      <c r="EU219" s="58"/>
      <c r="EV219" s="58"/>
      <c r="EW219" s="58"/>
      <c r="EX219" s="58"/>
      <c r="EY219" s="58"/>
      <c r="EZ219" s="85"/>
    </row>
    <row r="220" spans="1:156">
      <c r="A220" s="95"/>
      <c r="B220" s="9"/>
      <c r="I220" s="54"/>
      <c r="J220" s="6"/>
      <c r="K220" s="6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90"/>
      <c r="AO220" s="91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91"/>
      <c r="CG220" s="6"/>
      <c r="CH220" s="91"/>
      <c r="CI220" s="91"/>
      <c r="CJ220" s="91"/>
      <c r="CK220" s="91"/>
      <c r="CL220" s="6"/>
      <c r="CM220" s="6"/>
      <c r="CN220" s="6"/>
      <c r="CO220" s="6"/>
      <c r="CP220" s="6"/>
      <c r="CQ220" s="6"/>
      <c r="CR220" s="6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8"/>
      <c r="DK220" s="8"/>
      <c r="DL220" s="8"/>
      <c r="DM220" s="8"/>
      <c r="DN220" s="55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83"/>
      <c r="EC220" s="83"/>
      <c r="ED220" s="83"/>
      <c r="EE220" s="83"/>
      <c r="EF220" s="83"/>
      <c r="EG220" s="83"/>
      <c r="EH220" s="83"/>
      <c r="EI220" s="83"/>
      <c r="EJ220" s="83"/>
      <c r="EK220" s="2"/>
      <c r="EO220" s="2"/>
      <c r="ES220" s="58"/>
      <c r="ET220" s="58"/>
      <c r="EU220" s="58"/>
      <c r="EV220" s="58"/>
      <c r="EW220" s="58"/>
      <c r="EX220" s="58"/>
      <c r="EY220" s="58"/>
      <c r="EZ220" s="85"/>
    </row>
    <row r="221" spans="1:156">
      <c r="A221" s="95"/>
      <c r="B221" s="9"/>
      <c r="I221" s="54"/>
      <c r="J221" s="6"/>
      <c r="K221" s="6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90"/>
      <c r="AO221" s="91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91"/>
      <c r="CG221" s="6"/>
      <c r="CH221" s="91"/>
      <c r="CI221" s="91"/>
      <c r="CJ221" s="91"/>
      <c r="CK221" s="91"/>
      <c r="CL221" s="6"/>
      <c r="CM221" s="6"/>
      <c r="CN221" s="6"/>
      <c r="CO221" s="6"/>
      <c r="CP221" s="6"/>
      <c r="CQ221" s="6"/>
      <c r="CR221" s="6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8"/>
      <c r="DK221" s="8"/>
      <c r="DL221" s="8"/>
      <c r="DM221" s="8"/>
      <c r="DN221" s="55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83"/>
      <c r="EC221" s="83"/>
      <c r="ED221" s="83"/>
      <c r="EE221" s="83"/>
      <c r="EF221" s="83"/>
      <c r="EG221" s="83"/>
      <c r="EH221" s="83"/>
      <c r="EI221" s="83"/>
      <c r="EJ221" s="83"/>
      <c r="EK221" s="2"/>
      <c r="EO221" s="2"/>
      <c r="ES221" s="58"/>
      <c r="ET221" s="58"/>
      <c r="EU221" s="58"/>
      <c r="EV221" s="58"/>
      <c r="EW221" s="58"/>
      <c r="EX221" s="58"/>
      <c r="EY221" s="58"/>
      <c r="EZ221" s="85"/>
    </row>
    <row r="222" spans="1:156">
      <c r="A222" s="95"/>
      <c r="B222" s="9"/>
      <c r="I222" s="54"/>
      <c r="J222" s="6"/>
      <c r="K222" s="6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90"/>
      <c r="AO222" s="91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91"/>
      <c r="CG222" s="6"/>
      <c r="CH222" s="91"/>
      <c r="CI222" s="91"/>
      <c r="CJ222" s="91"/>
      <c r="CK222" s="91"/>
      <c r="CL222" s="6"/>
      <c r="CM222" s="6"/>
      <c r="CN222" s="6"/>
      <c r="CO222" s="6"/>
      <c r="CP222" s="6"/>
      <c r="CQ222" s="6"/>
      <c r="CR222" s="6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8"/>
      <c r="DK222" s="8"/>
      <c r="DL222" s="8"/>
      <c r="DM222" s="8"/>
      <c r="DN222" s="55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83"/>
      <c r="EC222" s="83"/>
      <c r="ED222" s="83"/>
      <c r="EE222" s="83"/>
      <c r="EF222" s="83"/>
      <c r="EG222" s="83"/>
      <c r="EH222" s="83"/>
      <c r="EI222" s="83"/>
      <c r="EJ222" s="83"/>
      <c r="EK222" s="2"/>
      <c r="EO222" s="2"/>
      <c r="ES222" s="58"/>
      <c r="ET222" s="58"/>
      <c r="EU222" s="58"/>
      <c r="EV222" s="58"/>
      <c r="EW222" s="58"/>
      <c r="EX222" s="58"/>
      <c r="EY222" s="58"/>
      <c r="EZ222" s="85"/>
    </row>
    <row r="223" spans="1:156">
      <c r="A223" s="95"/>
      <c r="B223" s="9"/>
      <c r="I223" s="54"/>
      <c r="J223" s="6"/>
      <c r="K223" s="6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90"/>
      <c r="AO223" s="91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91"/>
      <c r="CG223" s="6"/>
      <c r="CH223" s="91"/>
      <c r="CI223" s="91"/>
      <c r="CJ223" s="91"/>
      <c r="CK223" s="91"/>
      <c r="CL223" s="6"/>
      <c r="CM223" s="6"/>
      <c r="CN223" s="6"/>
      <c r="CO223" s="6"/>
      <c r="CP223" s="6"/>
      <c r="CQ223" s="6"/>
      <c r="CR223" s="6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8"/>
      <c r="DK223" s="8"/>
      <c r="DL223" s="8"/>
      <c r="DM223" s="8"/>
      <c r="DN223" s="55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83"/>
      <c r="EC223" s="83"/>
      <c r="ED223" s="83"/>
      <c r="EE223" s="83"/>
      <c r="EF223" s="83"/>
      <c r="EG223" s="83"/>
      <c r="EH223" s="83"/>
      <c r="EI223" s="83"/>
      <c r="EJ223" s="83"/>
      <c r="EK223" s="2"/>
      <c r="EO223" s="2"/>
      <c r="ES223" s="58"/>
      <c r="ET223" s="58"/>
      <c r="EU223" s="58"/>
      <c r="EV223" s="58"/>
      <c r="EW223" s="58"/>
      <c r="EX223" s="58"/>
      <c r="EY223" s="58"/>
      <c r="EZ223" s="85"/>
    </row>
    <row r="224" spans="1:156">
      <c r="A224" s="95"/>
      <c r="B224" s="9"/>
      <c r="I224" s="54"/>
      <c r="J224" s="6"/>
      <c r="K224" s="6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90"/>
      <c r="AO224" s="91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91"/>
      <c r="CG224" s="6"/>
      <c r="CH224" s="91"/>
      <c r="CI224" s="91"/>
      <c r="CJ224" s="91"/>
      <c r="CK224" s="91"/>
      <c r="CL224" s="6"/>
      <c r="CM224" s="6"/>
      <c r="CN224" s="6"/>
      <c r="CO224" s="6"/>
      <c r="CP224" s="6"/>
      <c r="CQ224" s="6"/>
      <c r="CR224" s="6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8"/>
      <c r="DK224" s="8"/>
      <c r="DL224" s="8"/>
      <c r="DM224" s="8"/>
      <c r="DN224" s="55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83"/>
      <c r="EC224" s="83"/>
      <c r="ED224" s="83"/>
      <c r="EE224" s="83"/>
      <c r="EF224" s="83"/>
      <c r="EG224" s="83"/>
      <c r="EH224" s="83"/>
      <c r="EI224" s="83"/>
      <c r="EJ224" s="83"/>
      <c r="EK224" s="2"/>
      <c r="EO224" s="2"/>
      <c r="ES224" s="58"/>
      <c r="ET224" s="58"/>
      <c r="EU224" s="58"/>
      <c r="EV224" s="58"/>
      <c r="EW224" s="58"/>
      <c r="EX224" s="58"/>
      <c r="EY224" s="58"/>
      <c r="EZ224" s="85"/>
    </row>
    <row r="225" spans="1:156">
      <c r="A225" s="95"/>
      <c r="B225" s="9"/>
      <c r="I225" s="54"/>
      <c r="J225" s="6"/>
      <c r="K225" s="6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90"/>
      <c r="AO225" s="91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91"/>
      <c r="CG225" s="6"/>
      <c r="CH225" s="91"/>
      <c r="CI225" s="91"/>
      <c r="CJ225" s="91"/>
      <c r="CK225" s="91"/>
      <c r="CL225" s="6"/>
      <c r="CM225" s="6"/>
      <c r="CN225" s="6"/>
      <c r="CO225" s="6"/>
      <c r="CP225" s="6"/>
      <c r="CQ225" s="6"/>
      <c r="CR225" s="6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8"/>
      <c r="DK225" s="8"/>
      <c r="DL225" s="8"/>
      <c r="DM225" s="8"/>
      <c r="DN225" s="55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83"/>
      <c r="EC225" s="83"/>
      <c r="ED225" s="83"/>
      <c r="EE225" s="83"/>
      <c r="EF225" s="83"/>
      <c r="EG225" s="83"/>
      <c r="EH225" s="83"/>
      <c r="EI225" s="83"/>
      <c r="EJ225" s="83"/>
      <c r="EK225" s="2"/>
      <c r="EO225" s="2"/>
      <c r="ES225" s="58"/>
      <c r="ET225" s="58"/>
      <c r="EU225" s="58"/>
      <c r="EV225" s="58"/>
      <c r="EW225" s="58"/>
      <c r="EX225" s="58"/>
      <c r="EY225" s="58"/>
      <c r="EZ225" s="85"/>
    </row>
    <row r="226" spans="1:156">
      <c r="A226" s="95"/>
      <c r="B226" s="9"/>
      <c r="I226" s="54"/>
      <c r="J226" s="6"/>
      <c r="K226" s="6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90"/>
      <c r="AO226" s="91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91"/>
      <c r="CG226" s="6"/>
      <c r="CH226" s="91"/>
      <c r="CI226" s="91"/>
      <c r="CJ226" s="91"/>
      <c r="CK226" s="91"/>
      <c r="CL226" s="6"/>
      <c r="CM226" s="6"/>
      <c r="CN226" s="6"/>
      <c r="CO226" s="6"/>
      <c r="CP226" s="6"/>
      <c r="CQ226" s="6"/>
      <c r="CR226" s="6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8"/>
      <c r="DK226" s="8"/>
      <c r="DL226" s="8"/>
      <c r="DM226" s="8"/>
      <c r="DN226" s="55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83"/>
      <c r="EC226" s="83"/>
      <c r="ED226" s="83"/>
      <c r="EE226" s="83"/>
      <c r="EF226" s="83"/>
      <c r="EG226" s="83"/>
      <c r="EH226" s="83"/>
      <c r="EI226" s="83"/>
      <c r="EJ226" s="83"/>
      <c r="EK226" s="2"/>
      <c r="EO226" s="2"/>
      <c r="ES226" s="58"/>
      <c r="ET226" s="58"/>
      <c r="EU226" s="58"/>
      <c r="EV226" s="58"/>
      <c r="EW226" s="58"/>
      <c r="EX226" s="58"/>
      <c r="EY226" s="58"/>
      <c r="EZ226" s="85"/>
    </row>
    <row r="227" spans="1:156">
      <c r="A227" s="95"/>
      <c r="B227" s="9"/>
      <c r="I227" s="54"/>
      <c r="J227" s="6"/>
      <c r="K227" s="6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90"/>
      <c r="AO227" s="91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91"/>
      <c r="CG227" s="6"/>
      <c r="CH227" s="91"/>
      <c r="CI227" s="91"/>
      <c r="CJ227" s="91"/>
      <c r="CK227" s="91"/>
      <c r="CL227" s="6"/>
      <c r="CM227" s="6"/>
      <c r="CN227" s="6"/>
      <c r="CO227" s="6"/>
      <c r="CP227" s="6"/>
      <c r="CQ227" s="6"/>
      <c r="CR227" s="6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8"/>
      <c r="DK227" s="8"/>
      <c r="DL227" s="8"/>
      <c r="DM227" s="8"/>
      <c r="DN227" s="55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83"/>
      <c r="EC227" s="83"/>
      <c r="ED227" s="83"/>
      <c r="EE227" s="83"/>
      <c r="EF227" s="83"/>
      <c r="EG227" s="83"/>
      <c r="EH227" s="83"/>
      <c r="EI227" s="83"/>
      <c r="EJ227" s="83"/>
      <c r="EK227" s="2"/>
      <c r="EO227" s="2"/>
      <c r="ES227" s="58"/>
      <c r="ET227" s="58"/>
      <c r="EU227" s="58"/>
      <c r="EV227" s="58"/>
      <c r="EW227" s="58"/>
      <c r="EX227" s="58"/>
      <c r="EY227" s="58"/>
      <c r="EZ227" s="85"/>
    </row>
    <row r="228" spans="1:156">
      <c r="A228" s="95"/>
      <c r="B228" s="9"/>
      <c r="I228" s="54"/>
      <c r="J228" s="6"/>
      <c r="K228" s="6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90"/>
      <c r="AO228" s="91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91"/>
      <c r="CG228" s="6"/>
      <c r="CH228" s="91"/>
      <c r="CI228" s="91"/>
      <c r="CJ228" s="91"/>
      <c r="CK228" s="91"/>
      <c r="CL228" s="6"/>
      <c r="CM228" s="6"/>
      <c r="CN228" s="6"/>
      <c r="CO228" s="6"/>
      <c r="CP228" s="6"/>
      <c r="CQ228" s="6"/>
      <c r="CR228" s="6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8"/>
      <c r="DK228" s="8"/>
      <c r="DL228" s="8"/>
      <c r="DM228" s="8"/>
      <c r="DN228" s="55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83"/>
      <c r="EC228" s="83"/>
      <c r="ED228" s="83"/>
      <c r="EE228" s="83"/>
      <c r="EF228" s="83"/>
      <c r="EG228" s="83"/>
      <c r="EH228" s="83"/>
      <c r="EI228" s="83"/>
      <c r="EJ228" s="83"/>
      <c r="EK228" s="2"/>
      <c r="EO228" s="2"/>
      <c r="ES228" s="58"/>
      <c r="ET228" s="58"/>
      <c r="EU228" s="58"/>
      <c r="EV228" s="58"/>
      <c r="EW228" s="58"/>
      <c r="EX228" s="58"/>
      <c r="EY228" s="58"/>
      <c r="EZ228" s="85"/>
    </row>
    <row r="229" spans="1:156">
      <c r="A229" s="95"/>
      <c r="B229" s="9"/>
      <c r="I229" s="54"/>
      <c r="J229" s="6"/>
      <c r="K229" s="6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90"/>
      <c r="AO229" s="91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91"/>
      <c r="CG229" s="6"/>
      <c r="CH229" s="91"/>
      <c r="CI229" s="91"/>
      <c r="CJ229" s="91"/>
      <c r="CK229" s="91"/>
      <c r="CL229" s="6"/>
      <c r="CM229" s="6"/>
      <c r="CN229" s="6"/>
      <c r="CO229" s="6"/>
      <c r="CP229" s="6"/>
      <c r="CQ229" s="6"/>
      <c r="CR229" s="6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8"/>
      <c r="DK229" s="8"/>
      <c r="DL229" s="8"/>
      <c r="DM229" s="8"/>
      <c r="DN229" s="55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83"/>
      <c r="EC229" s="83"/>
      <c r="ED229" s="83"/>
      <c r="EE229" s="83"/>
      <c r="EF229" s="83"/>
      <c r="EG229" s="83"/>
      <c r="EH229" s="83"/>
      <c r="EI229" s="83"/>
      <c r="EJ229" s="83"/>
      <c r="EK229" s="2"/>
      <c r="EO229" s="2"/>
      <c r="ES229" s="58"/>
      <c r="ET229" s="58"/>
      <c r="EU229" s="58"/>
      <c r="EV229" s="58"/>
      <c r="EW229" s="58"/>
      <c r="EX229" s="58"/>
      <c r="EY229" s="58"/>
      <c r="EZ229" s="85"/>
    </row>
    <row r="230" spans="1:156">
      <c r="A230" s="95"/>
      <c r="B230" s="9"/>
      <c r="I230" s="54"/>
      <c r="J230" s="6"/>
      <c r="K230" s="6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90"/>
      <c r="AO230" s="91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91"/>
      <c r="CG230" s="6"/>
      <c r="CH230" s="91"/>
      <c r="CI230" s="91"/>
      <c r="CJ230" s="91"/>
      <c r="CK230" s="91"/>
      <c r="CL230" s="6"/>
      <c r="CM230" s="6"/>
      <c r="CN230" s="6"/>
      <c r="CO230" s="6"/>
      <c r="CP230" s="6"/>
      <c r="CQ230" s="6"/>
      <c r="CR230" s="6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8"/>
      <c r="DK230" s="8"/>
      <c r="DL230" s="8"/>
      <c r="DM230" s="8"/>
      <c r="DN230" s="55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83"/>
      <c r="EC230" s="83"/>
      <c r="ED230" s="83"/>
      <c r="EE230" s="83"/>
      <c r="EF230" s="83"/>
      <c r="EG230" s="83"/>
      <c r="EH230" s="83"/>
      <c r="EI230" s="83"/>
      <c r="EJ230" s="83"/>
      <c r="EK230" s="2"/>
      <c r="EO230" s="2"/>
      <c r="ES230" s="58"/>
      <c r="ET230" s="58"/>
      <c r="EU230" s="58"/>
      <c r="EV230" s="58"/>
      <c r="EW230" s="58"/>
      <c r="EX230" s="58"/>
      <c r="EY230" s="58"/>
      <c r="EZ230" s="85"/>
    </row>
    <row r="231" spans="1:156">
      <c r="A231" s="95"/>
      <c r="B231" s="9"/>
      <c r="I231" s="54"/>
      <c r="J231" s="6"/>
      <c r="K231" s="6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90"/>
      <c r="AO231" s="91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91"/>
      <c r="CG231" s="6"/>
      <c r="CH231" s="91"/>
      <c r="CI231" s="91"/>
      <c r="CJ231" s="91"/>
      <c r="CK231" s="91"/>
      <c r="CL231" s="6"/>
      <c r="CM231" s="6"/>
      <c r="CN231" s="6"/>
      <c r="CO231" s="6"/>
      <c r="CP231" s="6"/>
      <c r="CQ231" s="6"/>
      <c r="CR231" s="6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8"/>
      <c r="DK231" s="8"/>
      <c r="DL231" s="8"/>
      <c r="DM231" s="8"/>
      <c r="DN231" s="55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83"/>
      <c r="EC231" s="83"/>
      <c r="ED231" s="83"/>
      <c r="EE231" s="83"/>
      <c r="EF231" s="83"/>
      <c r="EG231" s="83"/>
      <c r="EH231" s="83"/>
      <c r="EI231" s="83"/>
      <c r="EJ231" s="83"/>
      <c r="EK231" s="2"/>
      <c r="EO231" s="2"/>
      <c r="ES231" s="58"/>
      <c r="ET231" s="58"/>
      <c r="EU231" s="58"/>
      <c r="EV231" s="58"/>
      <c r="EW231" s="58"/>
      <c r="EX231" s="58"/>
      <c r="EY231" s="58"/>
      <c r="EZ231" s="85"/>
    </row>
    <row r="232" spans="1:156">
      <c r="A232" s="95"/>
      <c r="B232" s="9"/>
      <c r="I232" s="54"/>
      <c r="J232" s="6"/>
      <c r="K232" s="6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90"/>
      <c r="AO232" s="91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91"/>
      <c r="CG232" s="6"/>
      <c r="CH232" s="91"/>
      <c r="CI232" s="91"/>
      <c r="CJ232" s="91"/>
      <c r="CK232" s="91"/>
      <c r="CL232" s="6"/>
      <c r="CM232" s="6"/>
      <c r="CN232" s="6"/>
      <c r="CO232" s="6"/>
      <c r="CP232" s="6"/>
      <c r="CQ232" s="6"/>
      <c r="CR232" s="6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8"/>
      <c r="DK232" s="8"/>
      <c r="DL232" s="8"/>
      <c r="DM232" s="8"/>
      <c r="DN232" s="55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83"/>
      <c r="EC232" s="83"/>
      <c r="ED232" s="83"/>
      <c r="EE232" s="83"/>
      <c r="EF232" s="83"/>
      <c r="EG232" s="83"/>
      <c r="EH232" s="83"/>
      <c r="EI232" s="83"/>
      <c r="EJ232" s="83"/>
      <c r="EK232" s="2"/>
      <c r="EO232" s="2"/>
      <c r="ES232" s="58"/>
      <c r="ET232" s="58"/>
      <c r="EU232" s="58"/>
      <c r="EV232" s="58"/>
      <c r="EW232" s="58"/>
      <c r="EX232" s="58"/>
      <c r="EY232" s="58"/>
      <c r="EZ232" s="85"/>
    </row>
    <row r="233" spans="1:156">
      <c r="A233" s="95"/>
      <c r="B233" s="9"/>
      <c r="I233" s="54"/>
      <c r="J233" s="6"/>
      <c r="K233" s="6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90"/>
      <c r="AO233" s="91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91"/>
      <c r="CG233" s="6"/>
      <c r="CH233" s="91"/>
      <c r="CI233" s="91"/>
      <c r="CJ233" s="91"/>
      <c r="CK233" s="91"/>
      <c r="CL233" s="6"/>
      <c r="CM233" s="6"/>
      <c r="CN233" s="6"/>
      <c r="CO233" s="6"/>
      <c r="CP233" s="6"/>
      <c r="CQ233" s="6"/>
      <c r="CR233" s="6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8"/>
      <c r="DK233" s="8"/>
      <c r="DL233" s="8"/>
      <c r="DM233" s="8"/>
      <c r="DN233" s="55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83"/>
      <c r="EC233" s="83"/>
      <c r="ED233" s="83"/>
      <c r="EE233" s="83"/>
      <c r="EF233" s="83"/>
      <c r="EG233" s="83"/>
      <c r="EH233" s="83"/>
      <c r="EI233" s="83"/>
      <c r="EJ233" s="83"/>
      <c r="EK233" s="2"/>
      <c r="EO233" s="2"/>
      <c r="ES233" s="58"/>
      <c r="ET233" s="58"/>
      <c r="EU233" s="58"/>
      <c r="EV233" s="58"/>
      <c r="EW233" s="58"/>
      <c r="EX233" s="58"/>
      <c r="EY233" s="58"/>
      <c r="EZ233" s="85"/>
    </row>
    <row r="234" spans="1:156">
      <c r="A234" s="95"/>
      <c r="B234" s="9"/>
      <c r="I234" s="54"/>
      <c r="J234" s="6"/>
      <c r="K234" s="6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90"/>
      <c r="AO234" s="91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91"/>
      <c r="CG234" s="6"/>
      <c r="CH234" s="91"/>
      <c r="CI234" s="91"/>
      <c r="CJ234" s="91"/>
      <c r="CK234" s="91"/>
      <c r="CL234" s="6"/>
      <c r="CM234" s="6"/>
      <c r="CN234" s="6"/>
      <c r="CO234" s="6"/>
      <c r="CP234" s="6"/>
      <c r="CQ234" s="6"/>
      <c r="CR234" s="6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8"/>
      <c r="DK234" s="8"/>
      <c r="DL234" s="8"/>
      <c r="DM234" s="8"/>
      <c r="DN234" s="55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83"/>
      <c r="EC234" s="83"/>
      <c r="ED234" s="83"/>
      <c r="EE234" s="83"/>
      <c r="EF234" s="83"/>
      <c r="EG234" s="83"/>
      <c r="EH234" s="83"/>
      <c r="EI234" s="83"/>
      <c r="EJ234" s="83"/>
      <c r="EK234" s="2"/>
      <c r="EO234" s="2"/>
      <c r="ES234" s="58"/>
      <c r="ET234" s="58"/>
      <c r="EU234" s="58"/>
      <c r="EV234" s="58"/>
      <c r="EW234" s="58"/>
      <c r="EX234" s="58"/>
      <c r="EY234" s="58"/>
      <c r="EZ234" s="85"/>
    </row>
    <row r="235" spans="1:156">
      <c r="A235" s="95"/>
      <c r="B235" s="9"/>
      <c r="I235" s="54"/>
      <c r="J235" s="6"/>
      <c r="K235" s="6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90"/>
      <c r="AO235" s="91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91"/>
      <c r="CG235" s="6"/>
      <c r="CH235" s="91"/>
      <c r="CI235" s="91"/>
      <c r="CJ235" s="91"/>
      <c r="CK235" s="91"/>
      <c r="CL235" s="6"/>
      <c r="CM235" s="6"/>
      <c r="CN235" s="6"/>
      <c r="CO235" s="6"/>
      <c r="CP235" s="6"/>
      <c r="CQ235" s="6"/>
      <c r="CR235" s="6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8"/>
      <c r="DK235" s="8"/>
      <c r="DL235" s="8"/>
      <c r="DM235" s="8"/>
      <c r="DN235" s="55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83"/>
      <c r="EC235" s="83"/>
      <c r="ED235" s="83"/>
      <c r="EE235" s="83"/>
      <c r="EF235" s="83"/>
      <c r="EG235" s="83"/>
      <c r="EH235" s="83"/>
      <c r="EI235" s="83"/>
      <c r="EJ235" s="83"/>
      <c r="EK235" s="2"/>
      <c r="EO235" s="2"/>
      <c r="ES235" s="58"/>
      <c r="ET235" s="58"/>
      <c r="EU235" s="58"/>
      <c r="EV235" s="58"/>
      <c r="EW235" s="58"/>
      <c r="EX235" s="58"/>
      <c r="EY235" s="58"/>
      <c r="EZ235" s="85"/>
    </row>
    <row r="236" spans="1:156">
      <c r="A236" s="95"/>
      <c r="B236" s="9"/>
      <c r="I236" s="54"/>
      <c r="J236" s="6"/>
      <c r="K236" s="6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90"/>
      <c r="AO236" s="91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91"/>
      <c r="CG236" s="6"/>
      <c r="CH236" s="91"/>
      <c r="CI236" s="91"/>
      <c r="CJ236" s="91"/>
      <c r="CK236" s="91"/>
      <c r="CL236" s="6"/>
      <c r="CM236" s="6"/>
      <c r="CN236" s="6"/>
      <c r="CO236" s="6"/>
      <c r="CP236" s="6"/>
      <c r="CQ236" s="6"/>
      <c r="CR236" s="6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8"/>
      <c r="DK236" s="8"/>
      <c r="DL236" s="8"/>
      <c r="DM236" s="8"/>
      <c r="DN236" s="55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83"/>
      <c r="EC236" s="83"/>
      <c r="ED236" s="83"/>
      <c r="EE236" s="83"/>
      <c r="EF236" s="83"/>
      <c r="EG236" s="83"/>
      <c r="EH236" s="83"/>
      <c r="EI236" s="83"/>
      <c r="EJ236" s="83"/>
      <c r="EK236" s="2"/>
      <c r="EO236" s="2"/>
      <c r="ES236" s="58"/>
      <c r="ET236" s="58"/>
      <c r="EU236" s="58"/>
      <c r="EV236" s="58"/>
      <c r="EW236" s="58"/>
      <c r="EX236" s="58"/>
      <c r="EY236" s="58"/>
      <c r="EZ236" s="85"/>
    </row>
    <row r="237" spans="1:156">
      <c r="A237" s="95"/>
      <c r="B237" s="9"/>
      <c r="I237" s="54"/>
      <c r="J237" s="6"/>
      <c r="K237" s="6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90"/>
      <c r="AO237" s="91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91"/>
      <c r="CG237" s="6"/>
      <c r="CH237" s="91"/>
      <c r="CI237" s="91"/>
      <c r="CJ237" s="91"/>
      <c r="CK237" s="91"/>
      <c r="CL237" s="6"/>
      <c r="CM237" s="6"/>
      <c r="CN237" s="6"/>
      <c r="CO237" s="6"/>
      <c r="CP237" s="6"/>
      <c r="CQ237" s="6"/>
      <c r="CR237" s="6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8"/>
      <c r="DK237" s="8"/>
      <c r="DL237" s="8"/>
      <c r="DM237" s="8"/>
      <c r="DN237" s="55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83"/>
      <c r="EC237" s="83"/>
      <c r="ED237" s="83"/>
      <c r="EE237" s="83"/>
      <c r="EF237" s="83"/>
      <c r="EG237" s="83"/>
      <c r="EH237" s="83"/>
      <c r="EI237" s="83"/>
      <c r="EJ237" s="83"/>
      <c r="EK237" s="2"/>
      <c r="EO237" s="2"/>
      <c r="ES237" s="58"/>
      <c r="ET237" s="58"/>
      <c r="EU237" s="58"/>
      <c r="EV237" s="58"/>
      <c r="EW237" s="58"/>
      <c r="EX237" s="58"/>
      <c r="EY237" s="58"/>
      <c r="EZ237" s="85"/>
    </row>
    <row r="238" spans="1:156">
      <c r="A238" s="95"/>
      <c r="B238" s="9"/>
      <c r="I238" s="54"/>
      <c r="J238" s="6"/>
      <c r="K238" s="6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90"/>
      <c r="AO238" s="91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91"/>
      <c r="CG238" s="6"/>
      <c r="CH238" s="91"/>
      <c r="CI238" s="91"/>
      <c r="CJ238" s="91"/>
      <c r="CK238" s="91"/>
      <c r="CL238" s="6"/>
      <c r="CM238" s="6"/>
      <c r="CN238" s="6"/>
      <c r="CO238" s="6"/>
      <c r="CP238" s="6"/>
      <c r="CQ238" s="6"/>
      <c r="CR238" s="6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8"/>
      <c r="DK238" s="8"/>
      <c r="DL238" s="8"/>
      <c r="DM238" s="8"/>
      <c r="DN238" s="55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83"/>
      <c r="EC238" s="83"/>
      <c r="ED238" s="83"/>
      <c r="EE238" s="83"/>
      <c r="EF238" s="83"/>
      <c r="EG238" s="83"/>
      <c r="EH238" s="83"/>
      <c r="EI238" s="83"/>
      <c r="EJ238" s="83"/>
      <c r="EK238" s="2"/>
      <c r="EO238" s="2"/>
      <c r="ES238" s="58"/>
      <c r="ET238" s="58"/>
      <c r="EU238" s="58"/>
      <c r="EV238" s="58"/>
      <c r="EW238" s="58"/>
      <c r="EX238" s="58"/>
      <c r="EY238" s="58"/>
      <c r="EZ238" s="85"/>
    </row>
    <row r="239" spans="1:156">
      <c r="A239" s="95"/>
      <c r="B239" s="9"/>
      <c r="I239" s="54"/>
      <c r="J239" s="6"/>
      <c r="K239" s="6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90"/>
      <c r="AO239" s="91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91"/>
      <c r="CG239" s="6"/>
      <c r="CH239" s="91"/>
      <c r="CI239" s="91"/>
      <c r="CJ239" s="91"/>
      <c r="CK239" s="91"/>
      <c r="CL239" s="6"/>
      <c r="CM239" s="6"/>
      <c r="CN239" s="6"/>
      <c r="CO239" s="6"/>
      <c r="CP239" s="6"/>
      <c r="CQ239" s="6"/>
      <c r="CR239" s="6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8"/>
      <c r="DK239" s="8"/>
      <c r="DL239" s="8"/>
      <c r="DM239" s="8"/>
      <c r="DN239" s="55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83"/>
      <c r="EC239" s="83"/>
      <c r="ED239" s="83"/>
      <c r="EE239" s="83"/>
      <c r="EF239" s="83"/>
      <c r="EG239" s="83"/>
      <c r="EH239" s="83"/>
      <c r="EI239" s="83"/>
      <c r="EJ239" s="83"/>
      <c r="EK239" s="2"/>
      <c r="EO239" s="2"/>
      <c r="ES239" s="58"/>
      <c r="ET239" s="58"/>
      <c r="EU239" s="58"/>
      <c r="EV239" s="58"/>
      <c r="EW239" s="58"/>
      <c r="EX239" s="58"/>
      <c r="EY239" s="58"/>
      <c r="EZ239" s="85"/>
    </row>
    <row r="240" spans="1:156">
      <c r="A240" s="95"/>
      <c r="B240" s="9"/>
      <c r="I240" s="54"/>
      <c r="J240" s="6"/>
      <c r="K240" s="6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90"/>
      <c r="AO240" s="91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91"/>
      <c r="CG240" s="6"/>
      <c r="CH240" s="91"/>
      <c r="CI240" s="91"/>
      <c r="CJ240" s="91"/>
      <c r="CK240" s="91"/>
      <c r="CL240" s="6"/>
      <c r="CM240" s="6"/>
      <c r="CN240" s="6"/>
      <c r="CO240" s="6"/>
      <c r="CP240" s="6"/>
      <c r="CQ240" s="6"/>
      <c r="CR240" s="6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8"/>
      <c r="DK240" s="8"/>
      <c r="DL240" s="8"/>
      <c r="DM240" s="8"/>
      <c r="DN240" s="55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83"/>
      <c r="EC240" s="83"/>
      <c r="ED240" s="83"/>
      <c r="EE240" s="83"/>
      <c r="EF240" s="83"/>
      <c r="EG240" s="83"/>
      <c r="EH240" s="83"/>
      <c r="EI240" s="83"/>
      <c r="EJ240" s="83"/>
      <c r="EK240" s="2"/>
      <c r="EO240" s="2"/>
      <c r="ES240" s="58"/>
      <c r="ET240" s="58"/>
      <c r="EU240" s="58"/>
      <c r="EV240" s="58"/>
      <c r="EW240" s="58"/>
      <c r="EX240" s="58"/>
      <c r="EY240" s="58"/>
      <c r="EZ240" s="85"/>
    </row>
    <row r="241" spans="1:156">
      <c r="A241" s="95"/>
      <c r="B241" s="9"/>
      <c r="I241" s="54"/>
      <c r="J241" s="6"/>
      <c r="K241" s="6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90"/>
      <c r="AO241" s="91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91"/>
      <c r="CG241" s="6"/>
      <c r="CH241" s="91"/>
      <c r="CI241" s="91"/>
      <c r="CJ241" s="91"/>
      <c r="CK241" s="91"/>
      <c r="CL241" s="6"/>
      <c r="CM241" s="6"/>
      <c r="CN241" s="6"/>
      <c r="CO241" s="6"/>
      <c r="CP241" s="6"/>
      <c r="CQ241" s="6"/>
      <c r="CR241" s="6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8"/>
      <c r="DK241" s="8"/>
      <c r="DL241" s="8"/>
      <c r="DM241" s="8"/>
      <c r="DN241" s="55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83"/>
      <c r="EC241" s="83"/>
      <c r="ED241" s="83"/>
      <c r="EE241" s="83"/>
      <c r="EF241" s="83"/>
      <c r="EG241" s="83"/>
      <c r="EH241" s="83"/>
      <c r="EI241" s="83"/>
      <c r="EJ241" s="83"/>
      <c r="EK241" s="2"/>
      <c r="EO241" s="2"/>
      <c r="ES241" s="58"/>
      <c r="ET241" s="58"/>
      <c r="EU241" s="58"/>
      <c r="EV241" s="58"/>
      <c r="EW241" s="58"/>
      <c r="EX241" s="58"/>
      <c r="EY241" s="58"/>
      <c r="EZ241" s="85"/>
    </row>
    <row r="242" spans="1:156">
      <c r="A242" s="95"/>
      <c r="B242" s="9"/>
      <c r="I242" s="54"/>
      <c r="J242" s="6"/>
      <c r="K242" s="6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90"/>
      <c r="AO242" s="91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91"/>
      <c r="CG242" s="6"/>
      <c r="CH242" s="91"/>
      <c r="CI242" s="91"/>
      <c r="CJ242" s="91"/>
      <c r="CK242" s="91"/>
      <c r="CL242" s="6"/>
      <c r="CM242" s="6"/>
      <c r="CN242" s="6"/>
      <c r="CO242" s="6"/>
      <c r="CP242" s="6"/>
      <c r="CQ242" s="6"/>
      <c r="CR242" s="6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8"/>
      <c r="DK242" s="8"/>
      <c r="DL242" s="8"/>
      <c r="DM242" s="8"/>
      <c r="DN242" s="55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83"/>
      <c r="EC242" s="83"/>
      <c r="ED242" s="83"/>
      <c r="EE242" s="83"/>
      <c r="EF242" s="83"/>
      <c r="EG242" s="83"/>
      <c r="EH242" s="83"/>
      <c r="EI242" s="83"/>
      <c r="EJ242" s="83"/>
      <c r="EK242" s="2"/>
      <c r="EO242" s="2"/>
      <c r="ES242" s="58"/>
      <c r="ET242" s="58"/>
      <c r="EU242" s="58"/>
      <c r="EV242" s="58"/>
      <c r="EW242" s="58"/>
      <c r="EX242" s="58"/>
      <c r="EY242" s="58"/>
      <c r="EZ242" s="85"/>
    </row>
    <row r="243" spans="1:156">
      <c r="A243" s="95"/>
      <c r="B243" s="9"/>
      <c r="I243" s="54"/>
      <c r="J243" s="6"/>
      <c r="K243" s="6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90"/>
      <c r="AO243" s="91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91"/>
      <c r="CG243" s="6"/>
      <c r="CH243" s="91"/>
      <c r="CI243" s="91"/>
      <c r="CJ243" s="91"/>
      <c r="CK243" s="91"/>
      <c r="CL243" s="6"/>
      <c r="CM243" s="6"/>
      <c r="CN243" s="6"/>
      <c r="CO243" s="6"/>
      <c r="CP243" s="6"/>
      <c r="CQ243" s="6"/>
      <c r="CR243" s="6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8"/>
      <c r="DK243" s="8"/>
      <c r="DL243" s="8"/>
      <c r="DM243" s="8"/>
      <c r="DN243" s="55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83"/>
      <c r="EC243" s="83"/>
      <c r="ED243" s="83"/>
      <c r="EE243" s="83"/>
      <c r="EF243" s="83"/>
      <c r="EG243" s="83"/>
      <c r="EH243" s="83"/>
      <c r="EI243" s="83"/>
      <c r="EJ243" s="83"/>
      <c r="EK243" s="2"/>
      <c r="EO243" s="2"/>
      <c r="ES243" s="58"/>
      <c r="ET243" s="58"/>
      <c r="EU243" s="58"/>
      <c r="EV243" s="58"/>
      <c r="EW243" s="58"/>
      <c r="EX243" s="58"/>
      <c r="EY243" s="58"/>
      <c r="EZ243" s="85"/>
    </row>
    <row r="244" spans="1:156">
      <c r="A244" s="95"/>
      <c r="B244" s="9"/>
      <c r="I244" s="54"/>
      <c r="J244" s="6"/>
      <c r="K244" s="6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90"/>
      <c r="AO244" s="91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91"/>
      <c r="CG244" s="6"/>
      <c r="CH244" s="91"/>
      <c r="CI244" s="91"/>
      <c r="CJ244" s="91"/>
      <c r="CK244" s="91"/>
      <c r="CL244" s="6"/>
      <c r="CM244" s="6"/>
      <c r="CN244" s="6"/>
      <c r="CO244" s="6"/>
      <c r="CP244" s="6"/>
      <c r="CQ244" s="6"/>
      <c r="CR244" s="6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8"/>
      <c r="DK244" s="8"/>
      <c r="DL244" s="8"/>
      <c r="DM244" s="8"/>
      <c r="DN244" s="55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83"/>
      <c r="EC244" s="83"/>
      <c r="ED244" s="83"/>
      <c r="EE244" s="83"/>
      <c r="EF244" s="83"/>
      <c r="EG244" s="83"/>
      <c r="EH244" s="83"/>
      <c r="EI244" s="83"/>
      <c r="EJ244" s="83"/>
      <c r="EK244" s="2"/>
      <c r="EO244" s="2"/>
      <c r="ES244" s="58"/>
      <c r="ET244" s="58"/>
      <c r="EU244" s="58"/>
      <c r="EV244" s="58"/>
      <c r="EW244" s="58"/>
      <c r="EX244" s="58"/>
      <c r="EY244" s="58"/>
      <c r="EZ244" s="85"/>
    </row>
    <row r="245" spans="1:156">
      <c r="A245" s="95"/>
      <c r="B245" s="9"/>
      <c r="I245" s="54"/>
      <c r="J245" s="6"/>
      <c r="K245" s="6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90"/>
      <c r="AO245" s="91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91"/>
      <c r="CG245" s="6"/>
      <c r="CH245" s="91"/>
      <c r="CI245" s="91"/>
      <c r="CJ245" s="91"/>
      <c r="CK245" s="91"/>
      <c r="CL245" s="6"/>
      <c r="CM245" s="6"/>
      <c r="CN245" s="6"/>
      <c r="CO245" s="6"/>
      <c r="CP245" s="6"/>
      <c r="CQ245" s="6"/>
      <c r="CR245" s="6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8"/>
      <c r="DK245" s="8"/>
      <c r="DL245" s="8"/>
      <c r="DM245" s="8"/>
      <c r="DN245" s="55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83"/>
      <c r="EC245" s="83"/>
      <c r="ED245" s="83"/>
      <c r="EE245" s="83"/>
      <c r="EF245" s="83"/>
      <c r="EG245" s="83"/>
      <c r="EH245" s="83"/>
      <c r="EI245" s="83"/>
      <c r="EJ245" s="83"/>
      <c r="EK245" s="2"/>
      <c r="EO245" s="2"/>
      <c r="ES245" s="58"/>
      <c r="ET245" s="58"/>
      <c r="EU245" s="58"/>
      <c r="EV245" s="58"/>
      <c r="EW245" s="58"/>
      <c r="EX245" s="58"/>
      <c r="EY245" s="58"/>
      <c r="EZ245" s="85"/>
    </row>
    <row r="246" spans="1:156">
      <c r="A246" s="95"/>
      <c r="B246" s="9"/>
      <c r="I246" s="54"/>
      <c r="J246" s="6"/>
      <c r="K246" s="6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90"/>
      <c r="AO246" s="91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91"/>
      <c r="CG246" s="6"/>
      <c r="CH246" s="91"/>
      <c r="CI246" s="91"/>
      <c r="CJ246" s="91"/>
      <c r="CK246" s="91"/>
      <c r="CL246" s="6"/>
      <c r="CM246" s="6"/>
      <c r="CN246" s="6"/>
      <c r="CO246" s="6"/>
      <c r="CP246" s="6"/>
      <c r="CQ246" s="6"/>
      <c r="CR246" s="6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8"/>
      <c r="DK246" s="8"/>
      <c r="DL246" s="8"/>
      <c r="DM246" s="8"/>
      <c r="DN246" s="55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83"/>
      <c r="EC246" s="83"/>
      <c r="ED246" s="83"/>
      <c r="EE246" s="83"/>
      <c r="EF246" s="83"/>
      <c r="EG246" s="83"/>
      <c r="EH246" s="83"/>
      <c r="EI246" s="83"/>
      <c r="EJ246" s="83"/>
      <c r="EK246" s="2"/>
      <c r="EO246" s="2"/>
      <c r="ES246" s="58"/>
      <c r="ET246" s="58"/>
      <c r="EU246" s="58"/>
      <c r="EV246" s="58"/>
      <c r="EW246" s="58"/>
      <c r="EX246" s="58"/>
      <c r="EY246" s="58"/>
      <c r="EZ246" s="85"/>
    </row>
    <row r="247" spans="1:156">
      <c r="A247" s="95"/>
      <c r="B247" s="9"/>
      <c r="I247" s="54"/>
      <c r="J247" s="6"/>
      <c r="K247" s="6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90"/>
      <c r="AO247" s="91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91"/>
      <c r="CG247" s="6"/>
      <c r="CH247" s="91"/>
      <c r="CI247" s="91"/>
      <c r="CJ247" s="91"/>
      <c r="CK247" s="91"/>
      <c r="CL247" s="6"/>
      <c r="CM247" s="6"/>
      <c r="CN247" s="6"/>
      <c r="CO247" s="6"/>
      <c r="CP247" s="6"/>
      <c r="CQ247" s="6"/>
      <c r="CR247" s="6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8"/>
      <c r="DK247" s="8"/>
      <c r="DL247" s="8"/>
      <c r="DM247" s="8"/>
      <c r="DN247" s="55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83"/>
      <c r="EC247" s="83"/>
      <c r="ED247" s="83"/>
      <c r="EE247" s="83"/>
      <c r="EF247" s="83"/>
      <c r="EG247" s="83"/>
      <c r="EH247" s="83"/>
      <c r="EI247" s="83"/>
      <c r="EJ247" s="83"/>
      <c r="EK247" s="2"/>
      <c r="EO247" s="2"/>
      <c r="ES247" s="58"/>
      <c r="ET247" s="58"/>
      <c r="EU247" s="58"/>
      <c r="EV247" s="58"/>
      <c r="EW247" s="58"/>
      <c r="EX247" s="58"/>
      <c r="EY247" s="58"/>
      <c r="EZ247" s="85"/>
    </row>
    <row r="248" spans="1:156">
      <c r="A248" s="95"/>
      <c r="B248" s="9"/>
      <c r="I248" s="54"/>
      <c r="J248" s="6"/>
      <c r="K248" s="6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90"/>
      <c r="AO248" s="91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91"/>
      <c r="CG248" s="6"/>
      <c r="CH248" s="91"/>
      <c r="CI248" s="91"/>
      <c r="CJ248" s="91"/>
      <c r="CK248" s="91"/>
      <c r="CL248" s="6"/>
      <c r="CM248" s="6"/>
      <c r="CN248" s="6"/>
      <c r="CO248" s="6"/>
      <c r="CP248" s="6"/>
      <c r="CQ248" s="6"/>
      <c r="CR248" s="6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8"/>
      <c r="DK248" s="8"/>
      <c r="DL248" s="8"/>
      <c r="DM248" s="8"/>
      <c r="DN248" s="55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83"/>
      <c r="EC248" s="83"/>
      <c r="ED248" s="83"/>
      <c r="EE248" s="83"/>
      <c r="EF248" s="83"/>
      <c r="EG248" s="83"/>
      <c r="EH248" s="83"/>
      <c r="EI248" s="83"/>
      <c r="EJ248" s="83"/>
      <c r="EK248" s="2"/>
      <c r="EO248" s="2"/>
      <c r="ES248" s="58"/>
      <c r="ET248" s="58"/>
      <c r="EU248" s="58"/>
      <c r="EV248" s="58"/>
      <c r="EW248" s="58"/>
      <c r="EX248" s="58"/>
      <c r="EY248" s="58"/>
      <c r="EZ248" s="85"/>
    </row>
    <row r="249" spans="1:156">
      <c r="A249" s="95"/>
      <c r="B249" s="9"/>
      <c r="I249" s="54"/>
      <c r="J249" s="6"/>
      <c r="K249" s="6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90"/>
      <c r="AO249" s="91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91"/>
      <c r="CG249" s="6"/>
      <c r="CH249" s="91"/>
      <c r="CI249" s="91"/>
      <c r="CJ249" s="91"/>
      <c r="CK249" s="91"/>
      <c r="CL249" s="6"/>
      <c r="CM249" s="6"/>
      <c r="CN249" s="6"/>
      <c r="CO249" s="6"/>
      <c r="CP249" s="6"/>
      <c r="CQ249" s="6"/>
      <c r="CR249" s="6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8"/>
      <c r="DK249" s="8"/>
      <c r="DL249" s="8"/>
      <c r="DM249" s="8"/>
      <c r="DN249" s="55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83"/>
      <c r="EC249" s="83"/>
      <c r="ED249" s="83"/>
      <c r="EE249" s="83"/>
      <c r="EF249" s="83"/>
      <c r="EG249" s="83"/>
      <c r="EH249" s="83"/>
      <c r="EI249" s="83"/>
      <c r="EJ249" s="83"/>
      <c r="EK249" s="2"/>
      <c r="EO249" s="2"/>
      <c r="ES249" s="58"/>
      <c r="ET249" s="58"/>
      <c r="EU249" s="58"/>
      <c r="EV249" s="58"/>
      <c r="EW249" s="58"/>
      <c r="EX249" s="58"/>
      <c r="EY249" s="58"/>
      <c r="EZ249" s="85"/>
    </row>
    <row r="250" spans="1:156">
      <c r="A250" s="95"/>
      <c r="B250" s="9"/>
      <c r="I250" s="54"/>
      <c r="J250" s="6"/>
      <c r="K250" s="6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90"/>
      <c r="AO250" s="91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91"/>
      <c r="CG250" s="6"/>
      <c r="CH250" s="91"/>
      <c r="CI250" s="91"/>
      <c r="CJ250" s="91"/>
      <c r="CK250" s="91"/>
      <c r="CL250" s="6"/>
      <c r="CM250" s="6"/>
      <c r="CN250" s="6"/>
      <c r="CO250" s="6"/>
      <c r="CP250" s="6"/>
      <c r="CQ250" s="6"/>
      <c r="CR250" s="6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8"/>
      <c r="DK250" s="8"/>
      <c r="DL250" s="8"/>
      <c r="DM250" s="8"/>
      <c r="DN250" s="55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83"/>
      <c r="EC250" s="83"/>
      <c r="ED250" s="83"/>
      <c r="EE250" s="83"/>
      <c r="EF250" s="83"/>
      <c r="EG250" s="83"/>
      <c r="EH250" s="83"/>
      <c r="EI250" s="83"/>
      <c r="EJ250" s="83"/>
      <c r="EK250" s="2"/>
      <c r="EO250" s="2"/>
      <c r="ES250" s="58"/>
      <c r="ET250" s="58"/>
      <c r="EU250" s="58"/>
      <c r="EV250" s="58"/>
      <c r="EW250" s="58"/>
      <c r="EX250" s="58"/>
      <c r="EY250" s="58"/>
      <c r="EZ250" s="85"/>
    </row>
    <row r="251" spans="1:156">
      <c r="A251" s="95"/>
      <c r="B251" s="9"/>
      <c r="I251" s="54"/>
      <c r="J251" s="6"/>
      <c r="K251" s="6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90"/>
      <c r="AO251" s="91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91"/>
      <c r="CG251" s="6"/>
      <c r="CH251" s="91"/>
      <c r="CI251" s="91"/>
      <c r="CJ251" s="91"/>
      <c r="CK251" s="91"/>
      <c r="CL251" s="6"/>
      <c r="CM251" s="6"/>
      <c r="CN251" s="6"/>
      <c r="CO251" s="6"/>
      <c r="CP251" s="6"/>
      <c r="CQ251" s="6"/>
      <c r="CR251" s="6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8"/>
      <c r="DK251" s="8"/>
      <c r="DL251" s="8"/>
      <c r="DM251" s="8"/>
      <c r="DN251" s="55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83"/>
      <c r="EC251" s="83"/>
      <c r="ED251" s="83"/>
      <c r="EE251" s="83"/>
      <c r="EF251" s="83"/>
      <c r="EG251" s="83"/>
      <c r="EH251" s="83"/>
      <c r="EI251" s="83"/>
      <c r="EJ251" s="83"/>
      <c r="EK251" s="2"/>
      <c r="EO251" s="2"/>
      <c r="ES251" s="58"/>
      <c r="ET251" s="58"/>
      <c r="EU251" s="58"/>
      <c r="EV251" s="58"/>
      <c r="EW251" s="58"/>
      <c r="EX251" s="58"/>
      <c r="EY251" s="58"/>
      <c r="EZ251" s="85"/>
    </row>
    <row r="252" spans="1:156">
      <c r="A252" s="95"/>
      <c r="B252" s="9"/>
      <c r="I252" s="54"/>
      <c r="J252" s="6"/>
      <c r="K252" s="6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90"/>
      <c r="AO252" s="91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91"/>
      <c r="CG252" s="6"/>
      <c r="CH252" s="91"/>
      <c r="CI252" s="91"/>
      <c r="CJ252" s="91"/>
      <c r="CK252" s="91"/>
      <c r="CL252" s="6"/>
      <c r="CM252" s="6"/>
      <c r="CN252" s="6"/>
      <c r="CO252" s="6"/>
      <c r="CP252" s="6"/>
      <c r="CQ252" s="6"/>
      <c r="CR252" s="6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8"/>
      <c r="DK252" s="8"/>
      <c r="DL252" s="8"/>
      <c r="DM252" s="8"/>
      <c r="DN252" s="55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83"/>
      <c r="EC252" s="83"/>
      <c r="ED252" s="83"/>
      <c r="EE252" s="83"/>
      <c r="EF252" s="83"/>
      <c r="EG252" s="83"/>
      <c r="EH252" s="83"/>
      <c r="EI252" s="83"/>
      <c r="EJ252" s="83"/>
      <c r="EK252" s="2"/>
      <c r="EO252" s="2"/>
      <c r="ES252" s="58"/>
      <c r="ET252" s="58"/>
      <c r="EU252" s="58"/>
      <c r="EV252" s="58"/>
      <c r="EW252" s="58"/>
      <c r="EX252" s="58"/>
      <c r="EY252" s="58"/>
      <c r="EZ252" s="85"/>
    </row>
    <row r="253" spans="1:156">
      <c r="A253" s="95"/>
      <c r="B253" s="9"/>
      <c r="I253" s="54"/>
      <c r="J253" s="6"/>
      <c r="K253" s="6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90"/>
      <c r="AO253" s="91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91"/>
      <c r="CG253" s="6"/>
      <c r="CH253" s="91"/>
      <c r="CI253" s="91"/>
      <c r="CJ253" s="91"/>
      <c r="CK253" s="91"/>
      <c r="CL253" s="6"/>
      <c r="CM253" s="6"/>
      <c r="CN253" s="6"/>
      <c r="CO253" s="6"/>
      <c r="CP253" s="6"/>
      <c r="CQ253" s="6"/>
      <c r="CR253" s="6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8"/>
      <c r="DK253" s="8"/>
      <c r="DL253" s="8"/>
      <c r="DM253" s="8"/>
      <c r="DN253" s="55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83"/>
      <c r="EC253" s="83"/>
      <c r="ED253" s="83"/>
      <c r="EE253" s="83"/>
      <c r="EF253" s="83"/>
      <c r="EG253" s="83"/>
      <c r="EH253" s="83"/>
      <c r="EI253" s="83"/>
      <c r="EJ253" s="83"/>
      <c r="EK253" s="2"/>
      <c r="EO253" s="2"/>
      <c r="ES253" s="58"/>
      <c r="ET253" s="58"/>
      <c r="EU253" s="58"/>
      <c r="EV253" s="58"/>
      <c r="EW253" s="58"/>
      <c r="EX253" s="58"/>
      <c r="EY253" s="58"/>
      <c r="EZ253" s="85"/>
    </row>
    <row r="254" spans="1:156">
      <c r="A254" s="95"/>
      <c r="B254" s="9"/>
      <c r="I254" s="54"/>
      <c r="J254" s="6"/>
      <c r="K254" s="6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90"/>
      <c r="AO254" s="91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91"/>
      <c r="CG254" s="6"/>
      <c r="CH254" s="91"/>
      <c r="CI254" s="91"/>
      <c r="CJ254" s="91"/>
      <c r="CK254" s="91"/>
      <c r="CL254" s="6"/>
      <c r="CM254" s="6"/>
      <c r="CN254" s="6"/>
      <c r="CO254" s="6"/>
      <c r="CP254" s="6"/>
      <c r="CQ254" s="6"/>
      <c r="CR254" s="6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8"/>
      <c r="DK254" s="8"/>
      <c r="DL254" s="8"/>
      <c r="DM254" s="8"/>
      <c r="DN254" s="55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83"/>
      <c r="EC254" s="83"/>
      <c r="ED254" s="83"/>
      <c r="EE254" s="83"/>
      <c r="EF254" s="83"/>
      <c r="EG254" s="83"/>
      <c r="EH254" s="83"/>
      <c r="EI254" s="83"/>
      <c r="EJ254" s="83"/>
      <c r="EK254" s="2"/>
      <c r="EO254" s="2"/>
      <c r="ES254" s="58"/>
      <c r="ET254" s="58"/>
      <c r="EU254" s="58"/>
      <c r="EV254" s="58"/>
      <c r="EW254" s="58"/>
      <c r="EX254" s="58"/>
      <c r="EY254" s="58"/>
      <c r="EZ254" s="85"/>
    </row>
    <row r="255" spans="1:156">
      <c r="A255" s="95"/>
      <c r="B255" s="9"/>
      <c r="I255" s="54"/>
      <c r="J255" s="6"/>
      <c r="K255" s="6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90"/>
      <c r="AO255" s="91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91"/>
      <c r="CG255" s="6"/>
      <c r="CH255" s="91"/>
      <c r="CI255" s="91"/>
      <c r="CJ255" s="91"/>
      <c r="CK255" s="91"/>
      <c r="CL255" s="6"/>
      <c r="CM255" s="6"/>
      <c r="CN255" s="6"/>
      <c r="CO255" s="6"/>
      <c r="CP255" s="6"/>
      <c r="CQ255" s="6"/>
      <c r="CR255" s="6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8"/>
      <c r="DK255" s="8"/>
      <c r="DL255" s="8"/>
      <c r="DM255" s="8"/>
      <c r="DN255" s="55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83"/>
      <c r="EC255" s="83"/>
      <c r="ED255" s="83"/>
      <c r="EE255" s="83"/>
      <c r="EF255" s="83"/>
      <c r="EG255" s="83"/>
      <c r="EH255" s="83"/>
      <c r="EI255" s="83"/>
      <c r="EJ255" s="83"/>
      <c r="EK255" s="2"/>
      <c r="EO255" s="2"/>
      <c r="ES255" s="58"/>
      <c r="ET255" s="58"/>
      <c r="EU255" s="58"/>
      <c r="EV255" s="58"/>
      <c r="EW255" s="58"/>
      <c r="EX255" s="58"/>
      <c r="EY255" s="58"/>
      <c r="EZ255" s="85"/>
    </row>
    <row r="256" spans="1:156">
      <c r="A256" s="95"/>
      <c r="B256" s="9"/>
      <c r="I256" s="54"/>
      <c r="J256" s="6"/>
      <c r="K256" s="6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90"/>
      <c r="AO256" s="91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91"/>
      <c r="CG256" s="6"/>
      <c r="CH256" s="91"/>
      <c r="CI256" s="91"/>
      <c r="CJ256" s="91"/>
      <c r="CK256" s="91"/>
      <c r="CL256" s="6"/>
      <c r="CM256" s="6"/>
      <c r="CN256" s="6"/>
      <c r="CO256" s="6"/>
      <c r="CP256" s="6"/>
      <c r="CQ256" s="6"/>
      <c r="CR256" s="6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8"/>
      <c r="DK256" s="8"/>
      <c r="DL256" s="8"/>
      <c r="DM256" s="8"/>
      <c r="DN256" s="55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83"/>
      <c r="EC256" s="83"/>
      <c r="ED256" s="83"/>
      <c r="EE256" s="83"/>
      <c r="EF256" s="83"/>
      <c r="EG256" s="83"/>
      <c r="EH256" s="83"/>
      <c r="EI256" s="83"/>
      <c r="EJ256" s="83"/>
      <c r="EK256" s="2"/>
      <c r="EO256" s="2"/>
      <c r="ES256" s="58"/>
      <c r="ET256" s="58"/>
      <c r="EU256" s="58"/>
      <c r="EV256" s="58"/>
      <c r="EW256" s="58"/>
      <c r="EX256" s="58"/>
      <c r="EY256" s="58"/>
      <c r="EZ256" s="85"/>
    </row>
    <row r="257" spans="1:156">
      <c r="A257" s="95"/>
      <c r="B257" s="9"/>
      <c r="I257" s="54"/>
      <c r="J257" s="6"/>
      <c r="K257" s="6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90"/>
      <c r="AO257" s="91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91"/>
      <c r="CG257" s="6"/>
      <c r="CH257" s="91"/>
      <c r="CI257" s="91"/>
      <c r="CJ257" s="91"/>
      <c r="CK257" s="91"/>
      <c r="CL257" s="6"/>
      <c r="CM257" s="6"/>
      <c r="CN257" s="6"/>
      <c r="CO257" s="6"/>
      <c r="CP257" s="6"/>
      <c r="CQ257" s="6"/>
      <c r="CR257" s="6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8"/>
      <c r="DK257" s="8"/>
      <c r="DL257" s="8"/>
      <c r="DM257" s="8"/>
      <c r="DN257" s="55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83"/>
      <c r="EC257" s="83"/>
      <c r="ED257" s="83"/>
      <c r="EE257" s="83"/>
      <c r="EF257" s="83"/>
      <c r="EG257" s="83"/>
      <c r="EH257" s="83"/>
      <c r="EI257" s="83"/>
      <c r="EJ257" s="83"/>
      <c r="EK257" s="2"/>
      <c r="EO257" s="2"/>
      <c r="ES257" s="58"/>
      <c r="ET257" s="58"/>
      <c r="EU257" s="58"/>
      <c r="EV257" s="58"/>
      <c r="EW257" s="58"/>
      <c r="EX257" s="58"/>
      <c r="EY257" s="58"/>
      <c r="EZ257" s="85"/>
    </row>
    <row r="258" spans="1:156">
      <c r="A258" s="95"/>
      <c r="B258" s="9"/>
      <c r="I258" s="54"/>
      <c r="J258" s="6"/>
      <c r="K258" s="6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90"/>
      <c r="AO258" s="91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91"/>
      <c r="CG258" s="6"/>
      <c r="CH258" s="91"/>
      <c r="CI258" s="91"/>
      <c r="CJ258" s="91"/>
      <c r="CK258" s="91"/>
      <c r="CL258" s="6"/>
      <c r="CM258" s="6"/>
      <c r="CN258" s="6"/>
      <c r="CO258" s="6"/>
      <c r="CP258" s="6"/>
      <c r="CQ258" s="6"/>
      <c r="CR258" s="6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8"/>
      <c r="DK258" s="8"/>
      <c r="DL258" s="8"/>
      <c r="DM258" s="8"/>
      <c r="DN258" s="55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83"/>
      <c r="EC258" s="83"/>
      <c r="ED258" s="83"/>
      <c r="EE258" s="83"/>
      <c r="EF258" s="83"/>
      <c r="EG258" s="83"/>
      <c r="EH258" s="83"/>
      <c r="EI258" s="83"/>
      <c r="EJ258" s="83"/>
      <c r="EK258" s="2"/>
      <c r="EO258" s="2"/>
      <c r="ES258" s="58"/>
      <c r="ET258" s="58"/>
      <c r="EU258" s="58"/>
      <c r="EV258" s="58"/>
      <c r="EW258" s="58"/>
      <c r="EX258" s="58"/>
      <c r="EY258" s="58"/>
      <c r="EZ258" s="85"/>
    </row>
    <row r="259" spans="1:156">
      <c r="A259" s="95"/>
      <c r="B259" s="9"/>
      <c r="I259" s="54"/>
      <c r="J259" s="6"/>
      <c r="K259" s="6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90"/>
      <c r="AO259" s="91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91"/>
      <c r="CG259" s="6"/>
      <c r="CH259" s="91"/>
      <c r="CI259" s="91"/>
      <c r="CJ259" s="91"/>
      <c r="CK259" s="91"/>
      <c r="CL259" s="6"/>
      <c r="CM259" s="6"/>
      <c r="CN259" s="6"/>
      <c r="CO259" s="6"/>
      <c r="CP259" s="6"/>
      <c r="CQ259" s="6"/>
      <c r="CR259" s="6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8"/>
      <c r="DK259" s="8"/>
      <c r="DL259" s="8"/>
      <c r="DM259" s="8"/>
      <c r="DN259" s="55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83"/>
      <c r="EC259" s="83"/>
      <c r="ED259" s="83"/>
      <c r="EE259" s="83"/>
      <c r="EF259" s="83"/>
      <c r="EG259" s="83"/>
      <c r="EH259" s="83"/>
      <c r="EI259" s="83"/>
      <c r="EJ259" s="83"/>
      <c r="EK259" s="2"/>
      <c r="EO259" s="2"/>
      <c r="ES259" s="58"/>
      <c r="ET259" s="58"/>
      <c r="EU259" s="58"/>
      <c r="EV259" s="58"/>
      <c r="EW259" s="58"/>
      <c r="EX259" s="58"/>
      <c r="EY259" s="58"/>
      <c r="EZ259" s="85"/>
    </row>
    <row r="260" spans="1:156">
      <c r="A260" s="95"/>
      <c r="B260" s="9"/>
      <c r="I260" s="54"/>
      <c r="J260" s="6"/>
      <c r="K260" s="6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90"/>
      <c r="AO260" s="91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91"/>
      <c r="CG260" s="6"/>
      <c r="CH260" s="91"/>
      <c r="CI260" s="91"/>
      <c r="CJ260" s="91"/>
      <c r="CK260" s="91"/>
      <c r="CL260" s="6"/>
      <c r="CM260" s="6"/>
      <c r="CN260" s="6"/>
      <c r="CO260" s="6"/>
      <c r="CP260" s="6"/>
      <c r="CQ260" s="6"/>
      <c r="CR260" s="6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8"/>
      <c r="DK260" s="8"/>
      <c r="DL260" s="8"/>
      <c r="DM260" s="8"/>
      <c r="DN260" s="55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83"/>
      <c r="EC260" s="83"/>
      <c r="ED260" s="83"/>
      <c r="EE260" s="83"/>
      <c r="EF260" s="83"/>
      <c r="EG260" s="83"/>
      <c r="EH260" s="83"/>
      <c r="EI260" s="83"/>
      <c r="EJ260" s="83"/>
      <c r="EK260" s="2"/>
      <c r="EO260" s="2"/>
      <c r="ES260" s="58"/>
      <c r="ET260" s="58"/>
      <c r="EU260" s="58"/>
      <c r="EV260" s="58"/>
      <c r="EW260" s="58"/>
      <c r="EX260" s="58"/>
      <c r="EY260" s="58"/>
      <c r="EZ260" s="85"/>
    </row>
    <row r="261" spans="1:156">
      <c r="A261" s="95"/>
      <c r="B261" s="9"/>
      <c r="I261" s="54"/>
      <c r="J261" s="6"/>
      <c r="K261" s="6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90"/>
      <c r="AO261" s="91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91"/>
      <c r="CG261" s="6"/>
      <c r="CH261" s="91"/>
      <c r="CI261" s="91"/>
      <c r="CJ261" s="91"/>
      <c r="CK261" s="91"/>
      <c r="CL261" s="6"/>
      <c r="CM261" s="6"/>
      <c r="CN261" s="6"/>
      <c r="CO261" s="6"/>
      <c r="CP261" s="6"/>
      <c r="CQ261" s="6"/>
      <c r="CR261" s="6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8"/>
      <c r="DK261" s="8"/>
      <c r="DL261" s="8"/>
      <c r="DM261" s="8"/>
      <c r="DN261" s="55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83"/>
      <c r="EC261" s="83"/>
      <c r="ED261" s="83"/>
      <c r="EE261" s="83"/>
      <c r="EF261" s="83"/>
      <c r="EG261" s="83"/>
      <c r="EH261" s="83"/>
      <c r="EI261" s="83"/>
      <c r="EJ261" s="83"/>
      <c r="EK261" s="2"/>
      <c r="EO261" s="2"/>
      <c r="ES261" s="58"/>
      <c r="ET261" s="58"/>
      <c r="EU261" s="58"/>
      <c r="EV261" s="58"/>
      <c r="EW261" s="58"/>
      <c r="EX261" s="58"/>
      <c r="EY261" s="58"/>
      <c r="EZ261" s="85"/>
    </row>
    <row r="262" spans="1:156">
      <c r="A262" s="95"/>
      <c r="B262" s="9"/>
      <c r="I262" s="54"/>
      <c r="J262" s="6"/>
      <c r="K262" s="6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90"/>
      <c r="AO262" s="91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91"/>
      <c r="CG262" s="6"/>
      <c r="CH262" s="91"/>
      <c r="CI262" s="91"/>
      <c r="CJ262" s="91"/>
      <c r="CK262" s="91"/>
      <c r="CL262" s="6"/>
      <c r="CM262" s="6"/>
      <c r="CN262" s="6"/>
      <c r="CO262" s="6"/>
      <c r="CP262" s="6"/>
      <c r="CQ262" s="6"/>
      <c r="CR262" s="6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8"/>
      <c r="DK262" s="8"/>
      <c r="DL262" s="8"/>
      <c r="DM262" s="8"/>
      <c r="DN262" s="55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83"/>
      <c r="EC262" s="83"/>
      <c r="ED262" s="83"/>
      <c r="EE262" s="83"/>
      <c r="EF262" s="83"/>
      <c r="EG262" s="83"/>
      <c r="EH262" s="83"/>
      <c r="EI262" s="83"/>
      <c r="EJ262" s="83"/>
      <c r="EK262" s="2"/>
      <c r="EO262" s="2"/>
      <c r="ES262" s="58"/>
      <c r="ET262" s="58"/>
      <c r="EU262" s="58"/>
      <c r="EV262" s="58"/>
      <c r="EW262" s="58"/>
      <c r="EX262" s="58"/>
      <c r="EY262" s="58"/>
      <c r="EZ262" s="85"/>
    </row>
    <row r="263" spans="1:156">
      <c r="A263" s="95"/>
      <c r="B263" s="9"/>
      <c r="I263" s="54"/>
      <c r="J263" s="6"/>
      <c r="K263" s="6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90"/>
      <c r="AO263" s="91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91"/>
      <c r="CG263" s="6"/>
      <c r="CH263" s="91"/>
      <c r="CI263" s="91"/>
      <c r="CJ263" s="91"/>
      <c r="CK263" s="91"/>
      <c r="CL263" s="6"/>
      <c r="CM263" s="6"/>
      <c r="CN263" s="6"/>
      <c r="CO263" s="6"/>
      <c r="CP263" s="6"/>
      <c r="CQ263" s="6"/>
      <c r="CR263" s="6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8"/>
      <c r="DK263" s="8"/>
      <c r="DL263" s="8"/>
      <c r="DM263" s="8"/>
      <c r="DN263" s="55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83"/>
      <c r="EC263" s="83"/>
      <c r="ED263" s="83"/>
      <c r="EE263" s="83"/>
      <c r="EF263" s="83"/>
      <c r="EG263" s="83"/>
      <c r="EH263" s="83"/>
      <c r="EI263" s="83"/>
      <c r="EJ263" s="83"/>
      <c r="EK263" s="2"/>
      <c r="EO263" s="2"/>
      <c r="ES263" s="58"/>
      <c r="ET263" s="58"/>
      <c r="EU263" s="58"/>
      <c r="EV263" s="58"/>
      <c r="EW263" s="58"/>
      <c r="EX263" s="58"/>
      <c r="EY263" s="58"/>
      <c r="EZ263" s="85"/>
    </row>
    <row r="264" spans="1:156">
      <c r="A264" s="95"/>
      <c r="B264" s="9"/>
      <c r="I264" s="54"/>
      <c r="J264" s="6"/>
      <c r="K264" s="6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90"/>
      <c r="AO264" s="91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91"/>
      <c r="CG264" s="6"/>
      <c r="CH264" s="91"/>
      <c r="CI264" s="91"/>
      <c r="CJ264" s="91"/>
      <c r="CK264" s="91"/>
      <c r="CL264" s="6"/>
      <c r="CM264" s="6"/>
      <c r="CN264" s="6"/>
      <c r="CO264" s="6"/>
      <c r="CP264" s="6"/>
      <c r="CQ264" s="6"/>
      <c r="CR264" s="6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8"/>
      <c r="DK264" s="8"/>
      <c r="DL264" s="8"/>
      <c r="DM264" s="8"/>
      <c r="DN264" s="55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83"/>
      <c r="EC264" s="83"/>
      <c r="ED264" s="83"/>
      <c r="EE264" s="83"/>
      <c r="EF264" s="83"/>
      <c r="EG264" s="83"/>
      <c r="EH264" s="83"/>
      <c r="EI264" s="83"/>
      <c r="EJ264" s="83"/>
      <c r="EK264" s="2"/>
      <c r="EO264" s="2"/>
      <c r="ES264" s="58"/>
      <c r="ET264" s="58"/>
      <c r="EU264" s="58"/>
      <c r="EV264" s="58"/>
      <c r="EW264" s="58"/>
      <c r="EX264" s="58"/>
      <c r="EY264" s="58"/>
      <c r="EZ264" s="85"/>
    </row>
    <row r="265" spans="1:156">
      <c r="A265" s="95"/>
      <c r="B265" s="9"/>
      <c r="I265" s="54"/>
      <c r="J265" s="6"/>
      <c r="K265" s="6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90"/>
      <c r="AO265" s="91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91"/>
      <c r="CG265" s="6"/>
      <c r="CH265" s="91"/>
      <c r="CI265" s="91"/>
      <c r="CJ265" s="91"/>
      <c r="CK265" s="91"/>
      <c r="CL265" s="6"/>
      <c r="CM265" s="6"/>
      <c r="CN265" s="6"/>
      <c r="CO265" s="6"/>
      <c r="CP265" s="6"/>
      <c r="CQ265" s="6"/>
      <c r="CR265" s="6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8"/>
      <c r="DK265" s="8"/>
      <c r="DL265" s="8"/>
      <c r="DM265" s="8"/>
      <c r="DN265" s="55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83"/>
      <c r="EC265" s="83"/>
      <c r="ED265" s="83"/>
      <c r="EE265" s="83"/>
      <c r="EF265" s="83"/>
      <c r="EG265" s="83"/>
      <c r="EH265" s="83"/>
      <c r="EI265" s="83"/>
      <c r="EJ265" s="83"/>
      <c r="EK265" s="2"/>
      <c r="EO265" s="2"/>
      <c r="ES265" s="58"/>
      <c r="ET265" s="58"/>
      <c r="EU265" s="58"/>
      <c r="EV265" s="58"/>
      <c r="EW265" s="58"/>
      <c r="EX265" s="58"/>
      <c r="EY265" s="58"/>
      <c r="EZ265" s="85"/>
    </row>
    <row r="266" spans="1:156">
      <c r="A266" s="95"/>
      <c r="B266" s="9"/>
      <c r="I266" s="54"/>
      <c r="J266" s="6"/>
      <c r="K266" s="6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90"/>
      <c r="AO266" s="91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91"/>
      <c r="CG266" s="6"/>
      <c r="CH266" s="91"/>
      <c r="CI266" s="91"/>
      <c r="CJ266" s="91"/>
      <c r="CK266" s="91"/>
      <c r="CL266" s="6"/>
      <c r="CM266" s="6"/>
      <c r="CN266" s="6"/>
      <c r="CO266" s="6"/>
      <c r="CP266" s="6"/>
      <c r="CQ266" s="6"/>
      <c r="CR266" s="6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8"/>
      <c r="DK266" s="8"/>
      <c r="DL266" s="8"/>
      <c r="DM266" s="8"/>
      <c r="DN266" s="55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83"/>
      <c r="EC266" s="83"/>
      <c r="ED266" s="83"/>
      <c r="EE266" s="83"/>
      <c r="EF266" s="83"/>
      <c r="EG266" s="83"/>
      <c r="EH266" s="83"/>
      <c r="EI266" s="83"/>
      <c r="EJ266" s="83"/>
      <c r="EK266" s="2"/>
      <c r="EO266" s="2"/>
      <c r="ES266" s="58"/>
      <c r="ET266" s="58"/>
      <c r="EU266" s="58"/>
      <c r="EV266" s="58"/>
      <c r="EW266" s="58"/>
      <c r="EX266" s="58"/>
      <c r="EY266" s="58"/>
      <c r="EZ266" s="85"/>
    </row>
    <row r="267" spans="1:156">
      <c r="A267" s="95"/>
      <c r="B267" s="9"/>
      <c r="I267" s="54"/>
      <c r="J267" s="6"/>
      <c r="K267" s="6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90"/>
      <c r="AO267" s="91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91"/>
      <c r="CG267" s="6"/>
      <c r="CH267" s="91"/>
      <c r="CI267" s="91"/>
      <c r="CJ267" s="91"/>
      <c r="CK267" s="91"/>
      <c r="CL267" s="6"/>
      <c r="CM267" s="6"/>
      <c r="CN267" s="6"/>
      <c r="CO267" s="6"/>
      <c r="CP267" s="6"/>
      <c r="CQ267" s="6"/>
      <c r="CR267" s="6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8"/>
      <c r="DK267" s="8"/>
      <c r="DL267" s="8"/>
      <c r="DM267" s="8"/>
      <c r="DN267" s="55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83"/>
      <c r="EC267" s="83"/>
      <c r="ED267" s="83"/>
      <c r="EE267" s="83"/>
      <c r="EF267" s="83"/>
      <c r="EG267" s="83"/>
      <c r="EH267" s="83"/>
      <c r="EI267" s="83"/>
      <c r="EJ267" s="83"/>
      <c r="EK267" s="2"/>
      <c r="EO267" s="2"/>
      <c r="ES267" s="58"/>
      <c r="ET267" s="58"/>
      <c r="EU267" s="58"/>
      <c r="EV267" s="58"/>
      <c r="EW267" s="58"/>
      <c r="EX267" s="58"/>
      <c r="EY267" s="58"/>
      <c r="EZ267" s="85"/>
    </row>
    <row r="268" spans="1:156">
      <c r="A268" s="95"/>
      <c r="B268" s="9"/>
      <c r="I268" s="54"/>
      <c r="J268" s="6"/>
      <c r="K268" s="6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90"/>
      <c r="AO268" s="91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91"/>
      <c r="CG268" s="6"/>
      <c r="CH268" s="91"/>
      <c r="CI268" s="91"/>
      <c r="CJ268" s="91"/>
      <c r="CK268" s="91"/>
      <c r="CL268" s="6"/>
      <c r="CM268" s="6"/>
      <c r="CN268" s="6"/>
      <c r="CO268" s="6"/>
      <c r="CP268" s="6"/>
      <c r="CQ268" s="6"/>
      <c r="CR268" s="6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8"/>
      <c r="DK268" s="8"/>
      <c r="DL268" s="8"/>
      <c r="DM268" s="8"/>
      <c r="DN268" s="55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83"/>
      <c r="EC268" s="83"/>
      <c r="ED268" s="83"/>
      <c r="EE268" s="83"/>
      <c r="EF268" s="83"/>
      <c r="EG268" s="83"/>
      <c r="EH268" s="83"/>
      <c r="EI268" s="83"/>
      <c r="EJ268" s="83"/>
      <c r="EK268" s="2"/>
      <c r="EO268" s="2"/>
      <c r="ES268" s="58"/>
      <c r="ET268" s="58"/>
      <c r="EU268" s="58"/>
      <c r="EV268" s="58"/>
      <c r="EW268" s="58"/>
      <c r="EX268" s="58"/>
      <c r="EY268" s="58"/>
      <c r="EZ268" s="85"/>
    </row>
    <row r="269" spans="1:156">
      <c r="A269" s="95"/>
      <c r="B269" s="9"/>
      <c r="I269" s="54"/>
      <c r="J269" s="6"/>
      <c r="K269" s="6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90"/>
      <c r="AO269" s="91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91"/>
      <c r="CG269" s="6"/>
      <c r="CH269" s="91"/>
      <c r="CI269" s="91"/>
      <c r="CJ269" s="91"/>
      <c r="CK269" s="91"/>
      <c r="CL269" s="6"/>
      <c r="CM269" s="6"/>
      <c r="CN269" s="6"/>
      <c r="CO269" s="6"/>
      <c r="CP269" s="6"/>
      <c r="CQ269" s="6"/>
      <c r="CR269" s="6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8"/>
      <c r="DK269" s="8"/>
      <c r="DL269" s="8"/>
      <c r="DM269" s="8"/>
      <c r="DN269" s="55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83"/>
      <c r="EC269" s="83"/>
      <c r="ED269" s="83"/>
      <c r="EE269" s="83"/>
      <c r="EF269" s="83"/>
      <c r="EG269" s="83"/>
      <c r="EH269" s="83"/>
      <c r="EI269" s="83"/>
      <c r="EJ269" s="83"/>
      <c r="EK269" s="2"/>
      <c r="EO269" s="2"/>
      <c r="ES269" s="58"/>
      <c r="ET269" s="58"/>
      <c r="EU269" s="58"/>
      <c r="EV269" s="58"/>
      <c r="EW269" s="58"/>
      <c r="EX269" s="58"/>
      <c r="EY269" s="58"/>
      <c r="EZ269" s="85"/>
    </row>
    <row r="270" spans="1:156">
      <c r="A270" s="95"/>
      <c r="B270" s="9"/>
      <c r="I270" s="54"/>
      <c r="J270" s="6"/>
      <c r="K270" s="6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90"/>
      <c r="AO270" s="91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91"/>
      <c r="CG270" s="6"/>
      <c r="CH270" s="91"/>
      <c r="CI270" s="91"/>
      <c r="CJ270" s="91"/>
      <c r="CK270" s="91"/>
      <c r="CL270" s="6"/>
      <c r="CM270" s="6"/>
      <c r="CN270" s="6"/>
      <c r="CO270" s="6"/>
      <c r="CP270" s="6"/>
      <c r="CQ270" s="6"/>
      <c r="CR270" s="6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8"/>
      <c r="DK270" s="8"/>
      <c r="DL270" s="8"/>
      <c r="DM270" s="8"/>
      <c r="DN270" s="55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83"/>
      <c r="EC270" s="83"/>
      <c r="ED270" s="83"/>
      <c r="EE270" s="83"/>
      <c r="EF270" s="83"/>
      <c r="EG270" s="83"/>
      <c r="EH270" s="83"/>
      <c r="EI270" s="83"/>
      <c r="EJ270" s="83"/>
      <c r="EK270" s="2"/>
      <c r="EO270" s="2"/>
      <c r="ES270" s="58"/>
      <c r="ET270" s="58"/>
      <c r="EU270" s="58"/>
      <c r="EV270" s="58"/>
      <c r="EW270" s="58"/>
      <c r="EX270" s="58"/>
      <c r="EY270" s="58"/>
      <c r="EZ270" s="85"/>
    </row>
    <row r="271" spans="1:156">
      <c r="A271" s="95"/>
      <c r="B271" s="9"/>
      <c r="I271" s="54"/>
      <c r="J271" s="6"/>
      <c r="K271" s="6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90"/>
      <c r="AO271" s="91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91"/>
      <c r="CG271" s="6"/>
      <c r="CH271" s="91"/>
      <c r="CI271" s="91"/>
      <c r="CJ271" s="91"/>
      <c r="CK271" s="91"/>
      <c r="CL271" s="6"/>
      <c r="CM271" s="6"/>
      <c r="CN271" s="6"/>
      <c r="CO271" s="6"/>
      <c r="CP271" s="6"/>
      <c r="CQ271" s="6"/>
      <c r="CR271" s="6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8"/>
      <c r="DK271" s="8"/>
      <c r="DL271" s="8"/>
      <c r="DM271" s="8"/>
      <c r="DN271" s="55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83"/>
      <c r="EC271" s="83"/>
      <c r="ED271" s="83"/>
      <c r="EE271" s="83"/>
      <c r="EF271" s="83"/>
      <c r="EG271" s="83"/>
      <c r="EH271" s="83"/>
      <c r="EI271" s="83"/>
      <c r="EJ271" s="83"/>
      <c r="EK271" s="2"/>
      <c r="EO271" s="2"/>
      <c r="ES271" s="58"/>
      <c r="ET271" s="58"/>
      <c r="EU271" s="58"/>
      <c r="EV271" s="58"/>
      <c r="EW271" s="58"/>
      <c r="EX271" s="58"/>
      <c r="EY271" s="58"/>
      <c r="EZ271" s="85"/>
    </row>
    <row r="272" spans="1:156">
      <c r="A272" s="95"/>
      <c r="B272" s="9"/>
      <c r="I272" s="54"/>
      <c r="J272" s="6"/>
      <c r="K272" s="6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90"/>
      <c r="AO272" s="91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91"/>
      <c r="CG272" s="6"/>
      <c r="CH272" s="91"/>
      <c r="CI272" s="91"/>
      <c r="CJ272" s="91"/>
      <c r="CK272" s="91"/>
      <c r="CL272" s="6"/>
      <c r="CM272" s="6"/>
      <c r="CN272" s="6"/>
      <c r="CO272" s="6"/>
      <c r="CP272" s="6"/>
      <c r="CQ272" s="6"/>
      <c r="CR272" s="6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8"/>
      <c r="DK272" s="8"/>
      <c r="DL272" s="8"/>
      <c r="DM272" s="8"/>
      <c r="DN272" s="55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83"/>
      <c r="EC272" s="83"/>
      <c r="ED272" s="83"/>
      <c r="EE272" s="83"/>
      <c r="EF272" s="83"/>
      <c r="EG272" s="83"/>
      <c r="EH272" s="83"/>
      <c r="EI272" s="83"/>
      <c r="EJ272" s="83"/>
      <c r="EK272" s="2"/>
      <c r="EO272" s="2"/>
      <c r="ES272" s="58"/>
      <c r="ET272" s="58"/>
      <c r="EU272" s="58"/>
      <c r="EV272" s="58"/>
      <c r="EW272" s="58"/>
      <c r="EX272" s="58"/>
      <c r="EY272" s="58"/>
      <c r="EZ272" s="85"/>
    </row>
    <row r="273" spans="1:156">
      <c r="A273" s="95"/>
      <c r="B273" s="9"/>
      <c r="I273" s="54"/>
      <c r="J273" s="6"/>
      <c r="K273" s="6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90"/>
      <c r="AO273" s="91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91"/>
      <c r="CG273" s="6"/>
      <c r="CH273" s="91"/>
      <c r="CI273" s="91"/>
      <c r="CJ273" s="91"/>
      <c r="CK273" s="91"/>
      <c r="CL273" s="6"/>
      <c r="CM273" s="6"/>
      <c r="CN273" s="6"/>
      <c r="CO273" s="6"/>
      <c r="CP273" s="6"/>
      <c r="CQ273" s="6"/>
      <c r="CR273" s="6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8"/>
      <c r="DK273" s="8"/>
      <c r="DL273" s="8"/>
      <c r="DM273" s="8"/>
      <c r="DN273" s="55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83"/>
      <c r="EC273" s="83"/>
      <c r="ED273" s="83"/>
      <c r="EE273" s="83"/>
      <c r="EF273" s="83"/>
      <c r="EG273" s="83"/>
      <c r="EH273" s="83"/>
      <c r="EI273" s="83"/>
      <c r="EJ273" s="83"/>
      <c r="EK273" s="2"/>
      <c r="EO273" s="2"/>
      <c r="ES273" s="58"/>
      <c r="ET273" s="58"/>
      <c r="EU273" s="58"/>
      <c r="EV273" s="58"/>
      <c r="EW273" s="58"/>
      <c r="EX273" s="58"/>
      <c r="EY273" s="58"/>
      <c r="EZ273" s="85"/>
    </row>
    <row r="274" spans="1:156">
      <c r="A274" s="95"/>
      <c r="B274" s="9"/>
      <c r="I274" s="54"/>
      <c r="J274" s="6"/>
      <c r="K274" s="6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90"/>
      <c r="AO274" s="91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91"/>
      <c r="CG274" s="6"/>
      <c r="CH274" s="91"/>
      <c r="CI274" s="91"/>
      <c r="CJ274" s="91"/>
      <c r="CK274" s="91"/>
      <c r="CL274" s="6"/>
      <c r="CM274" s="6"/>
      <c r="CN274" s="6"/>
      <c r="CO274" s="6"/>
      <c r="CP274" s="6"/>
      <c r="CQ274" s="6"/>
      <c r="CR274" s="6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8"/>
      <c r="DK274" s="8"/>
      <c r="DL274" s="8"/>
      <c r="DM274" s="8"/>
      <c r="DN274" s="55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83"/>
      <c r="EC274" s="83"/>
      <c r="ED274" s="83"/>
      <c r="EE274" s="83"/>
      <c r="EF274" s="83"/>
      <c r="EG274" s="83"/>
      <c r="EH274" s="83"/>
      <c r="EI274" s="83"/>
      <c r="EJ274" s="83"/>
      <c r="EK274" s="2"/>
      <c r="EO274" s="2"/>
      <c r="ES274" s="58"/>
      <c r="ET274" s="58"/>
      <c r="EU274" s="58"/>
      <c r="EV274" s="58"/>
      <c r="EW274" s="58"/>
      <c r="EX274" s="58"/>
      <c r="EY274" s="58"/>
      <c r="EZ274" s="85"/>
    </row>
    <row r="275" spans="1:156">
      <c r="A275" s="95"/>
      <c r="B275" s="9"/>
      <c r="I275" s="54"/>
      <c r="J275" s="6"/>
      <c r="K275" s="6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90"/>
      <c r="AO275" s="91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91"/>
      <c r="CG275" s="6"/>
      <c r="CH275" s="91"/>
      <c r="CI275" s="91"/>
      <c r="CJ275" s="91"/>
      <c r="CK275" s="91"/>
      <c r="CL275" s="6"/>
      <c r="CM275" s="6"/>
      <c r="CN275" s="6"/>
      <c r="CO275" s="6"/>
      <c r="CP275" s="6"/>
      <c r="CQ275" s="6"/>
      <c r="CR275" s="6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8"/>
      <c r="DK275" s="8"/>
      <c r="DL275" s="8"/>
      <c r="DM275" s="8"/>
      <c r="DN275" s="55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83"/>
      <c r="EC275" s="83"/>
      <c r="ED275" s="83"/>
      <c r="EE275" s="83"/>
      <c r="EF275" s="83"/>
      <c r="EG275" s="83"/>
      <c r="EH275" s="83"/>
      <c r="EI275" s="83"/>
      <c r="EJ275" s="83"/>
      <c r="EK275" s="2"/>
      <c r="EO275" s="2"/>
      <c r="ES275" s="58"/>
      <c r="ET275" s="58"/>
      <c r="EU275" s="58"/>
      <c r="EV275" s="58"/>
      <c r="EW275" s="58"/>
      <c r="EX275" s="58"/>
      <c r="EY275" s="58"/>
      <c r="EZ275" s="85"/>
    </row>
    <row r="276" spans="1:156">
      <c r="A276" s="95"/>
      <c r="B276" s="9"/>
      <c r="I276" s="54"/>
      <c r="J276" s="6"/>
      <c r="K276" s="6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90"/>
      <c r="AO276" s="91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91"/>
      <c r="CG276" s="6"/>
      <c r="CH276" s="91"/>
      <c r="CI276" s="91"/>
      <c r="CJ276" s="91"/>
      <c r="CK276" s="91"/>
      <c r="CL276" s="6"/>
      <c r="CM276" s="6"/>
      <c r="CN276" s="6"/>
      <c r="CO276" s="6"/>
      <c r="CP276" s="6"/>
      <c r="CQ276" s="6"/>
      <c r="CR276" s="6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8"/>
      <c r="DK276" s="8"/>
      <c r="DL276" s="8"/>
      <c r="DM276" s="8"/>
      <c r="DN276" s="55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83"/>
      <c r="EC276" s="83"/>
      <c r="ED276" s="83"/>
      <c r="EE276" s="83"/>
      <c r="EF276" s="83"/>
      <c r="EG276" s="83"/>
      <c r="EH276" s="83"/>
      <c r="EI276" s="83"/>
      <c r="EJ276" s="83"/>
      <c r="EK276" s="2"/>
      <c r="EO276" s="2"/>
      <c r="ES276" s="58"/>
      <c r="ET276" s="58"/>
      <c r="EU276" s="58"/>
      <c r="EV276" s="58"/>
      <c r="EW276" s="58"/>
      <c r="EX276" s="58"/>
      <c r="EY276" s="58"/>
      <c r="EZ276" s="85"/>
    </row>
    <row r="277" spans="1:156">
      <c r="A277" s="95"/>
      <c r="B277" s="9"/>
      <c r="I277" s="54"/>
      <c r="J277" s="6"/>
      <c r="K277" s="6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90"/>
      <c r="AO277" s="91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91"/>
      <c r="CG277" s="6"/>
      <c r="CH277" s="91"/>
      <c r="CI277" s="91"/>
      <c r="CJ277" s="91"/>
      <c r="CK277" s="91"/>
      <c r="CL277" s="6"/>
      <c r="CM277" s="6"/>
      <c r="CN277" s="6"/>
      <c r="CO277" s="6"/>
      <c r="CP277" s="6"/>
      <c r="CQ277" s="6"/>
      <c r="CR277" s="6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8"/>
      <c r="DK277" s="8"/>
      <c r="DL277" s="8"/>
      <c r="DM277" s="8"/>
      <c r="DN277" s="55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83"/>
      <c r="EC277" s="83"/>
      <c r="ED277" s="83"/>
      <c r="EE277" s="83"/>
      <c r="EF277" s="83"/>
      <c r="EG277" s="83"/>
      <c r="EH277" s="83"/>
      <c r="EI277" s="83"/>
      <c r="EJ277" s="83"/>
      <c r="EK277" s="2"/>
      <c r="EO277" s="2"/>
      <c r="ES277" s="58"/>
      <c r="ET277" s="58"/>
      <c r="EU277" s="58"/>
      <c r="EV277" s="58"/>
      <c r="EW277" s="58"/>
      <c r="EX277" s="58"/>
      <c r="EY277" s="58"/>
      <c r="EZ277" s="85"/>
    </row>
    <row r="278" spans="1:156">
      <c r="A278" s="95"/>
      <c r="B278" s="9"/>
      <c r="I278" s="54"/>
      <c r="J278" s="6"/>
      <c r="K278" s="6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90"/>
      <c r="AO278" s="91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91"/>
      <c r="CG278" s="6"/>
      <c r="CH278" s="91"/>
      <c r="CI278" s="91"/>
      <c r="CJ278" s="91"/>
      <c r="CK278" s="91"/>
      <c r="CL278" s="6"/>
      <c r="CM278" s="6"/>
      <c r="CN278" s="6"/>
      <c r="CO278" s="6"/>
      <c r="CP278" s="6"/>
      <c r="CQ278" s="6"/>
      <c r="CR278" s="6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8"/>
      <c r="DK278" s="8"/>
      <c r="DL278" s="8"/>
      <c r="DM278" s="8"/>
      <c r="DN278" s="55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83"/>
      <c r="EC278" s="83"/>
      <c r="ED278" s="83"/>
      <c r="EE278" s="83"/>
      <c r="EF278" s="83"/>
      <c r="EG278" s="83"/>
      <c r="EH278" s="83"/>
      <c r="EI278" s="83"/>
      <c r="EJ278" s="83"/>
      <c r="EK278" s="2"/>
      <c r="EO278" s="2"/>
      <c r="ES278" s="58"/>
      <c r="ET278" s="58"/>
      <c r="EU278" s="58"/>
      <c r="EV278" s="58"/>
      <c r="EW278" s="58"/>
      <c r="EX278" s="58"/>
      <c r="EY278" s="58"/>
      <c r="EZ278" s="85"/>
    </row>
    <row r="279" spans="1:156">
      <c r="A279" s="95"/>
      <c r="B279" s="9"/>
      <c r="I279" s="54"/>
      <c r="J279" s="6"/>
      <c r="K279" s="6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90"/>
      <c r="AO279" s="91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91"/>
      <c r="CG279" s="6"/>
      <c r="CH279" s="91"/>
      <c r="CI279" s="91"/>
      <c r="CJ279" s="91"/>
      <c r="CK279" s="91"/>
      <c r="CL279" s="6"/>
      <c r="CM279" s="6"/>
      <c r="CN279" s="6"/>
      <c r="CO279" s="6"/>
      <c r="CP279" s="6"/>
      <c r="CQ279" s="6"/>
      <c r="CR279" s="6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8"/>
      <c r="DK279" s="8"/>
      <c r="DL279" s="8"/>
      <c r="DM279" s="8"/>
      <c r="DN279" s="55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83"/>
      <c r="EC279" s="83"/>
      <c r="ED279" s="83"/>
      <c r="EE279" s="83"/>
      <c r="EF279" s="83"/>
      <c r="EG279" s="83"/>
      <c r="EH279" s="83"/>
      <c r="EI279" s="83"/>
      <c r="EJ279" s="83"/>
      <c r="EK279" s="2"/>
      <c r="EO279" s="2"/>
      <c r="ES279" s="58"/>
      <c r="ET279" s="58"/>
      <c r="EU279" s="58"/>
      <c r="EV279" s="58"/>
      <c r="EW279" s="58"/>
      <c r="EX279" s="58"/>
      <c r="EY279" s="58"/>
      <c r="EZ279" s="85"/>
    </row>
    <row r="280" spans="1:156">
      <c r="A280" s="95"/>
      <c r="B280" s="9"/>
      <c r="I280" s="54"/>
      <c r="J280" s="6"/>
      <c r="K280" s="6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90"/>
      <c r="AO280" s="91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91"/>
      <c r="CG280" s="6"/>
      <c r="CH280" s="91"/>
      <c r="CI280" s="91"/>
      <c r="CJ280" s="91"/>
      <c r="CK280" s="91"/>
      <c r="CL280" s="6"/>
      <c r="CM280" s="6"/>
      <c r="CN280" s="6"/>
      <c r="CO280" s="6"/>
      <c r="CP280" s="6"/>
      <c r="CQ280" s="6"/>
      <c r="CR280" s="6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8"/>
      <c r="DK280" s="8"/>
      <c r="DL280" s="8"/>
      <c r="DM280" s="8"/>
      <c r="DN280" s="55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83"/>
      <c r="EC280" s="83"/>
      <c r="ED280" s="83"/>
      <c r="EE280" s="83"/>
      <c r="EF280" s="83"/>
      <c r="EG280" s="83"/>
      <c r="EH280" s="83"/>
      <c r="EI280" s="83"/>
      <c r="EJ280" s="83"/>
      <c r="EK280" s="2"/>
      <c r="EO280" s="2"/>
      <c r="ES280" s="58"/>
      <c r="ET280" s="58"/>
      <c r="EU280" s="58"/>
      <c r="EV280" s="58"/>
      <c r="EW280" s="58"/>
      <c r="EX280" s="58"/>
      <c r="EY280" s="58"/>
      <c r="EZ280" s="85"/>
    </row>
    <row r="281" spans="1:156">
      <c r="A281" s="95"/>
      <c r="B281" s="9"/>
      <c r="I281" s="54"/>
      <c r="J281" s="6"/>
      <c r="K281" s="6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90"/>
      <c r="AO281" s="91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91"/>
      <c r="CG281" s="6"/>
      <c r="CH281" s="91"/>
      <c r="CI281" s="91"/>
      <c r="CJ281" s="91"/>
      <c r="CK281" s="91"/>
      <c r="CL281" s="6"/>
      <c r="CM281" s="6"/>
      <c r="CN281" s="6"/>
      <c r="CO281" s="6"/>
      <c r="CP281" s="6"/>
      <c r="CQ281" s="6"/>
      <c r="CR281" s="6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8"/>
      <c r="DK281" s="8"/>
      <c r="DL281" s="8"/>
      <c r="DM281" s="8"/>
      <c r="DN281" s="55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83"/>
      <c r="EC281" s="83"/>
      <c r="ED281" s="83"/>
      <c r="EE281" s="83"/>
      <c r="EF281" s="83"/>
      <c r="EG281" s="83"/>
      <c r="EH281" s="83"/>
      <c r="EI281" s="83"/>
      <c r="EJ281" s="83"/>
      <c r="EK281" s="2"/>
      <c r="EO281" s="2"/>
      <c r="ES281" s="58"/>
      <c r="ET281" s="58"/>
      <c r="EU281" s="58"/>
      <c r="EV281" s="58"/>
      <c r="EW281" s="58"/>
      <c r="EX281" s="58"/>
      <c r="EY281" s="58"/>
      <c r="EZ281" s="85"/>
    </row>
    <row r="282" spans="1:156">
      <c r="A282" s="95"/>
      <c r="B282" s="9"/>
      <c r="I282" s="54"/>
      <c r="J282" s="6"/>
      <c r="K282" s="6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90"/>
      <c r="AO282" s="91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91"/>
      <c r="CG282" s="6"/>
      <c r="CH282" s="91"/>
      <c r="CI282" s="91"/>
      <c r="CJ282" s="91"/>
      <c r="CK282" s="91"/>
      <c r="CL282" s="6"/>
      <c r="CM282" s="6"/>
      <c r="CN282" s="6"/>
      <c r="CO282" s="6"/>
      <c r="CP282" s="6"/>
      <c r="CQ282" s="6"/>
      <c r="CR282" s="6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8"/>
      <c r="DK282" s="8"/>
      <c r="DL282" s="8"/>
      <c r="DM282" s="8"/>
      <c r="DN282" s="55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83"/>
      <c r="EC282" s="83"/>
      <c r="ED282" s="83"/>
      <c r="EE282" s="83"/>
      <c r="EF282" s="83"/>
      <c r="EG282" s="83"/>
      <c r="EH282" s="83"/>
      <c r="EI282" s="83"/>
      <c r="EJ282" s="83"/>
      <c r="EK282" s="2"/>
      <c r="EO282" s="2"/>
      <c r="ES282" s="58"/>
      <c r="ET282" s="58"/>
      <c r="EU282" s="58"/>
      <c r="EV282" s="58"/>
      <c r="EW282" s="58"/>
      <c r="EX282" s="58"/>
      <c r="EY282" s="58"/>
      <c r="EZ282" s="85"/>
    </row>
    <row r="283" spans="1:156">
      <c r="A283" s="95"/>
      <c r="B283" s="9"/>
      <c r="I283" s="54"/>
      <c r="J283" s="6"/>
      <c r="K283" s="6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90"/>
      <c r="AO283" s="91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91"/>
      <c r="CG283" s="6"/>
      <c r="CH283" s="91"/>
      <c r="CI283" s="91"/>
      <c r="CJ283" s="91"/>
      <c r="CK283" s="91"/>
      <c r="CL283" s="6"/>
      <c r="CM283" s="6"/>
      <c r="CN283" s="6"/>
      <c r="CO283" s="6"/>
      <c r="CP283" s="6"/>
      <c r="CQ283" s="6"/>
      <c r="CR283" s="6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8"/>
      <c r="DK283" s="8"/>
      <c r="DL283" s="8"/>
      <c r="DM283" s="8"/>
      <c r="DN283" s="55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83"/>
      <c r="EC283" s="83"/>
      <c r="ED283" s="83"/>
      <c r="EE283" s="83"/>
      <c r="EF283" s="83"/>
      <c r="EG283" s="83"/>
      <c r="EH283" s="83"/>
      <c r="EI283" s="83"/>
      <c r="EJ283" s="83"/>
      <c r="EK283" s="2"/>
      <c r="EO283" s="2"/>
      <c r="ES283" s="58"/>
      <c r="ET283" s="58"/>
      <c r="EU283" s="58"/>
      <c r="EV283" s="58"/>
      <c r="EW283" s="58"/>
      <c r="EX283" s="58"/>
      <c r="EY283" s="58"/>
      <c r="EZ283" s="85"/>
    </row>
    <row r="284" spans="1:156">
      <c r="A284" s="95"/>
      <c r="B284" s="9"/>
      <c r="I284" s="54"/>
      <c r="J284" s="6"/>
      <c r="K284" s="6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90"/>
      <c r="AO284" s="91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91"/>
      <c r="CG284" s="6"/>
      <c r="CH284" s="91"/>
      <c r="CI284" s="91"/>
      <c r="CJ284" s="91"/>
      <c r="CK284" s="91"/>
      <c r="CL284" s="6"/>
      <c r="CM284" s="6"/>
      <c r="CN284" s="6"/>
      <c r="CO284" s="6"/>
      <c r="CP284" s="6"/>
      <c r="CQ284" s="6"/>
      <c r="CR284" s="6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8"/>
      <c r="DK284" s="8"/>
      <c r="DL284" s="8"/>
      <c r="DM284" s="8"/>
      <c r="DN284" s="55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83"/>
      <c r="EC284" s="83"/>
      <c r="ED284" s="83"/>
      <c r="EE284" s="83"/>
      <c r="EF284" s="83"/>
      <c r="EG284" s="83"/>
      <c r="EH284" s="83"/>
      <c r="EI284" s="83"/>
      <c r="EJ284" s="83"/>
      <c r="EK284" s="2"/>
      <c r="EO284" s="2"/>
      <c r="ES284" s="58"/>
      <c r="ET284" s="58"/>
      <c r="EU284" s="58"/>
      <c r="EV284" s="58"/>
      <c r="EW284" s="58"/>
      <c r="EX284" s="58"/>
      <c r="EY284" s="58"/>
      <c r="EZ284" s="85"/>
    </row>
    <row r="285" spans="1:156">
      <c r="A285" s="95"/>
      <c r="B285" s="9"/>
      <c r="I285" s="54"/>
      <c r="J285" s="6"/>
      <c r="K285" s="6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90"/>
      <c r="AO285" s="91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91"/>
      <c r="CG285" s="6"/>
      <c r="CH285" s="91"/>
      <c r="CI285" s="91"/>
      <c r="CJ285" s="91"/>
      <c r="CK285" s="91"/>
      <c r="CL285" s="6"/>
      <c r="CM285" s="6"/>
      <c r="CN285" s="6"/>
      <c r="CO285" s="6"/>
      <c r="CP285" s="6"/>
      <c r="CQ285" s="6"/>
      <c r="CR285" s="6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8"/>
      <c r="DK285" s="8"/>
      <c r="DL285" s="8"/>
      <c r="DM285" s="8"/>
      <c r="DN285" s="55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83"/>
      <c r="EC285" s="83"/>
      <c r="ED285" s="83"/>
      <c r="EE285" s="83"/>
      <c r="EF285" s="83"/>
      <c r="EG285" s="83"/>
      <c r="EH285" s="83"/>
      <c r="EI285" s="83"/>
      <c r="EJ285" s="83"/>
      <c r="EK285" s="2"/>
      <c r="EO285" s="2"/>
      <c r="ES285" s="58"/>
      <c r="ET285" s="58"/>
      <c r="EU285" s="58"/>
      <c r="EV285" s="58"/>
      <c r="EW285" s="58"/>
      <c r="EX285" s="58"/>
      <c r="EY285" s="58"/>
      <c r="EZ285" s="85"/>
    </row>
    <row r="286" spans="1:156">
      <c r="A286" s="95"/>
      <c r="B286" s="9"/>
      <c r="I286" s="54"/>
      <c r="J286" s="6"/>
      <c r="K286" s="6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90"/>
      <c r="AO286" s="91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91"/>
      <c r="CG286" s="6"/>
      <c r="CH286" s="91"/>
      <c r="CI286" s="91"/>
      <c r="CJ286" s="91"/>
      <c r="CK286" s="91"/>
      <c r="CL286" s="6"/>
      <c r="CM286" s="6"/>
      <c r="CN286" s="6"/>
      <c r="CO286" s="6"/>
      <c r="CP286" s="6"/>
      <c r="CQ286" s="6"/>
      <c r="CR286" s="6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8"/>
      <c r="DK286" s="8"/>
      <c r="DL286" s="8"/>
      <c r="DM286" s="8"/>
      <c r="DN286" s="55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83"/>
      <c r="EC286" s="83"/>
      <c r="ED286" s="83"/>
      <c r="EE286" s="83"/>
      <c r="EF286" s="83"/>
      <c r="EG286" s="83"/>
      <c r="EH286" s="83"/>
      <c r="EI286" s="83"/>
      <c r="EJ286" s="83"/>
      <c r="EK286" s="2"/>
      <c r="EO286" s="2"/>
      <c r="ES286" s="58"/>
      <c r="ET286" s="58"/>
      <c r="EU286" s="58"/>
      <c r="EV286" s="58"/>
      <c r="EW286" s="58"/>
      <c r="EX286" s="58"/>
      <c r="EY286" s="58"/>
      <c r="EZ286" s="85"/>
    </row>
    <row r="287" spans="1:156">
      <c r="A287" s="95"/>
      <c r="B287" s="9"/>
      <c r="I287" s="54"/>
      <c r="J287" s="6"/>
      <c r="K287" s="6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90"/>
      <c r="AO287" s="91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91"/>
      <c r="CG287" s="6"/>
      <c r="CH287" s="91"/>
      <c r="CI287" s="91"/>
      <c r="CJ287" s="91"/>
      <c r="CK287" s="91"/>
      <c r="CL287" s="6"/>
      <c r="CM287" s="6"/>
      <c r="CN287" s="6"/>
      <c r="CO287" s="6"/>
      <c r="CP287" s="6"/>
      <c r="CQ287" s="6"/>
      <c r="CR287" s="6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8"/>
      <c r="DK287" s="8"/>
      <c r="DL287" s="8"/>
      <c r="DM287" s="8"/>
      <c r="DN287" s="55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83"/>
      <c r="EC287" s="83"/>
      <c r="ED287" s="83"/>
      <c r="EE287" s="83"/>
      <c r="EF287" s="83"/>
      <c r="EG287" s="83"/>
      <c r="EH287" s="83"/>
      <c r="EI287" s="83"/>
      <c r="EJ287" s="83"/>
      <c r="EK287" s="2"/>
      <c r="EO287" s="2"/>
      <c r="ES287" s="58"/>
      <c r="ET287" s="58"/>
      <c r="EU287" s="58"/>
      <c r="EV287" s="58"/>
      <c r="EW287" s="58"/>
      <c r="EX287" s="58"/>
      <c r="EY287" s="58"/>
      <c r="EZ287" s="85"/>
    </row>
    <row r="288" spans="1:156">
      <c r="A288" s="95"/>
      <c r="B288" s="9"/>
      <c r="I288" s="54"/>
      <c r="J288" s="6"/>
      <c r="K288" s="6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90"/>
      <c r="AO288" s="91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91"/>
      <c r="CG288" s="6"/>
      <c r="CH288" s="91"/>
      <c r="CI288" s="91"/>
      <c r="CJ288" s="91"/>
      <c r="CK288" s="91"/>
      <c r="CL288" s="6"/>
      <c r="CM288" s="6"/>
      <c r="CN288" s="6"/>
      <c r="CO288" s="6"/>
      <c r="CP288" s="6"/>
      <c r="CQ288" s="6"/>
      <c r="CR288" s="6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8"/>
      <c r="DK288" s="8"/>
      <c r="DL288" s="8"/>
      <c r="DM288" s="8"/>
      <c r="DN288" s="55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83"/>
      <c r="EC288" s="83"/>
      <c r="ED288" s="83"/>
      <c r="EE288" s="83"/>
      <c r="EF288" s="83"/>
      <c r="EG288" s="83"/>
      <c r="EH288" s="83"/>
      <c r="EI288" s="83"/>
      <c r="EJ288" s="83"/>
      <c r="EK288" s="2"/>
      <c r="EO288" s="2"/>
      <c r="ES288" s="58"/>
      <c r="ET288" s="58"/>
      <c r="EU288" s="58"/>
      <c r="EV288" s="58"/>
      <c r="EW288" s="58"/>
      <c r="EX288" s="58"/>
      <c r="EY288" s="58"/>
      <c r="EZ288" s="85"/>
    </row>
    <row r="289" spans="1:156">
      <c r="A289" s="95"/>
      <c r="B289" s="9"/>
      <c r="I289" s="54"/>
      <c r="J289" s="6"/>
      <c r="K289" s="6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90"/>
      <c r="AO289" s="91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91"/>
      <c r="CG289" s="6"/>
      <c r="CH289" s="91"/>
      <c r="CI289" s="91"/>
      <c r="CJ289" s="91"/>
      <c r="CK289" s="91"/>
      <c r="CL289" s="6"/>
      <c r="CM289" s="6"/>
      <c r="CN289" s="6"/>
      <c r="CO289" s="6"/>
      <c r="CP289" s="6"/>
      <c r="CQ289" s="6"/>
      <c r="CR289" s="6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8"/>
      <c r="DK289" s="8"/>
      <c r="DL289" s="8"/>
      <c r="DM289" s="8"/>
      <c r="DN289" s="55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83"/>
      <c r="EC289" s="83"/>
      <c r="ED289" s="83"/>
      <c r="EE289" s="83"/>
      <c r="EF289" s="83"/>
      <c r="EG289" s="83"/>
      <c r="EH289" s="83"/>
      <c r="EI289" s="83"/>
      <c r="EJ289" s="83"/>
      <c r="EK289" s="2"/>
      <c r="EO289" s="2"/>
      <c r="ES289" s="58"/>
      <c r="ET289" s="58"/>
      <c r="EU289" s="58"/>
      <c r="EV289" s="58"/>
      <c r="EW289" s="58"/>
      <c r="EX289" s="58"/>
      <c r="EY289" s="58"/>
      <c r="EZ289" s="85"/>
    </row>
    <row r="290" spans="1:156">
      <c r="A290" s="95"/>
      <c r="B290" s="9"/>
      <c r="I290" s="54"/>
      <c r="J290" s="6"/>
      <c r="K290" s="6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90"/>
      <c r="AO290" s="91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91"/>
      <c r="CG290" s="6"/>
      <c r="CH290" s="91"/>
      <c r="CI290" s="91"/>
      <c r="CJ290" s="91"/>
      <c r="CK290" s="91"/>
      <c r="CL290" s="6"/>
      <c r="CM290" s="6"/>
      <c r="CN290" s="6"/>
      <c r="CO290" s="6"/>
      <c r="CP290" s="6"/>
      <c r="CQ290" s="6"/>
      <c r="CR290" s="6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8"/>
      <c r="DK290" s="8"/>
      <c r="DL290" s="8"/>
      <c r="DM290" s="8"/>
      <c r="DN290" s="55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83"/>
      <c r="EC290" s="83"/>
      <c r="ED290" s="83"/>
      <c r="EE290" s="83"/>
      <c r="EF290" s="83"/>
      <c r="EG290" s="83"/>
      <c r="EH290" s="83"/>
      <c r="EI290" s="83"/>
      <c r="EJ290" s="83"/>
      <c r="EK290" s="2"/>
      <c r="EO290" s="2"/>
      <c r="ES290" s="58"/>
      <c r="ET290" s="58"/>
      <c r="EU290" s="58"/>
      <c r="EV290" s="58"/>
      <c r="EW290" s="58"/>
      <c r="EX290" s="58"/>
      <c r="EY290" s="58"/>
      <c r="EZ290" s="85"/>
    </row>
    <row r="291" spans="1:156">
      <c r="A291" s="95"/>
      <c r="B291" s="9"/>
      <c r="I291" s="54"/>
      <c r="J291" s="6"/>
      <c r="K291" s="6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90"/>
      <c r="AO291" s="91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91"/>
      <c r="CG291" s="6"/>
      <c r="CH291" s="91"/>
      <c r="CI291" s="91"/>
      <c r="CJ291" s="91"/>
      <c r="CK291" s="91"/>
      <c r="CL291" s="6"/>
      <c r="CM291" s="6"/>
      <c r="CN291" s="6"/>
      <c r="CO291" s="6"/>
      <c r="CP291" s="6"/>
      <c r="CQ291" s="6"/>
      <c r="CR291" s="6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8"/>
      <c r="DK291" s="8"/>
      <c r="DL291" s="8"/>
      <c r="DM291" s="8"/>
      <c r="DN291" s="55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83"/>
      <c r="EC291" s="83"/>
      <c r="ED291" s="83"/>
      <c r="EE291" s="83"/>
      <c r="EF291" s="83"/>
      <c r="EG291" s="83"/>
      <c r="EH291" s="83"/>
      <c r="EI291" s="83"/>
      <c r="EJ291" s="83"/>
      <c r="EK291" s="2"/>
      <c r="EO291" s="2"/>
      <c r="ES291" s="58"/>
      <c r="ET291" s="58"/>
      <c r="EU291" s="58"/>
      <c r="EV291" s="58"/>
      <c r="EW291" s="58"/>
      <c r="EX291" s="58"/>
      <c r="EY291" s="58"/>
      <c r="EZ291" s="85"/>
    </row>
    <row r="292" spans="1:156">
      <c r="A292" s="95"/>
      <c r="B292" s="9"/>
      <c r="I292" s="54"/>
      <c r="J292" s="6"/>
      <c r="K292" s="6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90"/>
      <c r="AO292" s="91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91"/>
      <c r="CG292" s="6"/>
      <c r="CH292" s="91"/>
      <c r="CI292" s="91"/>
      <c r="CJ292" s="91"/>
      <c r="CK292" s="91"/>
      <c r="CL292" s="6"/>
      <c r="CM292" s="6"/>
      <c r="CN292" s="6"/>
      <c r="CO292" s="6"/>
      <c r="CP292" s="6"/>
      <c r="CQ292" s="6"/>
      <c r="CR292" s="6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8"/>
      <c r="DK292" s="8"/>
      <c r="DL292" s="8"/>
      <c r="DM292" s="8"/>
      <c r="DN292" s="55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83"/>
      <c r="EC292" s="83"/>
      <c r="ED292" s="83"/>
      <c r="EE292" s="83"/>
      <c r="EF292" s="83"/>
      <c r="EG292" s="83"/>
      <c r="EH292" s="83"/>
      <c r="EI292" s="83"/>
      <c r="EJ292" s="83"/>
      <c r="EK292" s="2"/>
      <c r="EO292" s="2"/>
      <c r="ES292" s="58"/>
      <c r="ET292" s="58"/>
      <c r="EU292" s="58"/>
      <c r="EV292" s="58"/>
      <c r="EW292" s="58"/>
      <c r="EX292" s="58"/>
      <c r="EY292" s="58"/>
      <c r="EZ292" s="85"/>
    </row>
    <row r="293" spans="1:156">
      <c r="A293" s="95"/>
      <c r="B293" s="9"/>
      <c r="I293" s="54"/>
      <c r="J293" s="6"/>
      <c r="K293" s="6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90"/>
      <c r="AO293" s="91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91"/>
      <c r="CG293" s="6"/>
      <c r="CH293" s="91"/>
      <c r="CI293" s="91"/>
      <c r="CJ293" s="91"/>
      <c r="CK293" s="91"/>
      <c r="CL293" s="6"/>
      <c r="CM293" s="6"/>
      <c r="CN293" s="6"/>
      <c r="CO293" s="6"/>
      <c r="CP293" s="6"/>
      <c r="CQ293" s="6"/>
      <c r="CR293" s="6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8"/>
      <c r="DK293" s="8"/>
      <c r="DL293" s="8"/>
      <c r="DM293" s="8"/>
      <c r="DN293" s="55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83"/>
      <c r="EC293" s="83"/>
      <c r="ED293" s="83"/>
      <c r="EE293" s="83"/>
      <c r="EF293" s="83"/>
      <c r="EG293" s="83"/>
      <c r="EH293" s="83"/>
      <c r="EI293" s="83"/>
      <c r="EJ293" s="83"/>
      <c r="EK293" s="2"/>
      <c r="EO293" s="2"/>
      <c r="ES293" s="58"/>
      <c r="ET293" s="58"/>
      <c r="EU293" s="58"/>
      <c r="EV293" s="58"/>
      <c r="EW293" s="58"/>
      <c r="EX293" s="58"/>
      <c r="EY293" s="58"/>
      <c r="EZ293" s="85"/>
    </row>
    <row r="294" spans="1:156">
      <c r="A294" s="95"/>
      <c r="B294" s="9"/>
      <c r="I294" s="54"/>
      <c r="J294" s="6"/>
      <c r="K294" s="6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90"/>
      <c r="AO294" s="91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91"/>
      <c r="CG294" s="6"/>
      <c r="CH294" s="91"/>
      <c r="CI294" s="91"/>
      <c r="CJ294" s="91"/>
      <c r="CK294" s="91"/>
      <c r="CL294" s="6"/>
      <c r="CM294" s="6"/>
      <c r="CN294" s="6"/>
      <c r="CO294" s="6"/>
      <c r="CP294" s="6"/>
      <c r="CQ294" s="6"/>
      <c r="CR294" s="6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8"/>
      <c r="DK294" s="8"/>
      <c r="DL294" s="8"/>
      <c r="DM294" s="8"/>
      <c r="DN294" s="55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83"/>
      <c r="EC294" s="83"/>
      <c r="ED294" s="83"/>
      <c r="EE294" s="83"/>
      <c r="EF294" s="83"/>
      <c r="EG294" s="83"/>
      <c r="EH294" s="83"/>
      <c r="EI294" s="83"/>
      <c r="EJ294" s="83"/>
      <c r="EK294" s="2"/>
      <c r="EO294" s="2"/>
      <c r="ES294" s="58"/>
      <c r="ET294" s="58"/>
      <c r="EU294" s="58"/>
      <c r="EV294" s="58"/>
      <c r="EW294" s="58"/>
      <c r="EX294" s="58"/>
      <c r="EY294" s="58"/>
      <c r="EZ294" s="85"/>
    </row>
    <row r="295" spans="1:156">
      <c r="A295" s="95"/>
      <c r="B295" s="9"/>
      <c r="I295" s="54"/>
      <c r="J295" s="6"/>
      <c r="K295" s="6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90"/>
      <c r="AO295" s="91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91"/>
      <c r="CG295" s="6"/>
      <c r="CH295" s="91"/>
      <c r="CI295" s="91"/>
      <c r="CJ295" s="91"/>
      <c r="CK295" s="91"/>
      <c r="CL295" s="6"/>
      <c r="CM295" s="6"/>
      <c r="CN295" s="6"/>
      <c r="CO295" s="6"/>
      <c r="CP295" s="6"/>
      <c r="CQ295" s="6"/>
      <c r="CR295" s="6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8"/>
      <c r="DK295" s="8"/>
      <c r="DL295" s="8"/>
      <c r="DM295" s="8"/>
      <c r="DN295" s="55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83"/>
      <c r="EC295" s="83"/>
      <c r="ED295" s="83"/>
      <c r="EE295" s="83"/>
      <c r="EF295" s="83"/>
      <c r="EG295" s="83"/>
      <c r="EH295" s="83"/>
      <c r="EI295" s="83"/>
      <c r="EJ295" s="83"/>
      <c r="EK295" s="2"/>
      <c r="EO295" s="2"/>
      <c r="ES295" s="58"/>
      <c r="ET295" s="58"/>
      <c r="EU295" s="58"/>
      <c r="EV295" s="58"/>
      <c r="EW295" s="58"/>
      <c r="EX295" s="58"/>
      <c r="EY295" s="58"/>
      <c r="EZ295" s="85"/>
    </row>
    <row r="296" spans="1:156">
      <c r="A296" s="95"/>
      <c r="B296" s="9"/>
      <c r="I296" s="54"/>
      <c r="J296" s="6"/>
      <c r="K296" s="6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90"/>
      <c r="AO296" s="91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91"/>
      <c r="CG296" s="6"/>
      <c r="CH296" s="91"/>
      <c r="CI296" s="91"/>
      <c r="CJ296" s="91"/>
      <c r="CK296" s="91"/>
      <c r="CL296" s="6"/>
      <c r="CM296" s="6"/>
      <c r="CN296" s="6"/>
      <c r="CO296" s="6"/>
      <c r="CP296" s="6"/>
      <c r="CQ296" s="6"/>
      <c r="CR296" s="6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8"/>
      <c r="DK296" s="8"/>
      <c r="DL296" s="8"/>
      <c r="DM296" s="8"/>
      <c r="DN296" s="55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83"/>
      <c r="EC296" s="83"/>
      <c r="ED296" s="83"/>
      <c r="EE296" s="83"/>
      <c r="EF296" s="83"/>
      <c r="EG296" s="83"/>
      <c r="EH296" s="83"/>
      <c r="EI296" s="83"/>
      <c r="EJ296" s="83"/>
      <c r="EK296" s="2"/>
      <c r="EO296" s="2"/>
      <c r="ES296" s="58"/>
      <c r="ET296" s="58"/>
      <c r="EU296" s="58"/>
      <c r="EV296" s="58"/>
      <c r="EW296" s="58"/>
      <c r="EX296" s="58"/>
      <c r="EY296" s="58"/>
      <c r="EZ296" s="85"/>
    </row>
    <row r="297" spans="1:156">
      <c r="A297" s="95"/>
      <c r="B297" s="9"/>
      <c r="I297" s="54"/>
      <c r="J297" s="6"/>
      <c r="K297" s="6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90"/>
      <c r="AO297" s="91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91"/>
      <c r="CG297" s="6"/>
      <c r="CH297" s="91"/>
      <c r="CI297" s="91"/>
      <c r="CJ297" s="91"/>
      <c r="CK297" s="91"/>
      <c r="CL297" s="6"/>
      <c r="CM297" s="6"/>
      <c r="CN297" s="6"/>
      <c r="CO297" s="6"/>
      <c r="CP297" s="6"/>
      <c r="CQ297" s="6"/>
      <c r="CR297" s="6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8"/>
      <c r="DK297" s="8"/>
      <c r="DL297" s="8"/>
      <c r="DM297" s="8"/>
      <c r="DN297" s="55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83"/>
      <c r="EC297" s="83"/>
      <c r="ED297" s="83"/>
      <c r="EE297" s="83"/>
      <c r="EF297" s="83"/>
      <c r="EG297" s="83"/>
      <c r="EH297" s="83"/>
      <c r="EI297" s="83"/>
      <c r="EJ297" s="83"/>
      <c r="EK297" s="2"/>
      <c r="EO297" s="2"/>
      <c r="ES297" s="58"/>
      <c r="ET297" s="58"/>
      <c r="EU297" s="58"/>
      <c r="EV297" s="58"/>
      <c r="EW297" s="58"/>
      <c r="EX297" s="58"/>
      <c r="EY297" s="58"/>
      <c r="EZ297" s="85"/>
    </row>
    <row r="298" spans="1:156">
      <c r="A298" s="95"/>
      <c r="B298" s="9"/>
      <c r="I298" s="54"/>
      <c r="J298" s="6"/>
      <c r="K298" s="6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90"/>
      <c r="AO298" s="91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91"/>
      <c r="CG298" s="6"/>
      <c r="CH298" s="91"/>
      <c r="CI298" s="91"/>
      <c r="CJ298" s="91"/>
      <c r="CK298" s="91"/>
      <c r="CL298" s="6"/>
      <c r="CM298" s="6"/>
      <c r="CN298" s="6"/>
      <c r="CO298" s="6"/>
      <c r="CP298" s="6"/>
      <c r="CQ298" s="6"/>
      <c r="CR298" s="6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8"/>
      <c r="DK298" s="8"/>
      <c r="DL298" s="8"/>
      <c r="DM298" s="8"/>
      <c r="DN298" s="55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83"/>
      <c r="EC298" s="83"/>
      <c r="ED298" s="83"/>
      <c r="EE298" s="83"/>
      <c r="EF298" s="83"/>
      <c r="EG298" s="83"/>
      <c r="EH298" s="83"/>
      <c r="EI298" s="83"/>
      <c r="EJ298" s="83"/>
      <c r="EK298" s="2"/>
      <c r="EO298" s="2"/>
      <c r="ES298" s="58"/>
      <c r="ET298" s="58"/>
      <c r="EU298" s="58"/>
      <c r="EV298" s="58"/>
      <c r="EW298" s="58"/>
      <c r="EX298" s="58"/>
      <c r="EY298" s="58"/>
      <c r="EZ298" s="85"/>
    </row>
    <row r="299" spans="1:156">
      <c r="A299" s="95"/>
      <c r="B299" s="9"/>
      <c r="I299" s="54"/>
      <c r="J299" s="6"/>
      <c r="K299" s="6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90"/>
      <c r="AO299" s="91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91"/>
      <c r="CG299" s="6"/>
      <c r="CH299" s="91"/>
      <c r="CI299" s="91"/>
      <c r="CJ299" s="91"/>
      <c r="CK299" s="91"/>
      <c r="CL299" s="6"/>
      <c r="CM299" s="6"/>
      <c r="CN299" s="6"/>
      <c r="CO299" s="6"/>
      <c r="CP299" s="6"/>
      <c r="CQ299" s="6"/>
      <c r="CR299" s="6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8"/>
      <c r="DK299" s="8"/>
      <c r="DL299" s="8"/>
      <c r="DM299" s="8"/>
      <c r="DN299" s="55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83"/>
      <c r="EC299" s="83"/>
      <c r="ED299" s="83"/>
      <c r="EE299" s="83"/>
      <c r="EF299" s="83"/>
      <c r="EG299" s="83"/>
      <c r="EH299" s="83"/>
      <c r="EI299" s="83"/>
      <c r="EJ299" s="83"/>
      <c r="EK299" s="2"/>
      <c r="EO299" s="2"/>
      <c r="ES299" s="58"/>
      <c r="ET299" s="58"/>
      <c r="EU299" s="58"/>
      <c r="EV299" s="58"/>
      <c r="EW299" s="58"/>
      <c r="EX299" s="58"/>
      <c r="EY299" s="58"/>
      <c r="EZ299" s="85"/>
    </row>
    <row r="300" spans="1:156">
      <c r="A300" s="95"/>
      <c r="B300" s="9"/>
      <c r="I300" s="54"/>
      <c r="J300" s="6"/>
      <c r="K300" s="6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90"/>
      <c r="AO300" s="91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91"/>
      <c r="CG300" s="6"/>
      <c r="CH300" s="91"/>
      <c r="CI300" s="91"/>
      <c r="CJ300" s="91"/>
      <c r="CK300" s="91"/>
      <c r="CL300" s="6"/>
      <c r="CM300" s="6"/>
      <c r="CN300" s="6"/>
      <c r="CO300" s="6"/>
      <c r="CP300" s="6"/>
      <c r="CQ300" s="6"/>
      <c r="CR300" s="6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8"/>
      <c r="DK300" s="8"/>
      <c r="DL300" s="8"/>
      <c r="DM300" s="8"/>
      <c r="DN300" s="55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83"/>
      <c r="EC300" s="83"/>
      <c r="ED300" s="83"/>
      <c r="EE300" s="83"/>
      <c r="EF300" s="83"/>
      <c r="EG300" s="83"/>
      <c r="EH300" s="83"/>
      <c r="EI300" s="83"/>
      <c r="EJ300" s="83"/>
      <c r="EK300" s="2"/>
      <c r="EO300" s="2"/>
      <c r="ES300" s="58"/>
      <c r="ET300" s="58"/>
      <c r="EU300" s="58"/>
      <c r="EV300" s="58"/>
      <c r="EW300" s="58"/>
      <c r="EX300" s="58"/>
      <c r="EY300" s="58"/>
      <c r="EZ300" s="85"/>
    </row>
    <row r="301" spans="1:156">
      <c r="A301" s="95"/>
      <c r="B301" s="9"/>
      <c r="I301" s="54"/>
      <c r="J301" s="6"/>
      <c r="K301" s="6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90"/>
      <c r="AO301" s="91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91"/>
      <c r="CG301" s="6"/>
      <c r="CH301" s="91"/>
      <c r="CI301" s="91"/>
      <c r="CJ301" s="91"/>
      <c r="CK301" s="91"/>
      <c r="CL301" s="6"/>
      <c r="CM301" s="6"/>
      <c r="CN301" s="6"/>
      <c r="CO301" s="6"/>
      <c r="CP301" s="6"/>
      <c r="CQ301" s="6"/>
      <c r="CR301" s="6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8"/>
      <c r="DK301" s="8"/>
      <c r="DL301" s="8"/>
      <c r="DM301" s="8"/>
      <c r="DN301" s="55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83"/>
      <c r="EC301" s="83"/>
      <c r="ED301" s="83"/>
      <c r="EE301" s="83"/>
      <c r="EF301" s="83"/>
      <c r="EG301" s="83"/>
      <c r="EH301" s="83"/>
      <c r="EI301" s="83"/>
      <c r="EJ301" s="83"/>
      <c r="EK301" s="2"/>
      <c r="EO301" s="2"/>
      <c r="ES301" s="58"/>
      <c r="ET301" s="58"/>
      <c r="EU301" s="58"/>
      <c r="EV301" s="58"/>
      <c r="EW301" s="58"/>
      <c r="EX301" s="58"/>
      <c r="EY301" s="58"/>
      <c r="EZ301" s="85"/>
    </row>
    <row r="302" spans="1:156">
      <c r="A302" s="95"/>
      <c r="B302" s="9"/>
      <c r="I302" s="54"/>
      <c r="J302" s="6"/>
      <c r="K302" s="6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90"/>
      <c r="AO302" s="91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91"/>
      <c r="CG302" s="6"/>
      <c r="CH302" s="91"/>
      <c r="CI302" s="91"/>
      <c r="CJ302" s="91"/>
      <c r="CK302" s="91"/>
      <c r="CL302" s="6"/>
      <c r="CM302" s="6"/>
      <c r="CN302" s="6"/>
      <c r="CO302" s="6"/>
      <c r="CP302" s="6"/>
      <c r="CQ302" s="6"/>
      <c r="CR302" s="6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8"/>
      <c r="DK302" s="8"/>
      <c r="DL302" s="8"/>
      <c r="DM302" s="8"/>
      <c r="DN302" s="55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83"/>
      <c r="EC302" s="83"/>
      <c r="ED302" s="83"/>
      <c r="EE302" s="83"/>
      <c r="EF302" s="83"/>
      <c r="EG302" s="83"/>
      <c r="EH302" s="83"/>
      <c r="EI302" s="83"/>
      <c r="EJ302" s="83"/>
      <c r="EK302" s="2"/>
      <c r="EO302" s="2"/>
      <c r="ES302" s="58"/>
      <c r="ET302" s="58"/>
      <c r="EU302" s="58"/>
      <c r="EV302" s="58"/>
      <c r="EW302" s="58"/>
      <c r="EX302" s="58"/>
      <c r="EY302" s="58"/>
      <c r="EZ302" s="85"/>
    </row>
    <row r="303" spans="1:156">
      <c r="A303" s="95"/>
      <c r="B303" s="9"/>
      <c r="I303" s="54"/>
      <c r="J303" s="6"/>
      <c r="K303" s="6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90"/>
      <c r="AO303" s="91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91"/>
      <c r="CG303" s="6"/>
      <c r="CH303" s="91"/>
      <c r="CI303" s="91"/>
      <c r="CJ303" s="91"/>
      <c r="CK303" s="91"/>
      <c r="CL303" s="6"/>
      <c r="CM303" s="6"/>
      <c r="CN303" s="6"/>
      <c r="CO303" s="6"/>
      <c r="CP303" s="6"/>
      <c r="CQ303" s="6"/>
      <c r="CR303" s="6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8"/>
      <c r="DK303" s="8"/>
      <c r="DL303" s="8"/>
      <c r="DM303" s="8"/>
      <c r="DN303" s="55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83"/>
      <c r="EC303" s="83"/>
      <c r="ED303" s="83"/>
      <c r="EE303" s="83"/>
      <c r="EF303" s="83"/>
      <c r="EG303" s="83"/>
      <c r="EH303" s="83"/>
      <c r="EI303" s="83"/>
      <c r="EJ303" s="83"/>
      <c r="EK303" s="2"/>
      <c r="EO303" s="2"/>
      <c r="ES303" s="58"/>
      <c r="ET303" s="58"/>
      <c r="EU303" s="58"/>
      <c r="EV303" s="58"/>
      <c r="EW303" s="58"/>
      <c r="EX303" s="58"/>
      <c r="EY303" s="58"/>
      <c r="EZ303" s="85"/>
    </row>
    <row r="304" spans="1:156">
      <c r="A304" s="95"/>
      <c r="B304" s="9"/>
      <c r="I304" s="54"/>
      <c r="J304" s="6"/>
      <c r="K304" s="6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90"/>
      <c r="AO304" s="91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91"/>
      <c r="CG304" s="6"/>
      <c r="CH304" s="91"/>
      <c r="CI304" s="91"/>
      <c r="CJ304" s="91"/>
      <c r="CK304" s="91"/>
      <c r="CL304" s="6"/>
      <c r="CM304" s="6"/>
      <c r="CN304" s="6"/>
      <c r="CO304" s="6"/>
      <c r="CP304" s="6"/>
      <c r="CQ304" s="6"/>
      <c r="CR304" s="6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8"/>
      <c r="DK304" s="8"/>
      <c r="DL304" s="8"/>
      <c r="DM304" s="8"/>
      <c r="DN304" s="55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83"/>
      <c r="EC304" s="83"/>
      <c r="ED304" s="83"/>
      <c r="EE304" s="83"/>
      <c r="EF304" s="83"/>
      <c r="EG304" s="83"/>
      <c r="EH304" s="83"/>
      <c r="EI304" s="83"/>
      <c r="EJ304" s="83"/>
      <c r="EK304" s="2"/>
      <c r="EO304" s="2"/>
      <c r="ES304" s="58"/>
      <c r="ET304" s="58"/>
      <c r="EU304" s="58"/>
      <c r="EV304" s="58"/>
      <c r="EW304" s="58"/>
      <c r="EX304" s="58"/>
      <c r="EY304" s="58"/>
      <c r="EZ304" s="85"/>
    </row>
    <row r="305" spans="1:156">
      <c r="A305" s="95"/>
      <c r="B305" s="9"/>
      <c r="I305" s="54"/>
      <c r="J305" s="6"/>
      <c r="K305" s="6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90"/>
      <c r="AO305" s="91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91"/>
      <c r="CG305" s="6"/>
      <c r="CH305" s="91"/>
      <c r="CI305" s="91"/>
      <c r="CJ305" s="91"/>
      <c r="CK305" s="91"/>
      <c r="CL305" s="6"/>
      <c r="CM305" s="6"/>
      <c r="CN305" s="6"/>
      <c r="CO305" s="6"/>
      <c r="CP305" s="6"/>
      <c r="CQ305" s="6"/>
      <c r="CR305" s="6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8"/>
      <c r="DK305" s="8"/>
      <c r="DL305" s="8"/>
      <c r="DM305" s="8"/>
      <c r="DN305" s="55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83"/>
      <c r="EC305" s="83"/>
      <c r="ED305" s="83"/>
      <c r="EE305" s="83"/>
      <c r="EF305" s="83"/>
      <c r="EG305" s="83"/>
      <c r="EH305" s="83"/>
      <c r="EI305" s="83"/>
      <c r="EJ305" s="83"/>
      <c r="EK305" s="2"/>
      <c r="EO305" s="2"/>
      <c r="ES305" s="58"/>
      <c r="ET305" s="58"/>
      <c r="EU305" s="58"/>
      <c r="EV305" s="58"/>
      <c r="EW305" s="58"/>
      <c r="EX305" s="58"/>
      <c r="EY305" s="58"/>
      <c r="EZ305" s="85"/>
    </row>
    <row r="306" spans="1:156">
      <c r="A306" s="95"/>
      <c r="B306" s="9"/>
      <c r="I306" s="54"/>
      <c r="J306" s="6"/>
      <c r="K306" s="6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90"/>
      <c r="AO306" s="91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91"/>
      <c r="CG306" s="6"/>
      <c r="CH306" s="91"/>
      <c r="CI306" s="91"/>
      <c r="CJ306" s="91"/>
      <c r="CK306" s="91"/>
      <c r="CL306" s="6"/>
      <c r="CM306" s="6"/>
      <c r="CN306" s="6"/>
      <c r="CO306" s="6"/>
      <c r="CP306" s="6"/>
      <c r="CQ306" s="6"/>
      <c r="CR306" s="6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8"/>
      <c r="DK306" s="8"/>
      <c r="DL306" s="8"/>
      <c r="DM306" s="8"/>
      <c r="DN306" s="55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83"/>
      <c r="EC306" s="83"/>
      <c r="ED306" s="83"/>
      <c r="EE306" s="83"/>
      <c r="EF306" s="83"/>
      <c r="EG306" s="83"/>
      <c r="EH306" s="83"/>
      <c r="EI306" s="83"/>
      <c r="EJ306" s="83"/>
      <c r="EK306" s="2"/>
      <c r="EO306" s="2"/>
      <c r="ES306" s="58"/>
      <c r="ET306" s="58"/>
      <c r="EU306" s="58"/>
      <c r="EV306" s="58"/>
      <c r="EW306" s="58"/>
      <c r="EX306" s="58"/>
      <c r="EY306" s="58"/>
      <c r="EZ306" s="85"/>
    </row>
    <row r="307" spans="1:156">
      <c r="A307" s="95"/>
      <c r="B307" s="9"/>
      <c r="I307" s="54"/>
      <c r="J307" s="6"/>
      <c r="K307" s="6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90"/>
      <c r="AO307" s="91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91"/>
      <c r="CG307" s="6"/>
      <c r="CH307" s="91"/>
      <c r="CI307" s="91"/>
      <c r="CJ307" s="91"/>
      <c r="CK307" s="91"/>
      <c r="CL307" s="6"/>
      <c r="CM307" s="6"/>
      <c r="CN307" s="6"/>
      <c r="CO307" s="6"/>
      <c r="CP307" s="6"/>
      <c r="CQ307" s="6"/>
      <c r="CR307" s="6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8"/>
      <c r="DK307" s="8"/>
      <c r="DL307" s="8"/>
      <c r="DM307" s="8"/>
      <c r="DN307" s="55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83"/>
      <c r="EC307" s="83"/>
      <c r="ED307" s="83"/>
      <c r="EE307" s="83"/>
      <c r="EF307" s="83"/>
      <c r="EG307" s="83"/>
      <c r="EH307" s="83"/>
      <c r="EI307" s="83"/>
      <c r="EJ307" s="83"/>
      <c r="EK307" s="2"/>
      <c r="EO307" s="2"/>
      <c r="ES307" s="58"/>
      <c r="ET307" s="58"/>
      <c r="EU307" s="58"/>
      <c r="EV307" s="58"/>
      <c r="EW307" s="58"/>
      <c r="EX307" s="58"/>
      <c r="EY307" s="58"/>
      <c r="EZ307" s="85"/>
    </row>
    <row r="308" spans="1:156">
      <c r="A308" s="95"/>
      <c r="B308" s="9"/>
      <c r="I308" s="54"/>
      <c r="J308" s="6"/>
      <c r="K308" s="6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90"/>
      <c r="AO308" s="91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91"/>
      <c r="CG308" s="6"/>
      <c r="CH308" s="91"/>
      <c r="CI308" s="91"/>
      <c r="CJ308" s="91"/>
      <c r="CK308" s="91"/>
      <c r="CL308" s="6"/>
      <c r="CM308" s="6"/>
      <c r="CN308" s="6"/>
      <c r="CO308" s="6"/>
      <c r="CP308" s="6"/>
      <c r="CQ308" s="6"/>
      <c r="CR308" s="6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8"/>
      <c r="DK308" s="8"/>
      <c r="DL308" s="8"/>
      <c r="DM308" s="8"/>
      <c r="DN308" s="55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83"/>
      <c r="EC308" s="83"/>
      <c r="ED308" s="83"/>
      <c r="EE308" s="83"/>
      <c r="EF308" s="83"/>
      <c r="EG308" s="83"/>
      <c r="EH308" s="83"/>
      <c r="EI308" s="83"/>
      <c r="EJ308" s="83"/>
      <c r="EK308" s="2"/>
      <c r="EO308" s="2"/>
      <c r="ES308" s="58"/>
      <c r="ET308" s="58"/>
      <c r="EU308" s="58"/>
      <c r="EV308" s="58"/>
      <c r="EW308" s="58"/>
      <c r="EX308" s="58"/>
      <c r="EY308" s="58"/>
      <c r="EZ308" s="85"/>
    </row>
    <row r="309" spans="1:156">
      <c r="A309" s="95"/>
      <c r="B309" s="9"/>
      <c r="I309" s="54"/>
      <c r="J309" s="6"/>
      <c r="K309" s="6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90"/>
      <c r="AO309" s="91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91"/>
      <c r="CG309" s="6"/>
      <c r="CH309" s="91"/>
      <c r="CI309" s="91"/>
      <c r="CJ309" s="91"/>
      <c r="CK309" s="91"/>
      <c r="CL309" s="6"/>
      <c r="CM309" s="6"/>
      <c r="CN309" s="6"/>
      <c r="CO309" s="6"/>
      <c r="CP309" s="6"/>
      <c r="CQ309" s="6"/>
      <c r="CR309" s="6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8"/>
      <c r="DK309" s="8"/>
      <c r="DL309" s="8"/>
      <c r="DM309" s="8"/>
      <c r="DN309" s="55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83"/>
      <c r="EC309" s="83"/>
      <c r="ED309" s="83"/>
      <c r="EE309" s="83"/>
      <c r="EF309" s="83"/>
      <c r="EG309" s="83"/>
      <c r="EH309" s="83"/>
      <c r="EI309" s="83"/>
      <c r="EJ309" s="83"/>
      <c r="EK309" s="2"/>
      <c r="EO309" s="2"/>
      <c r="ES309" s="58"/>
      <c r="ET309" s="58"/>
      <c r="EU309" s="58"/>
      <c r="EV309" s="58"/>
      <c r="EW309" s="58"/>
      <c r="EX309" s="58"/>
      <c r="EY309" s="58"/>
      <c r="EZ309" s="85"/>
    </row>
    <row r="310" spans="1:156">
      <c r="A310" s="95"/>
      <c r="B310" s="9"/>
      <c r="I310" s="54"/>
      <c r="J310" s="6"/>
      <c r="K310" s="6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90"/>
      <c r="AO310" s="91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91"/>
      <c r="CG310" s="6"/>
      <c r="CH310" s="91"/>
      <c r="CI310" s="91"/>
      <c r="CJ310" s="91"/>
      <c r="CK310" s="91"/>
      <c r="CL310" s="6"/>
      <c r="CM310" s="6"/>
      <c r="CN310" s="6"/>
      <c r="CO310" s="6"/>
      <c r="CP310" s="6"/>
      <c r="CQ310" s="6"/>
      <c r="CR310" s="6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8"/>
      <c r="DK310" s="8"/>
      <c r="DL310" s="8"/>
      <c r="DM310" s="8"/>
      <c r="DN310" s="55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83"/>
      <c r="EC310" s="83"/>
      <c r="ED310" s="83"/>
      <c r="EE310" s="83"/>
      <c r="EF310" s="83"/>
      <c r="EG310" s="83"/>
      <c r="EH310" s="83"/>
      <c r="EI310" s="83"/>
      <c r="EJ310" s="83"/>
      <c r="EK310" s="2"/>
      <c r="EO310" s="2"/>
      <c r="ES310" s="58"/>
      <c r="ET310" s="58"/>
      <c r="EU310" s="58"/>
      <c r="EV310" s="58"/>
      <c r="EW310" s="58"/>
      <c r="EX310" s="58"/>
      <c r="EY310" s="58"/>
      <c r="EZ310" s="85"/>
    </row>
    <row r="311" spans="1:156">
      <c r="A311" s="95"/>
      <c r="B311" s="9"/>
      <c r="I311" s="54"/>
      <c r="J311" s="6"/>
      <c r="K311" s="6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90"/>
      <c r="AO311" s="91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91"/>
      <c r="CG311" s="6"/>
      <c r="CH311" s="91"/>
      <c r="CI311" s="91"/>
      <c r="CJ311" s="91"/>
      <c r="CK311" s="91"/>
      <c r="CL311" s="6"/>
      <c r="CM311" s="6"/>
      <c r="CN311" s="6"/>
      <c r="CO311" s="6"/>
      <c r="CP311" s="6"/>
      <c r="CQ311" s="6"/>
      <c r="CR311" s="6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8"/>
      <c r="DK311" s="8"/>
      <c r="DL311" s="8"/>
      <c r="DM311" s="8"/>
      <c r="DN311" s="55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83"/>
      <c r="EC311" s="83"/>
      <c r="ED311" s="83"/>
      <c r="EE311" s="83"/>
      <c r="EF311" s="83"/>
      <c r="EG311" s="83"/>
      <c r="EH311" s="83"/>
      <c r="EI311" s="83"/>
      <c r="EJ311" s="83"/>
      <c r="EK311" s="2"/>
      <c r="EO311" s="2"/>
      <c r="ES311" s="58"/>
      <c r="ET311" s="58"/>
      <c r="EU311" s="58"/>
      <c r="EV311" s="58"/>
      <c r="EW311" s="58"/>
      <c r="EX311" s="58"/>
      <c r="EY311" s="58"/>
      <c r="EZ311" s="85"/>
    </row>
    <row r="312" spans="1:156">
      <c r="A312" s="95"/>
      <c r="B312" s="9"/>
      <c r="I312" s="54"/>
      <c r="J312" s="6"/>
      <c r="K312" s="6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90"/>
      <c r="AO312" s="91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91"/>
      <c r="CG312" s="6"/>
      <c r="CH312" s="91"/>
      <c r="CI312" s="91"/>
      <c r="CJ312" s="91"/>
      <c r="CK312" s="91"/>
      <c r="CL312" s="6"/>
      <c r="CM312" s="6"/>
      <c r="CN312" s="6"/>
      <c r="CO312" s="6"/>
      <c r="CP312" s="6"/>
      <c r="CQ312" s="6"/>
      <c r="CR312" s="6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8"/>
      <c r="DK312" s="8"/>
      <c r="DL312" s="8"/>
      <c r="DM312" s="8"/>
      <c r="DN312" s="55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83"/>
      <c r="EC312" s="83"/>
      <c r="ED312" s="83"/>
      <c r="EE312" s="83"/>
      <c r="EF312" s="83"/>
      <c r="EG312" s="83"/>
      <c r="EH312" s="83"/>
      <c r="EI312" s="83"/>
      <c r="EJ312" s="83"/>
      <c r="EK312" s="2"/>
      <c r="EO312" s="2"/>
      <c r="ES312" s="58"/>
      <c r="ET312" s="58"/>
      <c r="EU312" s="58"/>
      <c r="EV312" s="58"/>
      <c r="EW312" s="58"/>
      <c r="EX312" s="58"/>
      <c r="EY312" s="58"/>
      <c r="EZ312" s="85"/>
    </row>
    <row r="313" spans="1:156">
      <c r="A313" s="95"/>
      <c r="B313" s="9"/>
      <c r="I313" s="54"/>
      <c r="J313" s="6"/>
      <c r="K313" s="6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90"/>
      <c r="AO313" s="91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91"/>
      <c r="CG313" s="6"/>
      <c r="CH313" s="91"/>
      <c r="CI313" s="91"/>
      <c r="CJ313" s="91"/>
      <c r="CK313" s="91"/>
      <c r="CL313" s="6"/>
      <c r="CM313" s="6"/>
      <c r="CN313" s="6"/>
      <c r="CO313" s="6"/>
      <c r="CP313" s="6"/>
      <c r="CQ313" s="6"/>
      <c r="CR313" s="6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8"/>
      <c r="DK313" s="8"/>
      <c r="DL313" s="8"/>
      <c r="DM313" s="8"/>
      <c r="DN313" s="55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83"/>
      <c r="EC313" s="83"/>
      <c r="ED313" s="83"/>
      <c r="EE313" s="83"/>
      <c r="EF313" s="83"/>
      <c r="EG313" s="83"/>
      <c r="EH313" s="83"/>
      <c r="EI313" s="83"/>
      <c r="EJ313" s="83"/>
      <c r="EK313" s="2"/>
      <c r="EO313" s="2"/>
      <c r="ES313" s="58"/>
      <c r="ET313" s="58"/>
      <c r="EU313" s="58"/>
      <c r="EV313" s="58"/>
      <c r="EW313" s="58"/>
      <c r="EX313" s="58"/>
      <c r="EY313" s="58"/>
      <c r="EZ313" s="85"/>
    </row>
    <row r="314" spans="1:156">
      <c r="A314" s="95"/>
      <c r="B314" s="9"/>
      <c r="I314" s="54"/>
      <c r="J314" s="6"/>
      <c r="K314" s="6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90"/>
      <c r="AO314" s="91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91"/>
      <c r="CG314" s="6"/>
      <c r="CH314" s="91"/>
      <c r="CI314" s="91"/>
      <c r="CJ314" s="91"/>
      <c r="CK314" s="91"/>
      <c r="CL314" s="6"/>
      <c r="CM314" s="6"/>
      <c r="CN314" s="6"/>
      <c r="CO314" s="6"/>
      <c r="CP314" s="6"/>
      <c r="CQ314" s="6"/>
      <c r="CR314" s="6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8"/>
      <c r="DK314" s="8"/>
      <c r="DL314" s="8"/>
      <c r="DM314" s="8"/>
      <c r="DN314" s="55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83"/>
      <c r="EC314" s="83"/>
      <c r="ED314" s="83"/>
      <c r="EE314" s="83"/>
      <c r="EF314" s="83"/>
      <c r="EG314" s="83"/>
      <c r="EH314" s="83"/>
      <c r="EI314" s="83"/>
      <c r="EJ314" s="83"/>
      <c r="EK314" s="2"/>
      <c r="EO314" s="2"/>
      <c r="ES314" s="58"/>
      <c r="ET314" s="58"/>
      <c r="EU314" s="58"/>
      <c r="EV314" s="58"/>
      <c r="EW314" s="58"/>
      <c r="EX314" s="58"/>
      <c r="EY314" s="58"/>
      <c r="EZ314" s="85"/>
    </row>
    <row r="315" spans="1:156">
      <c r="A315" s="95"/>
      <c r="B315" s="9"/>
      <c r="I315" s="54"/>
      <c r="J315" s="6"/>
      <c r="K315" s="6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90"/>
      <c r="AO315" s="91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91"/>
      <c r="CG315" s="6"/>
      <c r="CH315" s="91"/>
      <c r="CI315" s="91"/>
      <c r="CJ315" s="91"/>
      <c r="CK315" s="91"/>
      <c r="CL315" s="6"/>
      <c r="CM315" s="6"/>
      <c r="CN315" s="6"/>
      <c r="CO315" s="6"/>
      <c r="CP315" s="6"/>
      <c r="CQ315" s="6"/>
      <c r="CR315" s="6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8"/>
      <c r="DK315" s="8"/>
      <c r="DL315" s="8"/>
      <c r="DM315" s="8"/>
      <c r="DN315" s="55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83"/>
      <c r="EC315" s="83"/>
      <c r="ED315" s="83"/>
      <c r="EE315" s="83"/>
      <c r="EF315" s="83"/>
      <c r="EG315" s="83"/>
      <c r="EH315" s="83"/>
      <c r="EI315" s="83"/>
      <c r="EJ315" s="83"/>
      <c r="EK315" s="2"/>
      <c r="EO315" s="2"/>
      <c r="ES315" s="58"/>
      <c r="ET315" s="58"/>
      <c r="EU315" s="58"/>
      <c r="EV315" s="58"/>
      <c r="EW315" s="58"/>
      <c r="EX315" s="58"/>
      <c r="EY315" s="58"/>
      <c r="EZ315" s="85"/>
    </row>
    <row r="316" spans="1:156">
      <c r="A316" s="95"/>
      <c r="B316" s="9"/>
      <c r="I316" s="54"/>
      <c r="J316" s="6"/>
      <c r="K316" s="6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90"/>
      <c r="AO316" s="91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91"/>
      <c r="CG316" s="6"/>
      <c r="CH316" s="91"/>
      <c r="CI316" s="91"/>
      <c r="CJ316" s="91"/>
      <c r="CK316" s="91"/>
      <c r="CL316" s="6"/>
      <c r="CM316" s="6"/>
      <c r="CN316" s="6"/>
      <c r="CO316" s="6"/>
      <c r="CP316" s="6"/>
      <c r="CQ316" s="6"/>
      <c r="CR316" s="6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8"/>
      <c r="DK316" s="8"/>
      <c r="DL316" s="8"/>
      <c r="DM316" s="8"/>
      <c r="DN316" s="55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83"/>
      <c r="EC316" s="83"/>
      <c r="ED316" s="83"/>
      <c r="EE316" s="83"/>
      <c r="EF316" s="83"/>
      <c r="EG316" s="83"/>
      <c r="EH316" s="83"/>
      <c r="EI316" s="83"/>
      <c r="EJ316" s="83"/>
      <c r="EK316" s="2"/>
      <c r="EO316" s="2"/>
      <c r="ES316" s="58"/>
      <c r="ET316" s="58"/>
      <c r="EU316" s="58"/>
      <c r="EV316" s="58"/>
      <c r="EW316" s="58"/>
      <c r="EX316" s="58"/>
      <c r="EY316" s="58"/>
      <c r="EZ316" s="85"/>
    </row>
    <row r="317" spans="1:156">
      <c r="A317" s="95"/>
      <c r="B317" s="9"/>
      <c r="I317" s="54"/>
      <c r="J317" s="6"/>
      <c r="K317" s="6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90"/>
      <c r="AO317" s="91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91"/>
      <c r="CG317" s="6"/>
      <c r="CH317" s="91"/>
      <c r="CI317" s="91"/>
      <c r="CJ317" s="91"/>
      <c r="CK317" s="91"/>
      <c r="CL317" s="6"/>
      <c r="CM317" s="6"/>
      <c r="CN317" s="6"/>
      <c r="CO317" s="6"/>
      <c r="CP317" s="6"/>
      <c r="CQ317" s="6"/>
      <c r="CR317" s="6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8"/>
      <c r="DK317" s="8"/>
      <c r="DL317" s="8"/>
      <c r="DM317" s="8"/>
      <c r="DN317" s="55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83"/>
      <c r="EC317" s="83"/>
      <c r="ED317" s="83"/>
      <c r="EE317" s="83"/>
      <c r="EF317" s="83"/>
      <c r="EG317" s="83"/>
      <c r="EH317" s="83"/>
      <c r="EI317" s="83"/>
      <c r="EJ317" s="83"/>
      <c r="EK317" s="2"/>
      <c r="EO317" s="2"/>
      <c r="ES317" s="58"/>
      <c r="ET317" s="58"/>
      <c r="EU317" s="58"/>
      <c r="EV317" s="58"/>
      <c r="EW317" s="58"/>
      <c r="EX317" s="58"/>
      <c r="EY317" s="58"/>
      <c r="EZ317" s="85"/>
    </row>
    <row r="318" spans="1:156">
      <c r="A318" s="95"/>
      <c r="B318" s="9"/>
      <c r="I318" s="54"/>
      <c r="J318" s="6"/>
      <c r="K318" s="6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90"/>
      <c r="AO318" s="91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91"/>
      <c r="CG318" s="6"/>
      <c r="CH318" s="91"/>
      <c r="CI318" s="91"/>
      <c r="CJ318" s="91"/>
      <c r="CK318" s="91"/>
      <c r="CL318" s="6"/>
      <c r="CM318" s="6"/>
      <c r="CN318" s="6"/>
      <c r="CO318" s="6"/>
      <c r="CP318" s="6"/>
      <c r="CQ318" s="6"/>
      <c r="CR318" s="6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8"/>
      <c r="DK318" s="8"/>
      <c r="DL318" s="8"/>
      <c r="DM318" s="8"/>
      <c r="DN318" s="55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83"/>
      <c r="EC318" s="83"/>
      <c r="ED318" s="83"/>
      <c r="EE318" s="83"/>
      <c r="EF318" s="83"/>
      <c r="EG318" s="83"/>
      <c r="EH318" s="83"/>
      <c r="EI318" s="83"/>
      <c r="EJ318" s="83"/>
      <c r="EK318" s="2"/>
      <c r="EO318" s="2"/>
      <c r="ES318" s="58"/>
      <c r="ET318" s="58"/>
      <c r="EU318" s="58"/>
      <c r="EV318" s="58"/>
      <c r="EW318" s="58"/>
      <c r="EX318" s="58"/>
      <c r="EY318" s="58"/>
      <c r="EZ318" s="85"/>
    </row>
    <row r="319" spans="1:156">
      <c r="A319" s="95"/>
      <c r="B319" s="9"/>
      <c r="I319" s="54"/>
      <c r="J319" s="6"/>
      <c r="K319" s="6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90"/>
      <c r="AO319" s="91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91"/>
      <c r="CG319" s="6"/>
      <c r="CH319" s="91"/>
      <c r="CI319" s="91"/>
      <c r="CJ319" s="91"/>
      <c r="CK319" s="91"/>
      <c r="CL319" s="6"/>
      <c r="CM319" s="6"/>
      <c r="CN319" s="6"/>
      <c r="CO319" s="6"/>
      <c r="CP319" s="6"/>
      <c r="CQ319" s="6"/>
      <c r="CR319" s="6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8"/>
      <c r="DK319" s="8"/>
      <c r="DL319" s="8"/>
      <c r="DM319" s="8"/>
      <c r="DN319" s="55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83"/>
      <c r="EC319" s="83"/>
      <c r="ED319" s="83"/>
      <c r="EE319" s="83"/>
      <c r="EF319" s="83"/>
      <c r="EG319" s="83"/>
      <c r="EH319" s="83"/>
      <c r="EI319" s="83"/>
      <c r="EJ319" s="83"/>
      <c r="EK319" s="2"/>
      <c r="EO319" s="2"/>
      <c r="ES319" s="58"/>
      <c r="ET319" s="58"/>
      <c r="EU319" s="58"/>
      <c r="EV319" s="58"/>
      <c r="EW319" s="58"/>
      <c r="EX319" s="58"/>
      <c r="EY319" s="58"/>
      <c r="EZ319" s="85"/>
    </row>
    <row r="320" spans="1:156">
      <c r="A320" s="95"/>
      <c r="B320" s="9"/>
      <c r="I320" s="54"/>
      <c r="J320" s="6"/>
      <c r="K320" s="6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90"/>
      <c r="AO320" s="91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91"/>
      <c r="CG320" s="6"/>
      <c r="CH320" s="91"/>
      <c r="CI320" s="91"/>
      <c r="CJ320" s="91"/>
      <c r="CK320" s="91"/>
      <c r="CL320" s="6"/>
      <c r="CM320" s="6"/>
      <c r="CN320" s="6"/>
      <c r="CO320" s="6"/>
      <c r="CP320" s="6"/>
      <c r="CQ320" s="6"/>
      <c r="CR320" s="6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8"/>
      <c r="DK320" s="8"/>
      <c r="DL320" s="8"/>
      <c r="DM320" s="8"/>
      <c r="DN320" s="55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83"/>
      <c r="EC320" s="83"/>
      <c r="ED320" s="83"/>
      <c r="EE320" s="83"/>
      <c r="EF320" s="83"/>
      <c r="EG320" s="83"/>
      <c r="EH320" s="83"/>
      <c r="EI320" s="83"/>
      <c r="EJ320" s="83"/>
      <c r="EK320" s="2"/>
      <c r="EO320" s="2"/>
      <c r="ES320" s="58"/>
      <c r="ET320" s="58"/>
      <c r="EU320" s="58"/>
      <c r="EV320" s="58"/>
      <c r="EW320" s="58"/>
      <c r="EX320" s="58"/>
      <c r="EY320" s="58"/>
      <c r="EZ320" s="85"/>
    </row>
    <row r="321" spans="1:156">
      <c r="A321" s="95"/>
      <c r="B321" s="9"/>
      <c r="I321" s="54"/>
      <c r="J321" s="6"/>
      <c r="K321" s="6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90"/>
      <c r="AO321" s="91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91"/>
      <c r="CG321" s="6"/>
      <c r="CH321" s="91"/>
      <c r="CI321" s="91"/>
      <c r="CJ321" s="91"/>
      <c r="CK321" s="91"/>
      <c r="CL321" s="6"/>
      <c r="CM321" s="6"/>
      <c r="CN321" s="6"/>
      <c r="CO321" s="6"/>
      <c r="CP321" s="6"/>
      <c r="CQ321" s="6"/>
      <c r="CR321" s="6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8"/>
      <c r="DK321" s="8"/>
      <c r="DL321" s="8"/>
      <c r="DM321" s="8"/>
      <c r="DN321" s="55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83"/>
      <c r="EC321" s="83"/>
      <c r="ED321" s="83"/>
      <c r="EE321" s="83"/>
      <c r="EF321" s="83"/>
      <c r="EG321" s="83"/>
      <c r="EH321" s="83"/>
      <c r="EI321" s="83"/>
      <c r="EJ321" s="83"/>
      <c r="EK321" s="2"/>
      <c r="EO321" s="2"/>
      <c r="ES321" s="58"/>
      <c r="ET321" s="58"/>
      <c r="EU321" s="58"/>
      <c r="EV321" s="58"/>
      <c r="EW321" s="58"/>
      <c r="EX321" s="58"/>
      <c r="EY321" s="58"/>
      <c r="EZ321" s="85"/>
    </row>
    <row r="322" spans="1:156">
      <c r="A322" s="95"/>
      <c r="B322" s="9"/>
      <c r="I322" s="54"/>
      <c r="J322" s="6"/>
      <c r="K322" s="6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90"/>
      <c r="AO322" s="91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91"/>
      <c r="CG322" s="6"/>
      <c r="CH322" s="91"/>
      <c r="CI322" s="91"/>
      <c r="CJ322" s="91"/>
      <c r="CK322" s="91"/>
      <c r="CL322" s="6"/>
      <c r="CM322" s="6"/>
      <c r="CN322" s="6"/>
      <c r="CO322" s="6"/>
      <c r="CP322" s="6"/>
      <c r="CQ322" s="6"/>
      <c r="CR322" s="6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8"/>
      <c r="DK322" s="8"/>
      <c r="DL322" s="8"/>
      <c r="DM322" s="8"/>
      <c r="DN322" s="55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83"/>
      <c r="EC322" s="83"/>
      <c r="ED322" s="83"/>
      <c r="EE322" s="83"/>
      <c r="EF322" s="83"/>
      <c r="EG322" s="83"/>
      <c r="EH322" s="83"/>
      <c r="EI322" s="83"/>
      <c r="EJ322" s="83"/>
      <c r="EK322" s="2"/>
      <c r="EO322" s="2"/>
      <c r="ES322" s="58"/>
      <c r="ET322" s="58"/>
      <c r="EU322" s="58"/>
      <c r="EV322" s="58"/>
      <c r="EW322" s="58"/>
      <c r="EX322" s="58"/>
      <c r="EY322" s="58"/>
      <c r="EZ322" s="85"/>
    </row>
    <row r="323" spans="1:156">
      <c r="A323" s="95"/>
      <c r="B323" s="9"/>
      <c r="I323" s="54"/>
      <c r="J323" s="6"/>
      <c r="K323" s="6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90"/>
      <c r="AO323" s="91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91"/>
      <c r="CG323" s="6"/>
      <c r="CH323" s="91"/>
      <c r="CI323" s="91"/>
      <c r="CJ323" s="91"/>
      <c r="CK323" s="91"/>
      <c r="CL323" s="6"/>
      <c r="CM323" s="6"/>
      <c r="CN323" s="6"/>
      <c r="CO323" s="6"/>
      <c r="CP323" s="6"/>
      <c r="CQ323" s="6"/>
      <c r="CR323" s="6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8"/>
      <c r="DK323" s="8"/>
      <c r="DL323" s="8"/>
      <c r="DM323" s="8"/>
      <c r="DN323" s="55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83"/>
      <c r="EC323" s="83"/>
      <c r="ED323" s="83"/>
      <c r="EE323" s="83"/>
      <c r="EF323" s="83"/>
      <c r="EG323" s="83"/>
      <c r="EH323" s="83"/>
      <c r="EI323" s="83"/>
      <c r="EJ323" s="83"/>
      <c r="EK323" s="2"/>
      <c r="EO323" s="2"/>
      <c r="ES323" s="58"/>
      <c r="ET323" s="58"/>
      <c r="EU323" s="58"/>
      <c r="EV323" s="58"/>
      <c r="EW323" s="58"/>
      <c r="EX323" s="58"/>
      <c r="EY323" s="58"/>
      <c r="EZ323" s="85"/>
    </row>
    <row r="324" spans="1:156">
      <c r="A324" s="95"/>
      <c r="B324" s="9"/>
      <c r="I324" s="54"/>
      <c r="J324" s="6"/>
      <c r="K324" s="6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90"/>
      <c r="AO324" s="91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91"/>
      <c r="CG324" s="6"/>
      <c r="CH324" s="91"/>
      <c r="CI324" s="91"/>
      <c r="CJ324" s="91"/>
      <c r="CK324" s="91"/>
      <c r="CL324" s="6"/>
      <c r="CM324" s="6"/>
      <c r="CN324" s="6"/>
      <c r="CO324" s="6"/>
      <c r="CP324" s="6"/>
      <c r="CQ324" s="6"/>
      <c r="CR324" s="6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8"/>
      <c r="DK324" s="8"/>
      <c r="DL324" s="8"/>
      <c r="DM324" s="8"/>
      <c r="DN324" s="55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83"/>
      <c r="EC324" s="83"/>
      <c r="ED324" s="83"/>
      <c r="EE324" s="83"/>
      <c r="EF324" s="83"/>
      <c r="EG324" s="83"/>
      <c r="EH324" s="83"/>
      <c r="EI324" s="83"/>
      <c r="EJ324" s="83"/>
      <c r="EK324" s="2"/>
      <c r="EO324" s="2"/>
      <c r="ES324" s="58"/>
      <c r="ET324" s="58"/>
      <c r="EU324" s="58"/>
      <c r="EV324" s="58"/>
      <c r="EW324" s="58"/>
      <c r="EX324" s="58"/>
      <c r="EY324" s="58"/>
      <c r="EZ324" s="85"/>
    </row>
    <row r="325" spans="1:156">
      <c r="A325" s="95"/>
      <c r="B325" s="9"/>
      <c r="I325" s="54"/>
      <c r="J325" s="6"/>
      <c r="K325" s="6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90"/>
      <c r="AO325" s="91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91"/>
      <c r="CG325" s="6"/>
      <c r="CH325" s="91"/>
      <c r="CI325" s="91"/>
      <c r="CJ325" s="91"/>
      <c r="CK325" s="91"/>
      <c r="CL325" s="6"/>
      <c r="CM325" s="6"/>
      <c r="CN325" s="6"/>
      <c r="CO325" s="6"/>
      <c r="CP325" s="6"/>
      <c r="CQ325" s="6"/>
      <c r="CR325" s="6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8"/>
      <c r="DK325" s="8"/>
      <c r="DL325" s="8"/>
      <c r="DM325" s="8"/>
      <c r="DN325" s="55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83"/>
      <c r="EC325" s="83"/>
      <c r="ED325" s="83"/>
      <c r="EE325" s="83"/>
      <c r="EF325" s="83"/>
      <c r="EG325" s="83"/>
      <c r="EH325" s="83"/>
      <c r="EI325" s="83"/>
      <c r="EJ325" s="83"/>
      <c r="EK325" s="2"/>
      <c r="EO325" s="2"/>
      <c r="ES325" s="58"/>
      <c r="ET325" s="58"/>
      <c r="EU325" s="58"/>
      <c r="EV325" s="58"/>
      <c r="EW325" s="58"/>
      <c r="EX325" s="58"/>
      <c r="EY325" s="58"/>
      <c r="EZ325" s="85"/>
    </row>
    <row r="326" spans="1:156">
      <c r="A326" s="95"/>
      <c r="B326" s="9"/>
      <c r="I326" s="54"/>
      <c r="J326" s="6"/>
      <c r="K326" s="6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90"/>
      <c r="AO326" s="91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91"/>
      <c r="CG326" s="6"/>
      <c r="CH326" s="91"/>
      <c r="CI326" s="91"/>
      <c r="CJ326" s="91"/>
      <c r="CK326" s="91"/>
      <c r="CL326" s="6"/>
      <c r="CM326" s="6"/>
      <c r="CN326" s="6"/>
      <c r="CO326" s="6"/>
      <c r="CP326" s="6"/>
      <c r="CQ326" s="6"/>
      <c r="CR326" s="6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8"/>
      <c r="DK326" s="8"/>
      <c r="DL326" s="8"/>
      <c r="DM326" s="8"/>
      <c r="DN326" s="55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83"/>
      <c r="EC326" s="83"/>
      <c r="ED326" s="83"/>
      <c r="EE326" s="83"/>
      <c r="EF326" s="83"/>
      <c r="EG326" s="83"/>
      <c r="EH326" s="83"/>
      <c r="EI326" s="83"/>
      <c r="EJ326" s="83"/>
      <c r="EK326" s="2"/>
      <c r="EO326" s="2"/>
      <c r="ES326" s="58"/>
      <c r="ET326" s="58"/>
      <c r="EU326" s="58"/>
      <c r="EV326" s="58"/>
      <c r="EW326" s="58"/>
      <c r="EX326" s="58"/>
      <c r="EY326" s="58"/>
      <c r="EZ326" s="85"/>
    </row>
    <row r="327" spans="1:156">
      <c r="A327" s="95"/>
      <c r="B327" s="9"/>
      <c r="I327" s="54"/>
      <c r="J327" s="6"/>
      <c r="K327" s="6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90"/>
      <c r="AO327" s="91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91"/>
      <c r="CG327" s="6"/>
      <c r="CH327" s="91"/>
      <c r="CI327" s="91"/>
      <c r="CJ327" s="91"/>
      <c r="CK327" s="91"/>
      <c r="CL327" s="6"/>
      <c r="CM327" s="6"/>
      <c r="CN327" s="6"/>
      <c r="CO327" s="6"/>
      <c r="CP327" s="6"/>
      <c r="CQ327" s="6"/>
      <c r="CR327" s="6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8"/>
      <c r="DK327" s="8"/>
      <c r="DL327" s="8"/>
      <c r="DM327" s="8"/>
      <c r="DN327" s="55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83"/>
      <c r="EC327" s="83"/>
      <c r="ED327" s="83"/>
      <c r="EE327" s="83"/>
      <c r="EF327" s="83"/>
      <c r="EG327" s="83"/>
      <c r="EH327" s="83"/>
      <c r="EI327" s="83"/>
      <c r="EJ327" s="83"/>
      <c r="EK327" s="2"/>
      <c r="EO327" s="2"/>
      <c r="ES327" s="58"/>
      <c r="ET327" s="58"/>
      <c r="EU327" s="58"/>
      <c r="EV327" s="58"/>
      <c r="EW327" s="58"/>
      <c r="EX327" s="58"/>
      <c r="EY327" s="58"/>
      <c r="EZ327" s="85"/>
    </row>
    <row r="328" spans="1:156">
      <c r="A328" s="95"/>
      <c r="B328" s="9"/>
      <c r="I328" s="54"/>
      <c r="J328" s="6"/>
      <c r="K328" s="6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90"/>
      <c r="AO328" s="91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91"/>
      <c r="CG328" s="6"/>
      <c r="CH328" s="91"/>
      <c r="CI328" s="91"/>
      <c r="CJ328" s="91"/>
      <c r="CK328" s="91"/>
      <c r="CL328" s="6"/>
      <c r="CM328" s="6"/>
      <c r="CN328" s="6"/>
      <c r="CO328" s="6"/>
      <c r="CP328" s="6"/>
      <c r="CQ328" s="6"/>
      <c r="CR328" s="6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8"/>
      <c r="DK328" s="8"/>
      <c r="DL328" s="8"/>
      <c r="DM328" s="8"/>
      <c r="DN328" s="55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83"/>
      <c r="EC328" s="83"/>
      <c r="ED328" s="83"/>
      <c r="EE328" s="83"/>
      <c r="EF328" s="83"/>
      <c r="EG328" s="83"/>
      <c r="EH328" s="83"/>
      <c r="EI328" s="83"/>
      <c r="EJ328" s="83"/>
      <c r="EK328" s="2"/>
      <c r="EO328" s="2"/>
      <c r="ES328" s="58"/>
      <c r="ET328" s="58"/>
      <c r="EU328" s="58"/>
      <c r="EV328" s="58"/>
      <c r="EW328" s="58"/>
      <c r="EX328" s="58"/>
      <c r="EY328" s="58"/>
      <c r="EZ328" s="85"/>
    </row>
    <row r="329" spans="1:156">
      <c r="A329" s="95"/>
      <c r="B329" s="9"/>
      <c r="I329" s="54"/>
      <c r="J329" s="6"/>
      <c r="K329" s="6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90"/>
      <c r="AO329" s="91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91"/>
      <c r="CG329" s="6"/>
      <c r="CH329" s="91"/>
      <c r="CI329" s="91"/>
      <c r="CJ329" s="91"/>
      <c r="CK329" s="91"/>
      <c r="CL329" s="6"/>
      <c r="CM329" s="6"/>
      <c r="CN329" s="6"/>
      <c r="CO329" s="6"/>
      <c r="CP329" s="6"/>
      <c r="CQ329" s="6"/>
      <c r="CR329" s="6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8"/>
      <c r="DK329" s="8"/>
      <c r="DL329" s="8"/>
      <c r="DM329" s="8"/>
      <c r="DN329" s="55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83"/>
      <c r="EC329" s="83"/>
      <c r="ED329" s="83"/>
      <c r="EE329" s="83"/>
      <c r="EF329" s="83"/>
      <c r="EG329" s="83"/>
      <c r="EH329" s="83"/>
      <c r="EI329" s="83"/>
      <c r="EJ329" s="83"/>
      <c r="EK329" s="2"/>
      <c r="EO329" s="2"/>
      <c r="ES329" s="58"/>
      <c r="ET329" s="58"/>
      <c r="EU329" s="58"/>
      <c r="EV329" s="58"/>
      <c r="EW329" s="58"/>
      <c r="EX329" s="58"/>
      <c r="EY329" s="58"/>
      <c r="EZ329" s="85"/>
    </row>
    <row r="330" spans="1:156">
      <c r="A330" s="95"/>
      <c r="B330" s="9"/>
      <c r="I330" s="54"/>
      <c r="J330" s="6"/>
      <c r="K330" s="6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90"/>
      <c r="AO330" s="91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91"/>
      <c r="CG330" s="6"/>
      <c r="CH330" s="91"/>
      <c r="CI330" s="91"/>
      <c r="CJ330" s="91"/>
      <c r="CK330" s="91"/>
      <c r="CL330" s="6"/>
      <c r="CM330" s="6"/>
      <c r="CN330" s="6"/>
      <c r="CO330" s="6"/>
      <c r="CP330" s="6"/>
      <c r="CQ330" s="6"/>
      <c r="CR330" s="6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8"/>
      <c r="DK330" s="8"/>
      <c r="DL330" s="8"/>
      <c r="DM330" s="8"/>
      <c r="DN330" s="55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83"/>
      <c r="EC330" s="83"/>
      <c r="ED330" s="83"/>
      <c r="EE330" s="83"/>
      <c r="EF330" s="83"/>
      <c r="EG330" s="83"/>
      <c r="EH330" s="83"/>
      <c r="EI330" s="83"/>
      <c r="EJ330" s="83"/>
      <c r="EK330" s="2"/>
      <c r="EO330" s="2"/>
      <c r="ES330" s="58"/>
      <c r="ET330" s="58"/>
      <c r="EU330" s="58"/>
      <c r="EV330" s="58"/>
      <c r="EW330" s="58"/>
      <c r="EX330" s="58"/>
      <c r="EY330" s="58"/>
      <c r="EZ330" s="85"/>
    </row>
    <row r="331" spans="1:156">
      <c r="A331" s="95"/>
      <c r="B331" s="9"/>
      <c r="I331" s="54"/>
      <c r="J331" s="6"/>
      <c r="K331" s="6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90"/>
      <c r="AO331" s="91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91"/>
      <c r="CG331" s="6"/>
      <c r="CH331" s="91"/>
      <c r="CI331" s="91"/>
      <c r="CJ331" s="91"/>
      <c r="CK331" s="91"/>
      <c r="CL331" s="6"/>
      <c r="CM331" s="6"/>
      <c r="CN331" s="6"/>
      <c r="CO331" s="6"/>
      <c r="CP331" s="6"/>
      <c r="CQ331" s="6"/>
      <c r="CR331" s="6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8"/>
      <c r="DK331" s="8"/>
      <c r="DL331" s="8"/>
      <c r="DM331" s="8"/>
      <c r="DN331" s="55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83"/>
      <c r="EC331" s="83"/>
      <c r="ED331" s="83"/>
      <c r="EE331" s="83"/>
      <c r="EF331" s="83"/>
      <c r="EG331" s="83"/>
      <c r="EH331" s="83"/>
      <c r="EI331" s="83"/>
      <c r="EJ331" s="83"/>
      <c r="EK331" s="2"/>
      <c r="EO331" s="2"/>
      <c r="ES331" s="58"/>
      <c r="ET331" s="58"/>
      <c r="EU331" s="58"/>
      <c r="EV331" s="58"/>
      <c r="EW331" s="58"/>
      <c r="EX331" s="58"/>
      <c r="EY331" s="58"/>
      <c r="EZ331" s="85"/>
    </row>
    <row r="332" spans="1:156">
      <c r="A332" s="95"/>
      <c r="B332" s="9"/>
      <c r="I332" s="54"/>
      <c r="J332" s="6"/>
      <c r="K332" s="6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90"/>
      <c r="AO332" s="91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91"/>
      <c r="CG332" s="6"/>
      <c r="CH332" s="91"/>
      <c r="CI332" s="91"/>
      <c r="CJ332" s="91"/>
      <c r="CK332" s="91"/>
      <c r="CL332" s="6"/>
      <c r="CM332" s="6"/>
      <c r="CN332" s="6"/>
      <c r="CO332" s="6"/>
      <c r="CP332" s="6"/>
      <c r="CQ332" s="6"/>
      <c r="CR332" s="6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8"/>
      <c r="DK332" s="8"/>
      <c r="DL332" s="8"/>
      <c r="DM332" s="8"/>
      <c r="DN332" s="55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83"/>
      <c r="EC332" s="83"/>
      <c r="ED332" s="83"/>
      <c r="EE332" s="83"/>
      <c r="EF332" s="83"/>
      <c r="EG332" s="83"/>
      <c r="EH332" s="83"/>
      <c r="EI332" s="83"/>
      <c r="EJ332" s="83"/>
      <c r="EK332" s="2"/>
      <c r="EO332" s="2"/>
      <c r="ES332" s="58"/>
      <c r="ET332" s="58"/>
      <c r="EU332" s="58"/>
      <c r="EV332" s="58"/>
      <c r="EW332" s="58"/>
      <c r="EX332" s="58"/>
      <c r="EY332" s="58"/>
      <c r="EZ332" s="85"/>
    </row>
    <row r="333" spans="1:156">
      <c r="A333" s="95"/>
      <c r="B333" s="9"/>
      <c r="I333" s="54"/>
      <c r="J333" s="6"/>
      <c r="K333" s="6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90"/>
      <c r="AO333" s="91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91"/>
      <c r="CG333" s="6"/>
      <c r="CH333" s="91"/>
      <c r="CI333" s="91"/>
      <c r="CJ333" s="91"/>
      <c r="CK333" s="91"/>
      <c r="CL333" s="6"/>
      <c r="CM333" s="6"/>
      <c r="CN333" s="6"/>
      <c r="CO333" s="6"/>
      <c r="CP333" s="6"/>
      <c r="CQ333" s="6"/>
      <c r="CR333" s="6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8"/>
      <c r="DK333" s="8"/>
      <c r="DL333" s="8"/>
      <c r="DM333" s="8"/>
      <c r="DN333" s="55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83"/>
      <c r="EC333" s="83"/>
      <c r="ED333" s="83"/>
      <c r="EE333" s="83"/>
      <c r="EF333" s="83"/>
      <c r="EG333" s="83"/>
      <c r="EH333" s="83"/>
      <c r="EI333" s="83"/>
      <c r="EJ333" s="83"/>
      <c r="EK333" s="2"/>
      <c r="EO333" s="2"/>
      <c r="ES333" s="58"/>
      <c r="ET333" s="58"/>
      <c r="EU333" s="58"/>
      <c r="EV333" s="58"/>
      <c r="EW333" s="58"/>
      <c r="EX333" s="58"/>
      <c r="EY333" s="58"/>
      <c r="EZ333" s="85"/>
    </row>
    <row r="334" spans="1:156">
      <c r="A334" s="95"/>
      <c r="B334" s="9"/>
      <c r="I334" s="54"/>
      <c r="J334" s="6"/>
      <c r="K334" s="6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90"/>
      <c r="AO334" s="91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91"/>
      <c r="CG334" s="6"/>
      <c r="CH334" s="91"/>
      <c r="CI334" s="91"/>
      <c r="CJ334" s="91"/>
      <c r="CK334" s="91"/>
      <c r="CL334" s="6"/>
      <c r="CM334" s="6"/>
      <c r="CN334" s="6"/>
      <c r="CO334" s="6"/>
      <c r="CP334" s="6"/>
      <c r="CQ334" s="6"/>
      <c r="CR334" s="6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8"/>
      <c r="DK334" s="8"/>
      <c r="DL334" s="8"/>
      <c r="DM334" s="8"/>
      <c r="DN334" s="55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83"/>
      <c r="EC334" s="83"/>
      <c r="ED334" s="83"/>
      <c r="EE334" s="83"/>
      <c r="EF334" s="83"/>
      <c r="EG334" s="83"/>
      <c r="EH334" s="83"/>
      <c r="EI334" s="83"/>
      <c r="EJ334" s="83"/>
      <c r="EK334" s="2"/>
      <c r="EO334" s="2"/>
      <c r="ES334" s="58"/>
      <c r="ET334" s="58"/>
      <c r="EU334" s="58"/>
      <c r="EV334" s="58"/>
      <c r="EW334" s="58"/>
      <c r="EX334" s="58"/>
      <c r="EY334" s="58"/>
      <c r="EZ334" s="85"/>
    </row>
    <row r="335" spans="1:156">
      <c r="A335" s="95"/>
      <c r="B335" s="9"/>
      <c r="I335" s="54"/>
      <c r="J335" s="6"/>
      <c r="K335" s="6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90"/>
      <c r="AO335" s="91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91"/>
      <c r="CG335" s="6"/>
      <c r="CH335" s="91"/>
      <c r="CI335" s="91"/>
      <c r="CJ335" s="91"/>
      <c r="CK335" s="91"/>
      <c r="CL335" s="6"/>
      <c r="CM335" s="6"/>
      <c r="CN335" s="6"/>
      <c r="CO335" s="6"/>
      <c r="CP335" s="6"/>
      <c r="CQ335" s="6"/>
      <c r="CR335" s="6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8"/>
      <c r="DK335" s="8"/>
      <c r="DL335" s="8"/>
      <c r="DM335" s="8"/>
      <c r="DN335" s="55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83"/>
      <c r="EC335" s="83"/>
      <c r="ED335" s="83"/>
      <c r="EE335" s="83"/>
      <c r="EF335" s="83"/>
      <c r="EG335" s="83"/>
      <c r="EH335" s="83"/>
      <c r="EI335" s="83"/>
      <c r="EJ335" s="83"/>
      <c r="EK335" s="2"/>
      <c r="EO335" s="2"/>
      <c r="ES335" s="58"/>
      <c r="ET335" s="58"/>
      <c r="EU335" s="58"/>
      <c r="EV335" s="58"/>
      <c r="EW335" s="58"/>
      <c r="EX335" s="58"/>
      <c r="EY335" s="58"/>
      <c r="EZ335" s="85"/>
    </row>
    <row r="336" spans="1:156">
      <c r="A336" s="95"/>
      <c r="B336" s="9"/>
      <c r="I336" s="54"/>
      <c r="J336" s="6"/>
      <c r="K336" s="6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90"/>
      <c r="AO336" s="91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91"/>
      <c r="CG336" s="6"/>
      <c r="CH336" s="91"/>
      <c r="CI336" s="91"/>
      <c r="CJ336" s="91"/>
      <c r="CK336" s="91"/>
      <c r="CL336" s="6"/>
      <c r="CM336" s="6"/>
      <c r="CN336" s="6"/>
      <c r="CO336" s="6"/>
      <c r="CP336" s="6"/>
      <c r="CQ336" s="6"/>
      <c r="CR336" s="6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8"/>
      <c r="DK336" s="8"/>
      <c r="DL336" s="8"/>
      <c r="DM336" s="8"/>
      <c r="DN336" s="55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83"/>
      <c r="EC336" s="83"/>
      <c r="ED336" s="83"/>
      <c r="EE336" s="83"/>
      <c r="EF336" s="83"/>
      <c r="EG336" s="83"/>
      <c r="EH336" s="83"/>
      <c r="EI336" s="83"/>
      <c r="EJ336" s="83"/>
      <c r="EK336" s="2"/>
      <c r="EO336" s="2"/>
      <c r="ES336" s="58"/>
      <c r="ET336" s="58"/>
      <c r="EU336" s="58"/>
      <c r="EV336" s="58"/>
      <c r="EW336" s="58"/>
      <c r="EX336" s="58"/>
      <c r="EY336" s="58"/>
      <c r="EZ336" s="85"/>
    </row>
    <row r="337" spans="1:156">
      <c r="A337" s="95"/>
      <c r="B337" s="9"/>
      <c r="I337" s="54"/>
      <c r="J337" s="6"/>
      <c r="K337" s="6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90"/>
      <c r="AO337" s="91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91"/>
      <c r="CG337" s="6"/>
      <c r="CH337" s="91"/>
      <c r="CI337" s="91"/>
      <c r="CJ337" s="91"/>
      <c r="CK337" s="91"/>
      <c r="CL337" s="6"/>
      <c r="CM337" s="6"/>
      <c r="CN337" s="6"/>
      <c r="CO337" s="6"/>
      <c r="CP337" s="6"/>
      <c r="CQ337" s="6"/>
      <c r="CR337" s="6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8"/>
      <c r="DK337" s="8"/>
      <c r="DL337" s="8"/>
      <c r="DM337" s="8"/>
      <c r="DN337" s="55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83"/>
      <c r="EC337" s="83"/>
      <c r="ED337" s="83"/>
      <c r="EE337" s="83"/>
      <c r="EF337" s="83"/>
      <c r="EG337" s="83"/>
      <c r="EH337" s="83"/>
      <c r="EI337" s="83"/>
      <c r="EJ337" s="83"/>
      <c r="EK337" s="2"/>
      <c r="EO337" s="2"/>
      <c r="ES337" s="58"/>
      <c r="ET337" s="58"/>
      <c r="EU337" s="58"/>
      <c r="EV337" s="58"/>
      <c r="EW337" s="58"/>
      <c r="EX337" s="58"/>
      <c r="EY337" s="58"/>
      <c r="EZ337" s="85"/>
    </row>
    <row r="338" spans="1:156">
      <c r="A338" s="95"/>
      <c r="B338" s="9"/>
      <c r="I338" s="54"/>
      <c r="J338" s="6"/>
      <c r="K338" s="6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90"/>
      <c r="AO338" s="91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91"/>
      <c r="CG338" s="6"/>
      <c r="CH338" s="91"/>
      <c r="CI338" s="91"/>
      <c r="CJ338" s="91"/>
      <c r="CK338" s="91"/>
      <c r="CL338" s="6"/>
      <c r="CM338" s="6"/>
      <c r="CN338" s="6"/>
      <c r="CO338" s="6"/>
      <c r="CP338" s="6"/>
      <c r="CQ338" s="6"/>
      <c r="CR338" s="6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8"/>
      <c r="DK338" s="8"/>
      <c r="DL338" s="8"/>
      <c r="DM338" s="8"/>
      <c r="DN338" s="55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83"/>
      <c r="EC338" s="83"/>
      <c r="ED338" s="83"/>
      <c r="EE338" s="83"/>
      <c r="EF338" s="83"/>
      <c r="EG338" s="83"/>
      <c r="EH338" s="83"/>
      <c r="EI338" s="83"/>
      <c r="EJ338" s="83"/>
      <c r="EK338" s="2"/>
      <c r="EO338" s="2"/>
      <c r="ES338" s="58"/>
      <c r="ET338" s="58"/>
      <c r="EU338" s="58"/>
      <c r="EV338" s="58"/>
      <c r="EW338" s="58"/>
      <c r="EX338" s="58"/>
      <c r="EY338" s="58"/>
      <c r="EZ338" s="85"/>
    </row>
    <row r="339" spans="1:156">
      <c r="A339" s="95"/>
      <c r="B339" s="9"/>
      <c r="I339" s="54"/>
      <c r="J339" s="6"/>
      <c r="K339" s="6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90"/>
      <c r="AO339" s="91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91"/>
      <c r="CG339" s="6"/>
      <c r="CH339" s="91"/>
      <c r="CI339" s="91"/>
      <c r="CJ339" s="91"/>
      <c r="CK339" s="91"/>
      <c r="CL339" s="6"/>
      <c r="CM339" s="6"/>
      <c r="CN339" s="6"/>
      <c r="CO339" s="6"/>
      <c r="CP339" s="6"/>
      <c r="CQ339" s="6"/>
      <c r="CR339" s="6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8"/>
      <c r="DK339" s="8"/>
      <c r="DL339" s="8"/>
      <c r="DM339" s="8"/>
      <c r="DN339" s="55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83"/>
      <c r="EC339" s="83"/>
      <c r="ED339" s="83"/>
      <c r="EE339" s="83"/>
      <c r="EF339" s="83"/>
      <c r="EG339" s="83"/>
      <c r="EH339" s="83"/>
      <c r="EI339" s="83"/>
      <c r="EJ339" s="83"/>
      <c r="EK339" s="2"/>
      <c r="EO339" s="2"/>
      <c r="ES339" s="58"/>
      <c r="ET339" s="58"/>
      <c r="EU339" s="58"/>
      <c r="EV339" s="58"/>
      <c r="EW339" s="58"/>
      <c r="EX339" s="58"/>
      <c r="EY339" s="58"/>
      <c r="EZ339" s="85"/>
    </row>
    <row r="340" spans="1:156">
      <c r="A340" s="95"/>
      <c r="B340" s="9"/>
      <c r="I340" s="54"/>
      <c r="J340" s="6"/>
      <c r="K340" s="6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90"/>
      <c r="AO340" s="91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91"/>
      <c r="CG340" s="6"/>
      <c r="CH340" s="91"/>
      <c r="CI340" s="91"/>
      <c r="CJ340" s="91"/>
      <c r="CK340" s="91"/>
      <c r="CL340" s="6"/>
      <c r="CM340" s="6"/>
      <c r="CN340" s="6"/>
      <c r="CO340" s="6"/>
      <c r="CP340" s="6"/>
      <c r="CQ340" s="6"/>
      <c r="CR340" s="6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8"/>
      <c r="DK340" s="8"/>
      <c r="DL340" s="8"/>
      <c r="DM340" s="8"/>
      <c r="DN340" s="55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83"/>
      <c r="EC340" s="83"/>
      <c r="ED340" s="83"/>
      <c r="EE340" s="83"/>
      <c r="EF340" s="83"/>
      <c r="EG340" s="83"/>
      <c r="EH340" s="83"/>
      <c r="EI340" s="83"/>
      <c r="EJ340" s="83"/>
      <c r="EK340" s="2"/>
      <c r="EO340" s="2"/>
      <c r="ES340" s="58"/>
      <c r="ET340" s="58"/>
      <c r="EU340" s="58"/>
      <c r="EV340" s="58"/>
      <c r="EW340" s="58"/>
      <c r="EX340" s="58"/>
      <c r="EY340" s="58"/>
      <c r="EZ340" s="85"/>
    </row>
    <row r="341" spans="1:156">
      <c r="A341" s="95"/>
      <c r="B341" s="9"/>
      <c r="I341" s="54"/>
      <c r="J341" s="6"/>
      <c r="K341" s="6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90"/>
      <c r="AO341" s="91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91"/>
      <c r="CG341" s="6"/>
      <c r="CH341" s="91"/>
      <c r="CI341" s="91"/>
      <c r="CJ341" s="91"/>
      <c r="CK341" s="91"/>
      <c r="CL341" s="6"/>
      <c r="CM341" s="6"/>
      <c r="CN341" s="6"/>
      <c r="CO341" s="6"/>
      <c r="CP341" s="6"/>
      <c r="CQ341" s="6"/>
      <c r="CR341" s="6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8"/>
      <c r="DK341" s="8"/>
      <c r="DL341" s="8"/>
      <c r="DM341" s="8"/>
      <c r="DN341" s="55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83"/>
      <c r="EC341" s="83"/>
      <c r="ED341" s="83"/>
      <c r="EE341" s="83"/>
      <c r="EF341" s="83"/>
      <c r="EG341" s="83"/>
      <c r="EH341" s="83"/>
      <c r="EI341" s="83"/>
      <c r="EJ341" s="83"/>
      <c r="EK341" s="2"/>
      <c r="EO341" s="2"/>
      <c r="ES341" s="58"/>
      <c r="ET341" s="58"/>
      <c r="EU341" s="58"/>
      <c r="EV341" s="58"/>
      <c r="EW341" s="58"/>
      <c r="EX341" s="58"/>
      <c r="EY341" s="58"/>
      <c r="EZ341" s="85"/>
    </row>
    <row r="342" spans="1:156">
      <c r="A342" s="95"/>
      <c r="B342" s="9"/>
      <c r="I342" s="54"/>
      <c r="J342" s="6"/>
      <c r="K342" s="6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90"/>
      <c r="AO342" s="91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91"/>
      <c r="CG342" s="6"/>
      <c r="CH342" s="91"/>
      <c r="CI342" s="91"/>
      <c r="CJ342" s="91"/>
      <c r="CK342" s="91"/>
      <c r="CL342" s="6"/>
      <c r="CM342" s="6"/>
      <c r="CN342" s="6"/>
      <c r="CO342" s="6"/>
      <c r="CP342" s="6"/>
      <c r="CQ342" s="6"/>
      <c r="CR342" s="6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8"/>
      <c r="DK342" s="8"/>
      <c r="DL342" s="8"/>
      <c r="DM342" s="8"/>
      <c r="DN342" s="55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83"/>
      <c r="EC342" s="83"/>
      <c r="ED342" s="83"/>
      <c r="EE342" s="83"/>
      <c r="EF342" s="83"/>
      <c r="EG342" s="83"/>
      <c r="EH342" s="83"/>
      <c r="EI342" s="83"/>
      <c r="EJ342" s="83"/>
      <c r="EK342" s="2"/>
      <c r="EO342" s="2"/>
      <c r="ES342" s="58"/>
      <c r="ET342" s="58"/>
      <c r="EU342" s="58"/>
      <c r="EV342" s="58"/>
      <c r="EW342" s="58"/>
      <c r="EX342" s="58"/>
      <c r="EY342" s="58"/>
      <c r="EZ342" s="85"/>
    </row>
    <row r="343" spans="1:156">
      <c r="A343" s="95"/>
      <c r="B343" s="9"/>
      <c r="I343" s="54"/>
      <c r="J343" s="6"/>
      <c r="K343" s="6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90"/>
      <c r="AO343" s="91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91"/>
      <c r="CG343" s="6"/>
      <c r="CH343" s="91"/>
      <c r="CI343" s="91"/>
      <c r="CJ343" s="91"/>
      <c r="CK343" s="91"/>
      <c r="CL343" s="6"/>
      <c r="CM343" s="6"/>
      <c r="CN343" s="6"/>
      <c r="CO343" s="6"/>
      <c r="CP343" s="6"/>
      <c r="CQ343" s="6"/>
      <c r="CR343" s="6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8"/>
      <c r="DK343" s="8"/>
      <c r="DL343" s="8"/>
      <c r="DM343" s="8"/>
      <c r="DN343" s="55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83"/>
      <c r="EC343" s="83"/>
      <c r="ED343" s="83"/>
      <c r="EE343" s="83"/>
      <c r="EF343" s="83"/>
      <c r="EG343" s="83"/>
      <c r="EH343" s="83"/>
      <c r="EI343" s="83"/>
      <c r="EJ343" s="83"/>
      <c r="EK343" s="2"/>
      <c r="EO343" s="2"/>
      <c r="ES343" s="58"/>
      <c r="ET343" s="58"/>
      <c r="EU343" s="58"/>
      <c r="EV343" s="58"/>
      <c r="EW343" s="58"/>
      <c r="EX343" s="58"/>
      <c r="EY343" s="58"/>
      <c r="EZ343" s="85"/>
    </row>
    <row r="344" spans="1:156">
      <c r="A344" s="95"/>
      <c r="B344" s="9"/>
      <c r="I344" s="54"/>
      <c r="J344" s="6"/>
      <c r="K344" s="6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90"/>
      <c r="AO344" s="91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91"/>
      <c r="CG344" s="6"/>
      <c r="CH344" s="91"/>
      <c r="CI344" s="91"/>
      <c r="CJ344" s="91"/>
      <c r="CK344" s="91"/>
      <c r="CL344" s="6"/>
      <c r="CM344" s="6"/>
      <c r="CN344" s="6"/>
      <c r="CO344" s="6"/>
      <c r="CP344" s="6"/>
      <c r="CQ344" s="6"/>
      <c r="CR344" s="6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8"/>
      <c r="DK344" s="8"/>
      <c r="DL344" s="8"/>
      <c r="DM344" s="8"/>
      <c r="DN344" s="55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83"/>
      <c r="EC344" s="83"/>
      <c r="ED344" s="83"/>
      <c r="EE344" s="83"/>
      <c r="EF344" s="83"/>
      <c r="EG344" s="83"/>
      <c r="EH344" s="83"/>
      <c r="EI344" s="83"/>
      <c r="EJ344" s="83"/>
      <c r="EK344" s="2"/>
      <c r="EO344" s="2"/>
      <c r="ES344" s="58"/>
      <c r="ET344" s="58"/>
      <c r="EU344" s="58"/>
      <c r="EV344" s="58"/>
      <c r="EW344" s="58"/>
      <c r="EX344" s="58"/>
      <c r="EY344" s="58"/>
      <c r="EZ344" s="85"/>
    </row>
    <row r="345" spans="1:156">
      <c r="A345" s="95"/>
      <c r="B345" s="9"/>
      <c r="I345" s="54"/>
      <c r="J345" s="6"/>
      <c r="K345" s="6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90"/>
      <c r="AO345" s="91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91"/>
      <c r="CG345" s="6"/>
      <c r="CH345" s="91"/>
      <c r="CI345" s="91"/>
      <c r="CJ345" s="91"/>
      <c r="CK345" s="91"/>
      <c r="CL345" s="6"/>
      <c r="CM345" s="6"/>
      <c r="CN345" s="6"/>
      <c r="CO345" s="6"/>
      <c r="CP345" s="6"/>
      <c r="CQ345" s="6"/>
      <c r="CR345" s="6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8"/>
      <c r="DK345" s="8"/>
      <c r="DL345" s="8"/>
      <c r="DM345" s="8"/>
      <c r="DN345" s="55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83"/>
      <c r="EC345" s="83"/>
      <c r="ED345" s="83"/>
      <c r="EE345" s="83"/>
      <c r="EF345" s="83"/>
      <c r="EG345" s="83"/>
      <c r="EH345" s="83"/>
      <c r="EI345" s="83"/>
      <c r="EJ345" s="83"/>
      <c r="EK345" s="2"/>
      <c r="EO345" s="2"/>
      <c r="ES345" s="58"/>
      <c r="ET345" s="58"/>
      <c r="EU345" s="58"/>
      <c r="EV345" s="58"/>
      <c r="EW345" s="58"/>
      <c r="EX345" s="58"/>
      <c r="EY345" s="58"/>
      <c r="EZ345" s="85"/>
    </row>
    <row r="346" spans="1:156">
      <c r="A346" s="95"/>
      <c r="B346" s="9"/>
      <c r="I346" s="54"/>
      <c r="J346" s="6"/>
      <c r="K346" s="6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90"/>
      <c r="AO346" s="91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91"/>
      <c r="CG346" s="6"/>
      <c r="CH346" s="91"/>
      <c r="CI346" s="91"/>
      <c r="CJ346" s="91"/>
      <c r="CK346" s="91"/>
      <c r="CL346" s="6"/>
      <c r="CM346" s="6"/>
      <c r="CN346" s="6"/>
      <c r="CO346" s="6"/>
      <c r="CP346" s="6"/>
      <c r="CQ346" s="6"/>
      <c r="CR346" s="6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8"/>
      <c r="DK346" s="8"/>
      <c r="DL346" s="8"/>
      <c r="DM346" s="8"/>
      <c r="DN346" s="55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83"/>
      <c r="EC346" s="83"/>
      <c r="ED346" s="83"/>
      <c r="EE346" s="83"/>
      <c r="EF346" s="83"/>
      <c r="EG346" s="83"/>
      <c r="EH346" s="83"/>
      <c r="EI346" s="83"/>
      <c r="EJ346" s="83"/>
      <c r="EK346" s="2"/>
      <c r="EO346" s="2"/>
      <c r="ES346" s="58"/>
      <c r="ET346" s="58"/>
      <c r="EU346" s="58"/>
      <c r="EV346" s="58"/>
      <c r="EW346" s="58"/>
      <c r="EX346" s="58"/>
      <c r="EY346" s="58"/>
      <c r="EZ346" s="85"/>
    </row>
    <row r="347" spans="1:156">
      <c r="A347" s="95"/>
      <c r="B347" s="9"/>
      <c r="I347" s="54"/>
      <c r="J347" s="6"/>
      <c r="K347" s="6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90"/>
      <c r="AO347" s="91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91"/>
      <c r="CG347" s="6"/>
      <c r="CH347" s="91"/>
      <c r="CI347" s="91"/>
      <c r="CJ347" s="91"/>
      <c r="CK347" s="91"/>
      <c r="CL347" s="6"/>
      <c r="CM347" s="6"/>
      <c r="CN347" s="6"/>
      <c r="CO347" s="6"/>
      <c r="CP347" s="6"/>
      <c r="CQ347" s="6"/>
      <c r="CR347" s="6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8"/>
      <c r="DK347" s="8"/>
      <c r="DL347" s="8"/>
      <c r="DM347" s="8"/>
      <c r="DN347" s="55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83"/>
      <c r="EC347" s="83"/>
      <c r="ED347" s="83"/>
      <c r="EE347" s="83"/>
      <c r="EF347" s="83"/>
      <c r="EG347" s="83"/>
      <c r="EH347" s="83"/>
      <c r="EI347" s="83"/>
      <c r="EJ347" s="83"/>
      <c r="EK347" s="2"/>
      <c r="EO347" s="2"/>
      <c r="ES347" s="58"/>
      <c r="ET347" s="58"/>
      <c r="EU347" s="58"/>
      <c r="EV347" s="58"/>
      <c r="EW347" s="58"/>
      <c r="EX347" s="58"/>
      <c r="EY347" s="58"/>
      <c r="EZ347" s="85"/>
    </row>
    <row r="348" spans="1:156">
      <c r="A348" s="95"/>
      <c r="B348" s="9"/>
      <c r="I348" s="54"/>
      <c r="J348" s="6"/>
      <c r="K348" s="6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90"/>
      <c r="AO348" s="91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91"/>
      <c r="CG348" s="6"/>
      <c r="CH348" s="91"/>
      <c r="CI348" s="91"/>
      <c r="CJ348" s="91"/>
      <c r="CK348" s="91"/>
      <c r="CL348" s="6"/>
      <c r="CM348" s="6"/>
      <c r="CN348" s="6"/>
      <c r="CO348" s="6"/>
      <c r="CP348" s="6"/>
      <c r="CQ348" s="6"/>
      <c r="CR348" s="6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8"/>
      <c r="DK348" s="8"/>
      <c r="DL348" s="8"/>
      <c r="DM348" s="8"/>
      <c r="DN348" s="55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83"/>
      <c r="EC348" s="83"/>
      <c r="ED348" s="83"/>
      <c r="EE348" s="83"/>
      <c r="EF348" s="83"/>
      <c r="EG348" s="83"/>
      <c r="EH348" s="83"/>
      <c r="EI348" s="83"/>
      <c r="EJ348" s="83"/>
      <c r="EK348" s="2"/>
      <c r="EO348" s="2"/>
      <c r="ES348" s="58"/>
      <c r="ET348" s="58"/>
      <c r="EU348" s="58"/>
      <c r="EV348" s="58"/>
      <c r="EW348" s="58"/>
      <c r="EX348" s="58"/>
      <c r="EY348" s="58"/>
      <c r="EZ348" s="85"/>
    </row>
    <row r="349" spans="1:156">
      <c r="A349" s="95"/>
      <c r="B349" s="9"/>
      <c r="I349" s="54"/>
      <c r="J349" s="6"/>
      <c r="K349" s="6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90"/>
      <c r="AO349" s="91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91"/>
      <c r="CG349" s="6"/>
      <c r="CH349" s="91"/>
      <c r="CI349" s="91"/>
      <c r="CJ349" s="91"/>
      <c r="CK349" s="91"/>
      <c r="CL349" s="6"/>
      <c r="CM349" s="6"/>
      <c r="CN349" s="6"/>
      <c r="CO349" s="6"/>
      <c r="CP349" s="6"/>
      <c r="CQ349" s="6"/>
      <c r="CR349" s="6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8"/>
      <c r="DK349" s="8"/>
      <c r="DL349" s="8"/>
      <c r="DM349" s="8"/>
      <c r="DN349" s="55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83"/>
      <c r="EC349" s="83"/>
      <c r="ED349" s="83"/>
      <c r="EE349" s="83"/>
      <c r="EF349" s="83"/>
      <c r="EG349" s="83"/>
      <c r="EH349" s="83"/>
      <c r="EI349" s="83"/>
      <c r="EJ349" s="83"/>
      <c r="EK349" s="2"/>
      <c r="EO349" s="2"/>
      <c r="ES349" s="58"/>
      <c r="ET349" s="58"/>
      <c r="EU349" s="58"/>
      <c r="EV349" s="58"/>
      <c r="EW349" s="58"/>
      <c r="EX349" s="58"/>
      <c r="EY349" s="58"/>
      <c r="EZ349" s="85"/>
    </row>
    <row r="350" spans="1:156">
      <c r="A350" s="95"/>
      <c r="B350" s="9"/>
      <c r="I350" s="54"/>
      <c r="J350" s="6"/>
      <c r="K350" s="6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90"/>
      <c r="AO350" s="91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91"/>
      <c r="CG350" s="6"/>
      <c r="CH350" s="91"/>
      <c r="CI350" s="91"/>
      <c r="CJ350" s="91"/>
      <c r="CK350" s="91"/>
      <c r="CL350" s="6"/>
      <c r="CM350" s="6"/>
      <c r="CN350" s="6"/>
      <c r="CO350" s="6"/>
      <c r="CP350" s="6"/>
      <c r="CQ350" s="6"/>
      <c r="CR350" s="6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8"/>
      <c r="DK350" s="8"/>
      <c r="DL350" s="8"/>
      <c r="DM350" s="8"/>
      <c r="DN350" s="55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83"/>
      <c r="EC350" s="83"/>
      <c r="ED350" s="83"/>
      <c r="EE350" s="83"/>
      <c r="EF350" s="83"/>
      <c r="EG350" s="83"/>
      <c r="EH350" s="83"/>
      <c r="EI350" s="83"/>
      <c r="EJ350" s="83"/>
      <c r="EK350" s="2"/>
      <c r="EO350" s="2"/>
      <c r="ES350" s="58"/>
      <c r="ET350" s="58"/>
      <c r="EU350" s="58"/>
      <c r="EV350" s="58"/>
      <c r="EW350" s="58"/>
      <c r="EX350" s="58"/>
      <c r="EY350" s="58"/>
      <c r="EZ350" s="85"/>
    </row>
    <row r="351" spans="1:156">
      <c r="A351" s="95"/>
      <c r="B351" s="9"/>
      <c r="I351" s="54"/>
      <c r="J351" s="6"/>
      <c r="K351" s="6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90"/>
      <c r="AO351" s="91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91"/>
      <c r="CG351" s="6"/>
      <c r="CH351" s="91"/>
      <c r="CI351" s="91"/>
      <c r="CJ351" s="91"/>
      <c r="CK351" s="91"/>
      <c r="CL351" s="6"/>
      <c r="CM351" s="6"/>
      <c r="CN351" s="6"/>
      <c r="CO351" s="6"/>
      <c r="CP351" s="6"/>
      <c r="CQ351" s="6"/>
      <c r="CR351" s="6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8"/>
      <c r="DK351" s="8"/>
      <c r="DL351" s="8"/>
      <c r="DM351" s="8"/>
      <c r="DN351" s="55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83"/>
      <c r="EC351" s="83"/>
      <c r="ED351" s="83"/>
      <c r="EE351" s="83"/>
      <c r="EF351" s="83"/>
      <c r="EG351" s="83"/>
      <c r="EH351" s="83"/>
      <c r="EI351" s="83"/>
      <c r="EJ351" s="83"/>
      <c r="EK351" s="2"/>
      <c r="EO351" s="2"/>
      <c r="ES351" s="58"/>
      <c r="ET351" s="58"/>
      <c r="EU351" s="58"/>
      <c r="EV351" s="58"/>
      <c r="EW351" s="58"/>
      <c r="EX351" s="58"/>
      <c r="EY351" s="58"/>
      <c r="EZ351" s="85"/>
    </row>
    <row r="352" spans="1:156">
      <c r="A352" s="95"/>
      <c r="B352" s="9"/>
      <c r="I352" s="54"/>
      <c r="J352" s="6"/>
      <c r="K352" s="6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90"/>
      <c r="AO352" s="91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91"/>
      <c r="CG352" s="6"/>
      <c r="CH352" s="91"/>
      <c r="CI352" s="91"/>
      <c r="CJ352" s="91"/>
      <c r="CK352" s="91"/>
      <c r="CL352" s="6"/>
      <c r="CM352" s="6"/>
      <c r="CN352" s="6"/>
      <c r="CO352" s="6"/>
      <c r="CP352" s="6"/>
      <c r="CQ352" s="6"/>
      <c r="CR352" s="6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8"/>
      <c r="DK352" s="8"/>
      <c r="DL352" s="8"/>
      <c r="DM352" s="8"/>
      <c r="DN352" s="55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83"/>
      <c r="EC352" s="83"/>
      <c r="ED352" s="83"/>
      <c r="EE352" s="83"/>
      <c r="EF352" s="83"/>
      <c r="EG352" s="83"/>
      <c r="EH352" s="83"/>
      <c r="EI352" s="83"/>
      <c r="EJ352" s="83"/>
      <c r="EK352" s="2"/>
      <c r="EO352" s="2"/>
      <c r="ES352" s="58"/>
      <c r="ET352" s="58"/>
      <c r="EU352" s="58"/>
      <c r="EV352" s="58"/>
      <c r="EW352" s="58"/>
      <c r="EX352" s="58"/>
      <c r="EY352" s="58"/>
      <c r="EZ352" s="85"/>
    </row>
    <row r="353" spans="1:156">
      <c r="A353" s="95"/>
      <c r="B353" s="9"/>
      <c r="I353" s="54"/>
      <c r="J353" s="6"/>
      <c r="K353" s="6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90"/>
      <c r="AO353" s="91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91"/>
      <c r="CG353" s="6"/>
      <c r="CH353" s="91"/>
      <c r="CI353" s="91"/>
      <c r="CJ353" s="91"/>
      <c r="CK353" s="91"/>
      <c r="CL353" s="6"/>
      <c r="CM353" s="6"/>
      <c r="CN353" s="6"/>
      <c r="CO353" s="6"/>
      <c r="CP353" s="6"/>
      <c r="CQ353" s="6"/>
      <c r="CR353" s="6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8"/>
      <c r="DK353" s="8"/>
      <c r="DL353" s="8"/>
      <c r="DM353" s="8"/>
      <c r="DN353" s="55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83"/>
      <c r="EC353" s="83"/>
      <c r="ED353" s="83"/>
      <c r="EE353" s="83"/>
      <c r="EF353" s="83"/>
      <c r="EG353" s="83"/>
      <c r="EH353" s="83"/>
      <c r="EI353" s="83"/>
      <c r="EJ353" s="83"/>
      <c r="EK353" s="2"/>
      <c r="EO353" s="2"/>
      <c r="ES353" s="58"/>
      <c r="ET353" s="58"/>
      <c r="EU353" s="58"/>
      <c r="EV353" s="58"/>
      <c r="EW353" s="58"/>
      <c r="EX353" s="58"/>
      <c r="EY353" s="58"/>
      <c r="EZ353" s="85"/>
    </row>
    <row r="354" spans="1:156">
      <c r="A354" s="95"/>
      <c r="B354" s="9"/>
      <c r="I354" s="54"/>
      <c r="J354" s="6"/>
      <c r="K354" s="6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90"/>
      <c r="AO354" s="91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91"/>
      <c r="CG354" s="6"/>
      <c r="CH354" s="91"/>
      <c r="CI354" s="91"/>
      <c r="CJ354" s="91"/>
      <c r="CK354" s="91"/>
      <c r="CL354" s="6"/>
      <c r="CM354" s="6"/>
      <c r="CN354" s="6"/>
      <c r="CO354" s="6"/>
      <c r="CP354" s="6"/>
      <c r="CQ354" s="6"/>
      <c r="CR354" s="6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8"/>
      <c r="DK354" s="8"/>
      <c r="DL354" s="8"/>
      <c r="DM354" s="8"/>
      <c r="DN354" s="55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83"/>
      <c r="EC354" s="83"/>
      <c r="ED354" s="83"/>
      <c r="EE354" s="83"/>
      <c r="EF354" s="83"/>
      <c r="EG354" s="83"/>
      <c r="EH354" s="83"/>
      <c r="EI354" s="83"/>
      <c r="EJ354" s="83"/>
      <c r="EK354" s="2"/>
      <c r="EO354" s="2"/>
      <c r="ES354" s="58"/>
      <c r="ET354" s="58"/>
      <c r="EU354" s="58"/>
      <c r="EV354" s="58"/>
      <c r="EW354" s="58"/>
      <c r="EX354" s="58"/>
      <c r="EY354" s="58"/>
      <c r="EZ354" s="85"/>
    </row>
    <row r="355" spans="1:156">
      <c r="A355" s="95"/>
      <c r="B355" s="9"/>
      <c r="I355" s="54"/>
      <c r="J355" s="6"/>
      <c r="K355" s="6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90"/>
      <c r="AO355" s="91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91"/>
      <c r="CG355" s="6"/>
      <c r="CH355" s="91"/>
      <c r="CI355" s="91"/>
      <c r="CJ355" s="91"/>
      <c r="CK355" s="91"/>
      <c r="CL355" s="6"/>
      <c r="CM355" s="6"/>
      <c r="CN355" s="6"/>
      <c r="CO355" s="6"/>
      <c r="CP355" s="6"/>
      <c r="CQ355" s="6"/>
      <c r="CR355" s="6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8"/>
      <c r="DK355" s="8"/>
      <c r="DL355" s="8"/>
      <c r="DM355" s="8"/>
      <c r="DN355" s="55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83"/>
      <c r="EC355" s="83"/>
      <c r="ED355" s="83"/>
      <c r="EE355" s="83"/>
      <c r="EF355" s="83"/>
      <c r="EG355" s="83"/>
      <c r="EH355" s="83"/>
      <c r="EI355" s="83"/>
      <c r="EJ355" s="83"/>
      <c r="EK355" s="2"/>
      <c r="EO355" s="2"/>
      <c r="ES355" s="58"/>
      <c r="ET355" s="58"/>
      <c r="EU355" s="58"/>
      <c r="EV355" s="58"/>
      <c r="EW355" s="58"/>
      <c r="EX355" s="58"/>
      <c r="EY355" s="58"/>
      <c r="EZ355" s="85"/>
    </row>
    <row r="356" spans="1:156">
      <c r="A356" s="95"/>
      <c r="B356" s="9"/>
      <c r="I356" s="54"/>
      <c r="J356" s="6"/>
      <c r="K356" s="6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90"/>
      <c r="AO356" s="91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91"/>
      <c r="CG356" s="6"/>
      <c r="CH356" s="91"/>
      <c r="CI356" s="91"/>
      <c r="CJ356" s="91"/>
      <c r="CK356" s="91"/>
      <c r="CL356" s="6"/>
      <c r="CM356" s="6"/>
      <c r="CN356" s="6"/>
      <c r="CO356" s="6"/>
      <c r="CP356" s="6"/>
      <c r="CQ356" s="6"/>
      <c r="CR356" s="6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8"/>
      <c r="DK356" s="8"/>
      <c r="DL356" s="8"/>
      <c r="DM356" s="8"/>
      <c r="DN356" s="55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83"/>
      <c r="EC356" s="83"/>
      <c r="ED356" s="83"/>
      <c r="EE356" s="83"/>
      <c r="EF356" s="83"/>
      <c r="EG356" s="83"/>
      <c r="EH356" s="83"/>
      <c r="EI356" s="83"/>
      <c r="EJ356" s="83"/>
      <c r="EK356" s="2"/>
      <c r="EO356" s="2"/>
      <c r="ES356" s="58"/>
      <c r="ET356" s="58"/>
      <c r="EU356" s="58"/>
      <c r="EV356" s="58"/>
      <c r="EW356" s="58"/>
      <c r="EX356" s="58"/>
      <c r="EY356" s="58"/>
      <c r="EZ356" s="85"/>
    </row>
    <row r="357" spans="1:156">
      <c r="A357" s="95"/>
      <c r="B357" s="9"/>
      <c r="I357" s="54"/>
      <c r="J357" s="6"/>
      <c r="K357" s="6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90"/>
      <c r="AO357" s="91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91"/>
      <c r="CG357" s="6"/>
      <c r="CH357" s="91"/>
      <c r="CI357" s="91"/>
      <c r="CJ357" s="91"/>
      <c r="CK357" s="91"/>
      <c r="CL357" s="6"/>
      <c r="CM357" s="6"/>
      <c r="CN357" s="6"/>
      <c r="CO357" s="6"/>
      <c r="CP357" s="6"/>
      <c r="CQ357" s="6"/>
      <c r="CR357" s="6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8"/>
      <c r="DK357" s="8"/>
      <c r="DL357" s="8"/>
      <c r="DM357" s="8"/>
      <c r="DN357" s="55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83"/>
      <c r="EC357" s="83"/>
      <c r="ED357" s="83"/>
      <c r="EE357" s="83"/>
      <c r="EF357" s="83"/>
      <c r="EG357" s="83"/>
      <c r="EH357" s="83"/>
      <c r="EI357" s="83"/>
      <c r="EJ357" s="83"/>
      <c r="EK357" s="2"/>
      <c r="EO357" s="2"/>
      <c r="ES357" s="58"/>
      <c r="ET357" s="58"/>
      <c r="EU357" s="58"/>
      <c r="EV357" s="58"/>
      <c r="EW357" s="58"/>
      <c r="EX357" s="58"/>
      <c r="EY357" s="58"/>
      <c r="EZ357" s="85"/>
    </row>
    <row r="358" spans="1:156">
      <c r="A358" s="95"/>
      <c r="B358" s="9"/>
      <c r="I358" s="54"/>
      <c r="J358" s="6"/>
      <c r="K358" s="6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90"/>
      <c r="AO358" s="91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91"/>
      <c r="CG358" s="6"/>
      <c r="CH358" s="91"/>
      <c r="CI358" s="91"/>
      <c r="CJ358" s="91"/>
      <c r="CK358" s="91"/>
      <c r="CL358" s="6"/>
      <c r="CM358" s="6"/>
      <c r="CN358" s="6"/>
      <c r="CO358" s="6"/>
      <c r="CP358" s="6"/>
      <c r="CQ358" s="6"/>
      <c r="CR358" s="6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8"/>
      <c r="DK358" s="8"/>
      <c r="DL358" s="8"/>
      <c r="DM358" s="8"/>
      <c r="DN358" s="55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83"/>
      <c r="EC358" s="83"/>
      <c r="ED358" s="83"/>
      <c r="EE358" s="83"/>
      <c r="EF358" s="83"/>
      <c r="EG358" s="83"/>
      <c r="EH358" s="83"/>
      <c r="EI358" s="83"/>
      <c r="EJ358" s="83"/>
      <c r="EK358" s="2"/>
      <c r="EO358" s="2"/>
      <c r="ES358" s="58"/>
      <c r="ET358" s="58"/>
      <c r="EU358" s="58"/>
      <c r="EV358" s="58"/>
      <c r="EW358" s="58"/>
      <c r="EX358" s="58"/>
      <c r="EY358" s="58"/>
      <c r="EZ358" s="85"/>
    </row>
    <row r="359" spans="1:156">
      <c r="A359" s="95"/>
      <c r="B359" s="9"/>
      <c r="I359" s="54"/>
      <c r="J359" s="6"/>
      <c r="K359" s="6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90"/>
      <c r="AO359" s="91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91"/>
      <c r="CG359" s="6"/>
      <c r="CH359" s="91"/>
      <c r="CI359" s="91"/>
      <c r="CJ359" s="91"/>
      <c r="CK359" s="91"/>
      <c r="CL359" s="6"/>
      <c r="CM359" s="6"/>
      <c r="CN359" s="6"/>
      <c r="CO359" s="6"/>
      <c r="CP359" s="6"/>
      <c r="CQ359" s="6"/>
      <c r="CR359" s="6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8"/>
      <c r="DK359" s="8"/>
      <c r="DL359" s="8"/>
      <c r="DM359" s="8"/>
      <c r="DN359" s="55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83"/>
      <c r="EC359" s="83"/>
      <c r="ED359" s="83"/>
      <c r="EE359" s="83"/>
      <c r="EF359" s="83"/>
      <c r="EG359" s="83"/>
      <c r="EH359" s="83"/>
      <c r="EI359" s="83"/>
      <c r="EJ359" s="83"/>
      <c r="EK359" s="2"/>
      <c r="EO359" s="2"/>
      <c r="ES359" s="58"/>
      <c r="ET359" s="58"/>
      <c r="EU359" s="58"/>
      <c r="EV359" s="58"/>
      <c r="EW359" s="58"/>
      <c r="EX359" s="58"/>
      <c r="EY359" s="58"/>
      <c r="EZ359" s="85"/>
    </row>
    <row r="360" spans="1:156">
      <c r="A360" s="95"/>
      <c r="B360" s="9"/>
      <c r="I360" s="54"/>
      <c r="J360" s="6"/>
      <c r="K360" s="6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90"/>
      <c r="AO360" s="91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91"/>
      <c r="CG360" s="6"/>
      <c r="CH360" s="91"/>
      <c r="CI360" s="91"/>
      <c r="CJ360" s="91"/>
      <c r="CK360" s="91"/>
      <c r="CL360" s="6"/>
      <c r="CM360" s="6"/>
      <c r="CN360" s="6"/>
      <c r="CO360" s="6"/>
      <c r="CP360" s="6"/>
      <c r="CQ360" s="6"/>
      <c r="CR360" s="6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8"/>
      <c r="DK360" s="8"/>
      <c r="DL360" s="8"/>
      <c r="DM360" s="8"/>
      <c r="DN360" s="55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83"/>
      <c r="EC360" s="83"/>
      <c r="ED360" s="83"/>
      <c r="EE360" s="83"/>
      <c r="EF360" s="83"/>
      <c r="EG360" s="83"/>
      <c r="EH360" s="83"/>
      <c r="EI360" s="83"/>
      <c r="EJ360" s="83"/>
      <c r="EK360" s="2"/>
      <c r="EO360" s="2"/>
      <c r="ES360" s="58"/>
      <c r="ET360" s="58"/>
      <c r="EU360" s="58"/>
      <c r="EV360" s="58"/>
      <c r="EW360" s="58"/>
      <c r="EX360" s="58"/>
      <c r="EY360" s="58"/>
      <c r="EZ360" s="85"/>
    </row>
    <row r="361" spans="1:156">
      <c r="A361" s="95"/>
      <c r="B361" s="9"/>
      <c r="I361" s="54"/>
      <c r="J361" s="6"/>
      <c r="K361" s="6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90"/>
      <c r="AO361" s="91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91"/>
      <c r="CG361" s="6"/>
      <c r="CH361" s="91"/>
      <c r="CI361" s="91"/>
      <c r="CJ361" s="91"/>
      <c r="CK361" s="91"/>
      <c r="CL361" s="6"/>
      <c r="CM361" s="6"/>
      <c r="CN361" s="6"/>
      <c r="CO361" s="6"/>
      <c r="CP361" s="6"/>
      <c r="CQ361" s="6"/>
      <c r="CR361" s="6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8"/>
      <c r="DK361" s="8"/>
      <c r="DL361" s="8"/>
      <c r="DM361" s="8"/>
      <c r="DN361" s="55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83"/>
      <c r="EC361" s="83"/>
      <c r="ED361" s="83"/>
      <c r="EE361" s="83"/>
      <c r="EF361" s="83"/>
      <c r="EG361" s="83"/>
      <c r="EH361" s="83"/>
      <c r="EI361" s="83"/>
      <c r="EJ361" s="83"/>
      <c r="EK361" s="2"/>
      <c r="EO361" s="2"/>
      <c r="ES361" s="58"/>
      <c r="ET361" s="58"/>
      <c r="EU361" s="58"/>
      <c r="EV361" s="58"/>
      <c r="EW361" s="58"/>
      <c r="EX361" s="58"/>
      <c r="EY361" s="58"/>
      <c r="EZ361" s="85"/>
    </row>
    <row r="362" spans="1:156">
      <c r="A362" s="95"/>
      <c r="B362" s="9"/>
      <c r="I362" s="54"/>
      <c r="J362" s="6"/>
      <c r="K362" s="6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90"/>
      <c r="AO362" s="91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91"/>
      <c r="CG362" s="6"/>
      <c r="CH362" s="91"/>
      <c r="CI362" s="91"/>
      <c r="CJ362" s="91"/>
      <c r="CK362" s="91"/>
      <c r="CL362" s="6"/>
      <c r="CM362" s="6"/>
      <c r="CN362" s="6"/>
      <c r="CO362" s="6"/>
      <c r="CP362" s="6"/>
      <c r="CQ362" s="6"/>
      <c r="CR362" s="6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8"/>
      <c r="DK362" s="8"/>
      <c r="DL362" s="8"/>
      <c r="DM362" s="8"/>
      <c r="DN362" s="55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83"/>
      <c r="EC362" s="83"/>
      <c r="ED362" s="83"/>
      <c r="EE362" s="83"/>
      <c r="EF362" s="83"/>
      <c r="EG362" s="83"/>
      <c r="EH362" s="83"/>
      <c r="EI362" s="83"/>
      <c r="EJ362" s="83"/>
      <c r="EK362" s="2"/>
      <c r="EO362" s="2"/>
      <c r="ES362" s="58"/>
      <c r="ET362" s="58"/>
      <c r="EU362" s="58"/>
      <c r="EV362" s="58"/>
      <c r="EW362" s="58"/>
      <c r="EX362" s="58"/>
      <c r="EY362" s="58"/>
      <c r="EZ362" s="85"/>
    </row>
    <row r="363" spans="1:156">
      <c r="A363" s="95"/>
      <c r="B363" s="9"/>
      <c r="I363" s="54"/>
      <c r="J363" s="6"/>
      <c r="K363" s="6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90"/>
      <c r="AO363" s="91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91"/>
      <c r="CG363" s="6"/>
      <c r="CH363" s="91"/>
      <c r="CI363" s="91"/>
      <c r="CJ363" s="91"/>
      <c r="CK363" s="91"/>
      <c r="CL363" s="6"/>
      <c r="CM363" s="6"/>
      <c r="CN363" s="6"/>
      <c r="CO363" s="6"/>
      <c r="CP363" s="6"/>
      <c r="CQ363" s="6"/>
      <c r="CR363" s="6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8"/>
      <c r="DK363" s="8"/>
      <c r="DL363" s="8"/>
      <c r="DM363" s="8"/>
      <c r="DN363" s="55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83"/>
      <c r="EC363" s="83"/>
      <c r="ED363" s="83"/>
      <c r="EE363" s="83"/>
      <c r="EF363" s="83"/>
      <c r="EG363" s="83"/>
      <c r="EH363" s="83"/>
      <c r="EI363" s="83"/>
      <c r="EJ363" s="83"/>
      <c r="EK363" s="2"/>
      <c r="EO363" s="2"/>
      <c r="ES363" s="58"/>
      <c r="ET363" s="58"/>
      <c r="EU363" s="58"/>
      <c r="EV363" s="58"/>
      <c r="EW363" s="58"/>
      <c r="EX363" s="58"/>
      <c r="EY363" s="58"/>
      <c r="EZ363" s="85"/>
    </row>
    <row r="364" spans="1:156">
      <c r="A364" s="95"/>
      <c r="B364" s="9"/>
      <c r="I364" s="54"/>
      <c r="J364" s="6"/>
      <c r="K364" s="6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90"/>
      <c r="AO364" s="91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91"/>
      <c r="CG364" s="6"/>
      <c r="CH364" s="91"/>
      <c r="CI364" s="91"/>
      <c r="CJ364" s="91"/>
      <c r="CK364" s="91"/>
      <c r="CL364" s="6"/>
      <c r="CM364" s="6"/>
      <c r="CN364" s="6"/>
      <c r="CO364" s="6"/>
      <c r="CP364" s="6"/>
      <c r="CQ364" s="6"/>
      <c r="CR364" s="6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8"/>
      <c r="DK364" s="8"/>
      <c r="DL364" s="8"/>
      <c r="DM364" s="8"/>
      <c r="DN364" s="55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83"/>
      <c r="EC364" s="83"/>
      <c r="ED364" s="83"/>
      <c r="EE364" s="83"/>
      <c r="EF364" s="83"/>
      <c r="EG364" s="83"/>
      <c r="EH364" s="83"/>
      <c r="EI364" s="83"/>
      <c r="EJ364" s="83"/>
      <c r="EK364" s="2"/>
      <c r="EO364" s="2"/>
      <c r="ES364" s="58"/>
      <c r="ET364" s="58"/>
      <c r="EU364" s="58"/>
      <c r="EV364" s="58"/>
      <c r="EW364" s="58"/>
      <c r="EX364" s="58"/>
      <c r="EY364" s="58"/>
      <c r="EZ364" s="85"/>
    </row>
    <row r="365" spans="1:156">
      <c r="A365" s="95"/>
      <c r="B365" s="9"/>
      <c r="I365" s="54"/>
      <c r="J365" s="6"/>
      <c r="K365" s="6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90"/>
      <c r="AO365" s="91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91"/>
      <c r="CG365" s="6"/>
      <c r="CH365" s="91"/>
      <c r="CI365" s="91"/>
      <c r="CJ365" s="91"/>
      <c r="CK365" s="91"/>
      <c r="CL365" s="6"/>
      <c r="CM365" s="6"/>
      <c r="CN365" s="6"/>
      <c r="CO365" s="6"/>
      <c r="CP365" s="6"/>
      <c r="CQ365" s="6"/>
      <c r="CR365" s="6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8"/>
      <c r="DK365" s="8"/>
      <c r="DL365" s="8"/>
      <c r="DM365" s="8"/>
      <c r="DN365" s="55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83"/>
      <c r="EC365" s="83"/>
      <c r="ED365" s="83"/>
      <c r="EE365" s="83"/>
      <c r="EF365" s="83"/>
      <c r="EG365" s="83"/>
      <c r="EH365" s="83"/>
      <c r="EI365" s="83"/>
      <c r="EJ365" s="83"/>
      <c r="EK365" s="2"/>
      <c r="EO365" s="2"/>
      <c r="ES365" s="58"/>
      <c r="ET365" s="58"/>
      <c r="EU365" s="58"/>
      <c r="EV365" s="58"/>
      <c r="EW365" s="58"/>
      <c r="EX365" s="58"/>
      <c r="EY365" s="58"/>
      <c r="EZ365" s="85"/>
    </row>
    <row r="366" spans="1:156">
      <c r="A366" s="95"/>
      <c r="B366" s="9"/>
      <c r="I366" s="54"/>
      <c r="J366" s="6"/>
      <c r="K366" s="6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90"/>
      <c r="AO366" s="91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91"/>
      <c r="CG366" s="6"/>
      <c r="CH366" s="91"/>
      <c r="CI366" s="91"/>
      <c r="CJ366" s="91"/>
      <c r="CK366" s="91"/>
      <c r="CL366" s="6"/>
      <c r="CM366" s="6"/>
      <c r="CN366" s="6"/>
      <c r="CO366" s="6"/>
      <c r="CP366" s="6"/>
      <c r="CQ366" s="6"/>
      <c r="CR366" s="6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8"/>
      <c r="DK366" s="8"/>
      <c r="DL366" s="8"/>
      <c r="DM366" s="8"/>
      <c r="DN366" s="55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83"/>
      <c r="EC366" s="83"/>
      <c r="ED366" s="83"/>
      <c r="EE366" s="83"/>
      <c r="EF366" s="83"/>
      <c r="EG366" s="83"/>
      <c r="EH366" s="83"/>
      <c r="EI366" s="83"/>
      <c r="EJ366" s="83"/>
      <c r="EK366" s="2"/>
      <c r="EO366" s="2"/>
      <c r="ES366" s="58"/>
      <c r="ET366" s="58"/>
      <c r="EU366" s="58"/>
      <c r="EV366" s="58"/>
      <c r="EW366" s="58"/>
      <c r="EX366" s="58"/>
      <c r="EY366" s="58"/>
      <c r="EZ366" s="85"/>
    </row>
    <row r="367" spans="1:156">
      <c r="A367" s="95"/>
      <c r="B367" s="9"/>
      <c r="I367" s="54"/>
      <c r="J367" s="6"/>
      <c r="K367" s="6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90"/>
      <c r="AO367" s="91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91"/>
      <c r="CG367" s="6"/>
      <c r="CH367" s="91"/>
      <c r="CI367" s="91"/>
      <c r="CJ367" s="91"/>
      <c r="CK367" s="91"/>
      <c r="CL367" s="6"/>
      <c r="CM367" s="6"/>
      <c r="CN367" s="6"/>
      <c r="CO367" s="6"/>
      <c r="CP367" s="6"/>
      <c r="CQ367" s="6"/>
      <c r="CR367" s="6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8"/>
      <c r="DK367" s="8"/>
      <c r="DL367" s="8"/>
      <c r="DM367" s="8"/>
      <c r="DN367" s="55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83"/>
      <c r="EC367" s="83"/>
      <c r="ED367" s="83"/>
      <c r="EE367" s="83"/>
      <c r="EF367" s="83"/>
      <c r="EG367" s="83"/>
      <c r="EH367" s="83"/>
      <c r="EI367" s="83"/>
      <c r="EJ367" s="83"/>
      <c r="EK367" s="2"/>
      <c r="EO367" s="2"/>
      <c r="ES367" s="58"/>
      <c r="ET367" s="58"/>
      <c r="EU367" s="58"/>
      <c r="EV367" s="58"/>
      <c r="EW367" s="58"/>
      <c r="EX367" s="58"/>
      <c r="EY367" s="58"/>
      <c r="EZ367" s="85"/>
    </row>
    <row r="368" spans="1:156">
      <c r="A368" s="95"/>
      <c r="B368" s="9"/>
      <c r="I368" s="54"/>
      <c r="J368" s="6"/>
      <c r="K368" s="6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90"/>
      <c r="AO368" s="91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91"/>
      <c r="CG368" s="6"/>
      <c r="CH368" s="91"/>
      <c r="CI368" s="91"/>
      <c r="CJ368" s="91"/>
      <c r="CK368" s="91"/>
      <c r="CL368" s="6"/>
      <c r="CM368" s="6"/>
      <c r="CN368" s="6"/>
      <c r="CO368" s="6"/>
      <c r="CP368" s="6"/>
      <c r="CQ368" s="6"/>
      <c r="CR368" s="6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8"/>
      <c r="DK368" s="8"/>
      <c r="DL368" s="8"/>
      <c r="DM368" s="8"/>
      <c r="DN368" s="55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83"/>
      <c r="EC368" s="83"/>
      <c r="ED368" s="83"/>
      <c r="EE368" s="83"/>
      <c r="EF368" s="83"/>
      <c r="EG368" s="83"/>
      <c r="EH368" s="83"/>
      <c r="EI368" s="83"/>
      <c r="EJ368" s="83"/>
      <c r="EK368" s="2"/>
      <c r="EO368" s="2"/>
      <c r="ES368" s="58"/>
      <c r="ET368" s="58"/>
      <c r="EU368" s="58"/>
      <c r="EV368" s="58"/>
      <c r="EW368" s="58"/>
      <c r="EX368" s="58"/>
      <c r="EY368" s="58"/>
      <c r="EZ368" s="85"/>
    </row>
    <row r="369" spans="1:156">
      <c r="A369" s="95"/>
      <c r="B369" s="9"/>
      <c r="I369" s="54"/>
      <c r="J369" s="6"/>
      <c r="K369" s="6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90"/>
      <c r="AO369" s="91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91"/>
      <c r="CG369" s="6"/>
      <c r="CH369" s="91"/>
      <c r="CI369" s="91"/>
      <c r="CJ369" s="91"/>
      <c r="CK369" s="91"/>
      <c r="CL369" s="6"/>
      <c r="CM369" s="6"/>
      <c r="CN369" s="6"/>
      <c r="CO369" s="6"/>
      <c r="CP369" s="6"/>
      <c r="CQ369" s="6"/>
      <c r="CR369" s="6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8"/>
      <c r="DK369" s="8"/>
      <c r="DL369" s="8"/>
      <c r="DM369" s="8"/>
      <c r="DN369" s="55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83"/>
      <c r="EC369" s="83"/>
      <c r="ED369" s="83"/>
      <c r="EE369" s="83"/>
      <c r="EF369" s="83"/>
      <c r="EG369" s="83"/>
      <c r="EH369" s="83"/>
      <c r="EI369" s="83"/>
      <c r="EJ369" s="83"/>
      <c r="EK369" s="2"/>
      <c r="EO369" s="2"/>
      <c r="ES369" s="58"/>
      <c r="ET369" s="58"/>
      <c r="EU369" s="58"/>
      <c r="EV369" s="58"/>
      <c r="EW369" s="58"/>
      <c r="EX369" s="58"/>
      <c r="EY369" s="58"/>
      <c r="EZ369" s="85"/>
    </row>
    <row r="370" spans="1:156">
      <c r="A370" s="95"/>
      <c r="B370" s="9"/>
      <c r="I370" s="54"/>
      <c r="J370" s="6"/>
      <c r="K370" s="6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90"/>
      <c r="AO370" s="91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91"/>
      <c r="CG370" s="6"/>
      <c r="CH370" s="91"/>
      <c r="CI370" s="91"/>
      <c r="CJ370" s="91"/>
      <c r="CK370" s="91"/>
      <c r="CL370" s="6"/>
      <c r="CM370" s="6"/>
      <c r="CN370" s="6"/>
      <c r="CO370" s="6"/>
      <c r="CP370" s="6"/>
      <c r="CQ370" s="6"/>
      <c r="CR370" s="6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8"/>
      <c r="DK370" s="8"/>
      <c r="DL370" s="8"/>
      <c r="DM370" s="8"/>
      <c r="DN370" s="55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83"/>
      <c r="EC370" s="83"/>
      <c r="ED370" s="83"/>
      <c r="EE370" s="83"/>
      <c r="EF370" s="83"/>
      <c r="EG370" s="83"/>
      <c r="EH370" s="83"/>
      <c r="EI370" s="83"/>
      <c r="EJ370" s="83"/>
      <c r="EK370" s="2"/>
      <c r="EO370" s="2"/>
      <c r="ES370" s="58"/>
      <c r="ET370" s="58"/>
      <c r="EU370" s="58"/>
      <c r="EV370" s="58"/>
      <c r="EW370" s="58"/>
      <c r="EX370" s="58"/>
      <c r="EY370" s="58"/>
      <c r="EZ370" s="85"/>
    </row>
    <row r="371" spans="1:156">
      <c r="A371" s="95"/>
      <c r="B371" s="9"/>
      <c r="I371" s="54"/>
      <c r="J371" s="6"/>
      <c r="K371" s="6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90"/>
      <c r="AO371" s="91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91"/>
      <c r="CG371" s="6"/>
      <c r="CH371" s="91"/>
      <c r="CI371" s="91"/>
      <c r="CJ371" s="91"/>
      <c r="CK371" s="91"/>
      <c r="CL371" s="6"/>
      <c r="CM371" s="6"/>
      <c r="CN371" s="6"/>
      <c r="CO371" s="6"/>
      <c r="CP371" s="6"/>
      <c r="CQ371" s="6"/>
      <c r="CR371" s="6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8"/>
      <c r="DK371" s="8"/>
      <c r="DL371" s="8"/>
      <c r="DM371" s="8"/>
      <c r="DN371" s="55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83"/>
      <c r="EC371" s="83"/>
      <c r="ED371" s="83"/>
      <c r="EE371" s="83"/>
      <c r="EF371" s="83"/>
      <c r="EG371" s="83"/>
      <c r="EH371" s="83"/>
      <c r="EI371" s="83"/>
      <c r="EJ371" s="83"/>
      <c r="EK371" s="2"/>
      <c r="EO371" s="2"/>
      <c r="ES371" s="58"/>
      <c r="ET371" s="58"/>
      <c r="EU371" s="58"/>
      <c r="EV371" s="58"/>
      <c r="EW371" s="58"/>
      <c r="EX371" s="58"/>
      <c r="EY371" s="58"/>
      <c r="EZ371" s="85"/>
    </row>
    <row r="372" spans="1:156">
      <c r="A372" s="95"/>
      <c r="B372" s="9"/>
      <c r="I372" s="54"/>
      <c r="J372" s="6"/>
      <c r="K372" s="6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90"/>
      <c r="AO372" s="91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91"/>
      <c r="CG372" s="6"/>
      <c r="CH372" s="91"/>
      <c r="CI372" s="91"/>
      <c r="CJ372" s="91"/>
      <c r="CK372" s="91"/>
      <c r="CL372" s="6"/>
      <c r="CM372" s="6"/>
      <c r="CN372" s="6"/>
      <c r="CO372" s="6"/>
      <c r="CP372" s="6"/>
      <c r="CQ372" s="6"/>
      <c r="CR372" s="6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8"/>
      <c r="DK372" s="8"/>
      <c r="DL372" s="8"/>
      <c r="DM372" s="8"/>
      <c r="DN372" s="55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83"/>
      <c r="EC372" s="83"/>
      <c r="ED372" s="83"/>
      <c r="EE372" s="83"/>
      <c r="EF372" s="83"/>
      <c r="EG372" s="83"/>
      <c r="EH372" s="83"/>
      <c r="EI372" s="83"/>
      <c r="EJ372" s="83"/>
      <c r="EK372" s="2"/>
      <c r="EO372" s="2"/>
      <c r="ES372" s="58"/>
      <c r="ET372" s="58"/>
      <c r="EU372" s="58"/>
      <c r="EV372" s="58"/>
      <c r="EW372" s="58"/>
      <c r="EX372" s="58"/>
      <c r="EY372" s="58"/>
      <c r="EZ372" s="85"/>
    </row>
    <row r="373" spans="1:156">
      <c r="A373" s="95"/>
      <c r="B373" s="9"/>
      <c r="I373" s="54"/>
      <c r="J373" s="6"/>
      <c r="K373" s="6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90"/>
      <c r="AO373" s="91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91"/>
      <c r="CG373" s="6"/>
      <c r="CH373" s="91"/>
      <c r="CI373" s="91"/>
      <c r="CJ373" s="91"/>
      <c r="CK373" s="91"/>
      <c r="CL373" s="6"/>
      <c r="CM373" s="6"/>
      <c r="CN373" s="6"/>
      <c r="CO373" s="6"/>
      <c r="CP373" s="6"/>
      <c r="CQ373" s="6"/>
      <c r="CR373" s="6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8"/>
      <c r="DK373" s="8"/>
      <c r="DL373" s="8"/>
      <c r="DM373" s="8"/>
      <c r="DN373" s="55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83"/>
      <c r="EC373" s="83"/>
      <c r="ED373" s="83"/>
      <c r="EE373" s="83"/>
      <c r="EF373" s="83"/>
      <c r="EG373" s="83"/>
      <c r="EH373" s="83"/>
      <c r="EI373" s="83"/>
      <c r="EJ373" s="83"/>
      <c r="EK373" s="2"/>
      <c r="EO373" s="2"/>
      <c r="ES373" s="58"/>
      <c r="ET373" s="58"/>
      <c r="EU373" s="58"/>
      <c r="EV373" s="58"/>
      <c r="EW373" s="58"/>
      <c r="EX373" s="58"/>
      <c r="EY373" s="58"/>
      <c r="EZ373" s="85"/>
    </row>
    <row r="374" spans="1:156">
      <c r="A374" s="95"/>
      <c r="B374" s="9"/>
      <c r="I374" s="54"/>
      <c r="J374" s="6"/>
      <c r="K374" s="6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90"/>
      <c r="AO374" s="91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91"/>
      <c r="CG374" s="6"/>
      <c r="CH374" s="91"/>
      <c r="CI374" s="91"/>
      <c r="CJ374" s="91"/>
      <c r="CK374" s="91"/>
      <c r="CL374" s="6"/>
      <c r="CM374" s="6"/>
      <c r="CN374" s="6"/>
      <c r="CO374" s="6"/>
      <c r="CP374" s="6"/>
      <c r="CQ374" s="6"/>
      <c r="CR374" s="6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8"/>
      <c r="DK374" s="8"/>
      <c r="DL374" s="8"/>
      <c r="DM374" s="8"/>
      <c r="DN374" s="55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83"/>
      <c r="EC374" s="83"/>
      <c r="ED374" s="83"/>
      <c r="EE374" s="83"/>
      <c r="EF374" s="83"/>
      <c r="EG374" s="83"/>
      <c r="EH374" s="83"/>
      <c r="EI374" s="83"/>
      <c r="EJ374" s="83"/>
      <c r="EK374" s="2"/>
      <c r="EO374" s="2"/>
      <c r="ES374" s="58"/>
      <c r="ET374" s="58"/>
      <c r="EU374" s="58"/>
      <c r="EV374" s="58"/>
      <c r="EW374" s="58"/>
      <c r="EX374" s="58"/>
      <c r="EY374" s="58"/>
      <c r="EZ374" s="85"/>
    </row>
    <row r="375" spans="1:156">
      <c r="A375" s="95"/>
      <c r="B375" s="9"/>
      <c r="I375" s="54"/>
      <c r="J375" s="6"/>
      <c r="K375" s="6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90"/>
      <c r="AO375" s="91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91"/>
      <c r="CG375" s="6"/>
      <c r="CH375" s="91"/>
      <c r="CI375" s="91"/>
      <c r="CJ375" s="91"/>
      <c r="CK375" s="91"/>
      <c r="CL375" s="6"/>
      <c r="CM375" s="6"/>
      <c r="CN375" s="6"/>
      <c r="CO375" s="6"/>
      <c r="CP375" s="6"/>
      <c r="CQ375" s="6"/>
      <c r="CR375" s="6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8"/>
      <c r="DK375" s="8"/>
      <c r="DL375" s="8"/>
      <c r="DM375" s="8"/>
      <c r="DN375" s="55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83"/>
      <c r="EC375" s="83"/>
      <c r="ED375" s="83"/>
      <c r="EE375" s="83"/>
      <c r="EF375" s="83"/>
      <c r="EG375" s="83"/>
      <c r="EH375" s="83"/>
      <c r="EI375" s="83"/>
      <c r="EJ375" s="83"/>
      <c r="EK375" s="2"/>
      <c r="EO375" s="2"/>
      <c r="ES375" s="58"/>
      <c r="ET375" s="58"/>
      <c r="EU375" s="58"/>
      <c r="EV375" s="58"/>
      <c r="EW375" s="58"/>
      <c r="EX375" s="58"/>
      <c r="EY375" s="58"/>
      <c r="EZ375" s="85"/>
    </row>
    <row r="376" spans="1:156">
      <c r="A376" s="95"/>
      <c r="B376" s="9"/>
      <c r="I376" s="54"/>
      <c r="J376" s="6"/>
      <c r="K376" s="6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90"/>
      <c r="AO376" s="91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91"/>
      <c r="CG376" s="6"/>
      <c r="CH376" s="91"/>
      <c r="CI376" s="91"/>
      <c r="CJ376" s="91"/>
      <c r="CK376" s="91"/>
      <c r="CL376" s="6"/>
      <c r="CM376" s="6"/>
      <c r="CN376" s="6"/>
      <c r="CO376" s="6"/>
      <c r="CP376" s="6"/>
      <c r="CQ376" s="6"/>
      <c r="CR376" s="6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8"/>
      <c r="DK376" s="8"/>
      <c r="DL376" s="8"/>
      <c r="DM376" s="8"/>
      <c r="DN376" s="55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83"/>
      <c r="EC376" s="83"/>
      <c r="ED376" s="83"/>
      <c r="EE376" s="83"/>
      <c r="EF376" s="83"/>
      <c r="EG376" s="83"/>
      <c r="EH376" s="83"/>
      <c r="EI376" s="83"/>
      <c r="EJ376" s="83"/>
      <c r="EK376" s="2"/>
      <c r="EO376" s="2"/>
      <c r="ES376" s="58"/>
      <c r="ET376" s="58"/>
      <c r="EU376" s="58"/>
      <c r="EV376" s="58"/>
      <c r="EW376" s="58"/>
      <c r="EX376" s="58"/>
      <c r="EY376" s="58"/>
      <c r="EZ376" s="85"/>
    </row>
    <row r="377" spans="1:156">
      <c r="A377" s="95"/>
      <c r="B377" s="9"/>
      <c r="I377" s="54"/>
      <c r="J377" s="6"/>
      <c r="K377" s="6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90"/>
      <c r="AO377" s="91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91"/>
      <c r="CG377" s="6"/>
      <c r="CH377" s="91"/>
      <c r="CI377" s="91"/>
      <c r="CJ377" s="91"/>
      <c r="CK377" s="91"/>
      <c r="CL377" s="6"/>
      <c r="CM377" s="6"/>
      <c r="CN377" s="6"/>
      <c r="CO377" s="6"/>
      <c r="CP377" s="6"/>
      <c r="CQ377" s="6"/>
      <c r="CR377" s="6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8"/>
      <c r="DK377" s="8"/>
      <c r="DL377" s="8"/>
      <c r="DM377" s="8"/>
      <c r="DN377" s="55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83"/>
      <c r="EC377" s="83"/>
      <c r="ED377" s="83"/>
      <c r="EE377" s="83"/>
      <c r="EF377" s="83"/>
      <c r="EG377" s="83"/>
      <c r="EH377" s="83"/>
      <c r="EI377" s="83"/>
      <c r="EJ377" s="83"/>
      <c r="EK377" s="2"/>
      <c r="EO377" s="2"/>
      <c r="ES377" s="58"/>
      <c r="ET377" s="58"/>
      <c r="EU377" s="58"/>
      <c r="EV377" s="58"/>
      <c r="EW377" s="58"/>
      <c r="EX377" s="58"/>
      <c r="EY377" s="58"/>
      <c r="EZ377" s="85"/>
    </row>
    <row r="378" spans="1:156">
      <c r="A378" s="95"/>
      <c r="B378" s="9"/>
      <c r="I378" s="54"/>
      <c r="J378" s="6"/>
      <c r="K378" s="6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90"/>
      <c r="AO378" s="91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91"/>
      <c r="CG378" s="6"/>
      <c r="CH378" s="91"/>
      <c r="CI378" s="91"/>
      <c r="CJ378" s="91"/>
      <c r="CK378" s="91"/>
      <c r="CL378" s="6"/>
      <c r="CM378" s="6"/>
      <c r="CN378" s="6"/>
      <c r="CO378" s="6"/>
      <c r="CP378" s="6"/>
      <c r="CQ378" s="6"/>
      <c r="CR378" s="6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8"/>
      <c r="DK378" s="8"/>
      <c r="DL378" s="8"/>
      <c r="DM378" s="8"/>
      <c r="DN378" s="55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83"/>
      <c r="EC378" s="83"/>
      <c r="ED378" s="83"/>
      <c r="EE378" s="83"/>
      <c r="EF378" s="83"/>
      <c r="EG378" s="83"/>
      <c r="EH378" s="83"/>
      <c r="EI378" s="83"/>
      <c r="EJ378" s="83"/>
      <c r="EK378" s="2"/>
      <c r="EO378" s="2"/>
      <c r="ES378" s="58"/>
      <c r="ET378" s="58"/>
      <c r="EU378" s="58"/>
      <c r="EV378" s="58"/>
      <c r="EW378" s="58"/>
      <c r="EX378" s="58"/>
      <c r="EY378" s="58"/>
      <c r="EZ378" s="85"/>
    </row>
    <row r="379" spans="1:156">
      <c r="A379" s="95"/>
      <c r="B379" s="9"/>
      <c r="I379" s="54"/>
      <c r="J379" s="6"/>
      <c r="K379" s="6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90"/>
      <c r="AO379" s="91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91"/>
      <c r="CG379" s="6"/>
      <c r="CH379" s="91"/>
      <c r="CI379" s="91"/>
      <c r="CJ379" s="91"/>
      <c r="CK379" s="91"/>
      <c r="CL379" s="6"/>
      <c r="CM379" s="6"/>
      <c r="CN379" s="6"/>
      <c r="CO379" s="6"/>
      <c r="CP379" s="6"/>
      <c r="CQ379" s="6"/>
      <c r="CR379" s="6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8"/>
      <c r="DK379" s="8"/>
      <c r="DL379" s="8"/>
      <c r="DM379" s="8"/>
      <c r="DN379" s="55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83"/>
      <c r="EC379" s="83"/>
      <c r="ED379" s="83"/>
      <c r="EE379" s="83"/>
      <c r="EF379" s="83"/>
      <c r="EG379" s="83"/>
      <c r="EH379" s="83"/>
      <c r="EI379" s="83"/>
      <c r="EJ379" s="83"/>
      <c r="EK379" s="2"/>
      <c r="EO379" s="2"/>
      <c r="ES379" s="58"/>
      <c r="ET379" s="58"/>
      <c r="EU379" s="58"/>
      <c r="EV379" s="58"/>
      <c r="EW379" s="58"/>
      <c r="EX379" s="58"/>
      <c r="EY379" s="58"/>
      <c r="EZ379" s="85"/>
    </row>
    <row r="380" spans="1:156">
      <c r="A380" s="95"/>
      <c r="B380" s="9"/>
      <c r="I380" s="54"/>
      <c r="J380" s="6"/>
      <c r="K380" s="6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90"/>
      <c r="AO380" s="91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91"/>
      <c r="CG380" s="6"/>
      <c r="CH380" s="91"/>
      <c r="CI380" s="91"/>
      <c r="CJ380" s="91"/>
      <c r="CK380" s="91"/>
      <c r="CL380" s="6"/>
      <c r="CM380" s="6"/>
      <c r="CN380" s="6"/>
      <c r="CO380" s="6"/>
      <c r="CP380" s="6"/>
      <c r="CQ380" s="6"/>
      <c r="CR380" s="6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8"/>
      <c r="DK380" s="8"/>
      <c r="DL380" s="8"/>
      <c r="DM380" s="8"/>
      <c r="DN380" s="55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83"/>
      <c r="EC380" s="83"/>
      <c r="ED380" s="83"/>
      <c r="EE380" s="83"/>
      <c r="EF380" s="83"/>
      <c r="EG380" s="83"/>
      <c r="EH380" s="83"/>
      <c r="EI380" s="83"/>
      <c r="EJ380" s="83"/>
      <c r="EK380" s="2"/>
      <c r="EO380" s="2"/>
      <c r="ES380" s="58"/>
      <c r="ET380" s="58"/>
      <c r="EU380" s="58"/>
      <c r="EV380" s="58"/>
      <c r="EW380" s="58"/>
      <c r="EX380" s="58"/>
      <c r="EY380" s="58"/>
      <c r="EZ380" s="85"/>
    </row>
    <row r="381" spans="1:156">
      <c r="A381" s="95"/>
      <c r="B381" s="9"/>
      <c r="I381" s="54"/>
      <c r="J381" s="6"/>
      <c r="K381" s="6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90"/>
      <c r="AO381" s="91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91"/>
      <c r="CG381" s="6"/>
      <c r="CH381" s="91"/>
      <c r="CI381" s="91"/>
      <c r="CJ381" s="91"/>
      <c r="CK381" s="91"/>
      <c r="CL381" s="6"/>
      <c r="CM381" s="6"/>
      <c r="CN381" s="6"/>
      <c r="CO381" s="6"/>
      <c r="CP381" s="6"/>
      <c r="CQ381" s="6"/>
      <c r="CR381" s="6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8"/>
      <c r="DK381" s="8"/>
      <c r="DL381" s="8"/>
      <c r="DM381" s="8"/>
      <c r="DN381" s="55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83"/>
      <c r="EC381" s="83"/>
      <c r="ED381" s="83"/>
      <c r="EE381" s="83"/>
      <c r="EF381" s="83"/>
      <c r="EG381" s="83"/>
      <c r="EH381" s="83"/>
      <c r="EI381" s="83"/>
      <c r="EJ381" s="83"/>
      <c r="EK381" s="2"/>
      <c r="EO381" s="2"/>
      <c r="ES381" s="58"/>
      <c r="ET381" s="58"/>
      <c r="EU381" s="58"/>
      <c r="EV381" s="58"/>
      <c r="EW381" s="58"/>
      <c r="EX381" s="58"/>
      <c r="EY381" s="58"/>
      <c r="EZ381" s="85"/>
    </row>
    <row r="382" spans="1:156">
      <c r="A382" s="95"/>
      <c r="B382" s="9"/>
      <c r="I382" s="54"/>
      <c r="J382" s="6"/>
      <c r="K382" s="6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90"/>
      <c r="AO382" s="91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91"/>
      <c r="CG382" s="6"/>
      <c r="CH382" s="91"/>
      <c r="CI382" s="91"/>
      <c r="CJ382" s="91"/>
      <c r="CK382" s="91"/>
      <c r="CL382" s="6"/>
      <c r="CM382" s="6"/>
      <c r="CN382" s="6"/>
      <c r="CO382" s="6"/>
      <c r="CP382" s="6"/>
      <c r="CQ382" s="6"/>
      <c r="CR382" s="6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8"/>
      <c r="DK382" s="8"/>
      <c r="DL382" s="8"/>
      <c r="DM382" s="8"/>
      <c r="DN382" s="55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83"/>
      <c r="EC382" s="83"/>
      <c r="ED382" s="83"/>
      <c r="EE382" s="83"/>
      <c r="EF382" s="83"/>
      <c r="EG382" s="83"/>
      <c r="EH382" s="83"/>
      <c r="EI382" s="83"/>
      <c r="EJ382" s="83"/>
      <c r="EK382" s="2"/>
      <c r="EO382" s="2"/>
      <c r="ES382" s="58"/>
      <c r="ET382" s="58"/>
      <c r="EU382" s="58"/>
      <c r="EV382" s="58"/>
      <c r="EW382" s="58"/>
      <c r="EX382" s="58"/>
      <c r="EY382" s="58"/>
      <c r="EZ382" s="85"/>
    </row>
    <row r="383" spans="1:156">
      <c r="A383" s="95"/>
      <c r="B383" s="9"/>
      <c r="I383" s="54"/>
      <c r="J383" s="6"/>
      <c r="K383" s="6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90"/>
      <c r="AO383" s="91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91"/>
      <c r="CG383" s="6"/>
      <c r="CH383" s="91"/>
      <c r="CI383" s="91"/>
      <c r="CJ383" s="91"/>
      <c r="CK383" s="91"/>
      <c r="CL383" s="6"/>
      <c r="CM383" s="6"/>
      <c r="CN383" s="6"/>
      <c r="CO383" s="6"/>
      <c r="CP383" s="6"/>
      <c r="CQ383" s="6"/>
      <c r="CR383" s="6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8"/>
      <c r="DK383" s="8"/>
      <c r="DL383" s="8"/>
      <c r="DM383" s="8"/>
      <c r="DN383" s="55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83"/>
      <c r="EC383" s="83"/>
      <c r="ED383" s="83"/>
      <c r="EE383" s="83"/>
      <c r="EF383" s="83"/>
      <c r="EG383" s="83"/>
      <c r="EH383" s="83"/>
      <c r="EI383" s="83"/>
      <c r="EJ383" s="83"/>
      <c r="EK383" s="2"/>
      <c r="EO383" s="2"/>
      <c r="ES383" s="58"/>
      <c r="ET383" s="58"/>
      <c r="EU383" s="58"/>
      <c r="EV383" s="58"/>
      <c r="EW383" s="58"/>
      <c r="EX383" s="58"/>
      <c r="EY383" s="58"/>
      <c r="EZ383" s="85"/>
    </row>
    <row r="384" spans="1:156">
      <c r="A384" s="95"/>
      <c r="B384" s="9"/>
      <c r="I384" s="54"/>
      <c r="J384" s="6"/>
      <c r="K384" s="6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90"/>
      <c r="AO384" s="91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91"/>
      <c r="CG384" s="6"/>
      <c r="CH384" s="91"/>
      <c r="CI384" s="91"/>
      <c r="CJ384" s="91"/>
      <c r="CK384" s="91"/>
      <c r="CL384" s="6"/>
      <c r="CM384" s="6"/>
      <c r="CN384" s="6"/>
      <c r="CO384" s="6"/>
      <c r="CP384" s="6"/>
      <c r="CQ384" s="6"/>
      <c r="CR384" s="6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8"/>
      <c r="DK384" s="8"/>
      <c r="DL384" s="8"/>
      <c r="DM384" s="8"/>
      <c r="DN384" s="55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83"/>
      <c r="EC384" s="83"/>
      <c r="ED384" s="83"/>
      <c r="EE384" s="83"/>
      <c r="EF384" s="83"/>
      <c r="EG384" s="83"/>
      <c r="EH384" s="83"/>
      <c r="EI384" s="83"/>
      <c r="EJ384" s="83"/>
      <c r="EK384" s="2"/>
      <c r="EO384" s="2"/>
      <c r="ES384" s="58"/>
      <c r="ET384" s="58"/>
      <c r="EU384" s="58"/>
      <c r="EV384" s="58"/>
      <c r="EW384" s="58"/>
      <c r="EX384" s="58"/>
      <c r="EY384" s="58"/>
      <c r="EZ384" s="85"/>
    </row>
    <row r="385" spans="1:156">
      <c r="A385" s="95"/>
      <c r="B385" s="9"/>
      <c r="I385" s="54"/>
      <c r="J385" s="6"/>
      <c r="K385" s="6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90"/>
      <c r="AO385" s="91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91"/>
      <c r="CG385" s="6"/>
      <c r="CH385" s="91"/>
      <c r="CI385" s="91"/>
      <c r="CJ385" s="91"/>
      <c r="CK385" s="91"/>
      <c r="CL385" s="6"/>
      <c r="CM385" s="6"/>
      <c r="CN385" s="6"/>
      <c r="CO385" s="6"/>
      <c r="CP385" s="6"/>
      <c r="CQ385" s="6"/>
      <c r="CR385" s="6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8"/>
      <c r="DK385" s="8"/>
      <c r="DL385" s="8"/>
      <c r="DM385" s="8"/>
      <c r="DN385" s="55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83"/>
      <c r="EC385" s="83"/>
      <c r="ED385" s="83"/>
      <c r="EE385" s="83"/>
      <c r="EF385" s="83"/>
      <c r="EG385" s="83"/>
      <c r="EH385" s="83"/>
      <c r="EI385" s="83"/>
      <c r="EJ385" s="83"/>
      <c r="EK385" s="2"/>
      <c r="EO385" s="2"/>
      <c r="ES385" s="58"/>
      <c r="ET385" s="58"/>
      <c r="EU385" s="58"/>
      <c r="EV385" s="58"/>
      <c r="EW385" s="58"/>
      <c r="EX385" s="58"/>
      <c r="EY385" s="58"/>
      <c r="EZ385" s="85"/>
    </row>
    <row r="386" spans="1:156">
      <c r="A386" s="95"/>
      <c r="B386" s="9"/>
      <c r="I386" s="54"/>
      <c r="J386" s="6"/>
      <c r="K386" s="6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90"/>
      <c r="AO386" s="91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91"/>
      <c r="CG386" s="6"/>
      <c r="CH386" s="91"/>
      <c r="CI386" s="91"/>
      <c r="CJ386" s="91"/>
      <c r="CK386" s="91"/>
      <c r="CL386" s="6"/>
      <c r="CM386" s="6"/>
      <c r="CN386" s="6"/>
      <c r="CO386" s="6"/>
      <c r="CP386" s="6"/>
      <c r="CQ386" s="6"/>
      <c r="CR386" s="6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8"/>
      <c r="DK386" s="8"/>
      <c r="DL386" s="8"/>
      <c r="DM386" s="8"/>
      <c r="DN386" s="55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83"/>
      <c r="EC386" s="83"/>
      <c r="ED386" s="83"/>
      <c r="EE386" s="83"/>
      <c r="EF386" s="83"/>
      <c r="EG386" s="83"/>
      <c r="EH386" s="83"/>
      <c r="EI386" s="83"/>
      <c r="EJ386" s="83"/>
      <c r="EK386" s="2"/>
      <c r="EO386" s="2"/>
      <c r="ES386" s="58"/>
      <c r="ET386" s="58"/>
      <c r="EU386" s="58"/>
      <c r="EV386" s="58"/>
      <c r="EW386" s="58"/>
      <c r="EX386" s="58"/>
      <c r="EY386" s="58"/>
      <c r="EZ386" s="85"/>
    </row>
    <row r="387" spans="1:156">
      <c r="A387" s="95"/>
      <c r="B387" s="9"/>
      <c r="I387" s="54"/>
      <c r="J387" s="6"/>
      <c r="K387" s="6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90"/>
      <c r="AO387" s="91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91"/>
      <c r="CG387" s="6"/>
      <c r="CH387" s="91"/>
      <c r="CI387" s="91"/>
      <c r="CJ387" s="91"/>
      <c r="CK387" s="91"/>
      <c r="CL387" s="6"/>
      <c r="CM387" s="6"/>
      <c r="CN387" s="6"/>
      <c r="CO387" s="6"/>
      <c r="CP387" s="6"/>
      <c r="CQ387" s="6"/>
      <c r="CR387" s="6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8"/>
      <c r="DK387" s="8"/>
      <c r="DL387" s="8"/>
      <c r="DM387" s="8"/>
      <c r="DN387" s="55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83"/>
      <c r="EC387" s="83"/>
      <c r="ED387" s="83"/>
      <c r="EE387" s="83"/>
      <c r="EF387" s="83"/>
      <c r="EG387" s="83"/>
      <c r="EH387" s="83"/>
      <c r="EI387" s="83"/>
      <c r="EJ387" s="83"/>
      <c r="EK387" s="2"/>
      <c r="EO387" s="2"/>
      <c r="ES387" s="58"/>
      <c r="ET387" s="58"/>
      <c r="EU387" s="58"/>
      <c r="EV387" s="58"/>
      <c r="EW387" s="58"/>
      <c r="EX387" s="58"/>
      <c r="EY387" s="58"/>
      <c r="EZ387" s="85"/>
    </row>
    <row r="388" spans="1:156">
      <c r="A388" s="95"/>
      <c r="B388" s="9"/>
      <c r="I388" s="54"/>
      <c r="J388" s="6"/>
      <c r="K388" s="6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90"/>
      <c r="AO388" s="91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91"/>
      <c r="CG388" s="6"/>
      <c r="CH388" s="91"/>
      <c r="CI388" s="91"/>
      <c r="CJ388" s="91"/>
      <c r="CK388" s="91"/>
      <c r="CL388" s="6"/>
      <c r="CM388" s="6"/>
      <c r="CN388" s="6"/>
      <c r="CO388" s="6"/>
      <c r="CP388" s="6"/>
      <c r="CQ388" s="6"/>
      <c r="CR388" s="6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8"/>
      <c r="DK388" s="8"/>
      <c r="DL388" s="8"/>
      <c r="DM388" s="8"/>
      <c r="DN388" s="55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83"/>
      <c r="EC388" s="83"/>
      <c r="ED388" s="83"/>
      <c r="EE388" s="83"/>
      <c r="EF388" s="83"/>
      <c r="EG388" s="83"/>
      <c r="EH388" s="83"/>
      <c r="EI388" s="83"/>
      <c r="EJ388" s="83"/>
      <c r="EK388" s="2"/>
      <c r="EO388" s="2"/>
      <c r="ES388" s="58"/>
      <c r="ET388" s="58"/>
      <c r="EU388" s="58"/>
      <c r="EV388" s="58"/>
      <c r="EW388" s="58"/>
      <c r="EX388" s="58"/>
      <c r="EY388" s="58"/>
      <c r="EZ388" s="85"/>
    </row>
    <row r="389" spans="1:156">
      <c r="A389" s="95"/>
      <c r="B389" s="9"/>
      <c r="I389" s="54"/>
      <c r="J389" s="6"/>
      <c r="K389" s="6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90"/>
      <c r="AO389" s="91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91"/>
      <c r="CG389" s="6"/>
      <c r="CH389" s="91"/>
      <c r="CI389" s="91"/>
      <c r="CJ389" s="91"/>
      <c r="CK389" s="91"/>
      <c r="CL389" s="6"/>
      <c r="CM389" s="6"/>
      <c r="CN389" s="6"/>
      <c r="CO389" s="6"/>
      <c r="CP389" s="6"/>
      <c r="CQ389" s="6"/>
      <c r="CR389" s="6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8"/>
      <c r="DK389" s="8"/>
      <c r="DL389" s="8"/>
      <c r="DM389" s="8"/>
      <c r="DN389" s="55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83"/>
      <c r="EC389" s="83"/>
      <c r="ED389" s="83"/>
      <c r="EE389" s="83"/>
      <c r="EF389" s="83"/>
      <c r="EG389" s="83"/>
      <c r="EH389" s="83"/>
      <c r="EI389" s="83"/>
      <c r="EJ389" s="83"/>
      <c r="EK389" s="2"/>
      <c r="EO389" s="2"/>
      <c r="ES389" s="58"/>
      <c r="ET389" s="58"/>
      <c r="EU389" s="58"/>
      <c r="EV389" s="58"/>
      <c r="EW389" s="58"/>
      <c r="EX389" s="58"/>
      <c r="EY389" s="58"/>
      <c r="EZ389" s="85"/>
    </row>
    <row r="390" spans="1:156">
      <c r="A390" s="95"/>
      <c r="B390" s="9"/>
      <c r="I390" s="54"/>
      <c r="J390" s="6"/>
      <c r="K390" s="6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90"/>
      <c r="AO390" s="91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91"/>
      <c r="CG390" s="6"/>
      <c r="CH390" s="91"/>
      <c r="CI390" s="91"/>
      <c r="CJ390" s="91"/>
      <c r="CK390" s="91"/>
      <c r="CL390" s="6"/>
      <c r="CM390" s="6"/>
      <c r="CN390" s="6"/>
      <c r="CO390" s="6"/>
      <c r="CP390" s="6"/>
      <c r="CQ390" s="6"/>
      <c r="CR390" s="6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8"/>
      <c r="DK390" s="8"/>
      <c r="DL390" s="8"/>
      <c r="DM390" s="8"/>
      <c r="DN390" s="55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83"/>
      <c r="EC390" s="83"/>
      <c r="ED390" s="83"/>
      <c r="EE390" s="83"/>
      <c r="EF390" s="83"/>
      <c r="EG390" s="83"/>
      <c r="EH390" s="83"/>
      <c r="EI390" s="83"/>
      <c r="EJ390" s="83"/>
      <c r="EK390" s="2"/>
      <c r="EO390" s="2"/>
      <c r="ES390" s="58"/>
      <c r="ET390" s="58"/>
      <c r="EU390" s="58"/>
      <c r="EV390" s="58"/>
      <c r="EW390" s="58"/>
      <c r="EX390" s="58"/>
      <c r="EY390" s="58"/>
      <c r="EZ390" s="85"/>
    </row>
    <row r="391" spans="1:156">
      <c r="A391" s="95"/>
      <c r="B391" s="9"/>
      <c r="I391" s="54"/>
      <c r="J391" s="6"/>
      <c r="K391" s="6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90"/>
      <c r="AO391" s="91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91"/>
      <c r="CG391" s="6"/>
      <c r="CH391" s="91"/>
      <c r="CI391" s="91"/>
      <c r="CJ391" s="91"/>
      <c r="CK391" s="91"/>
      <c r="CL391" s="6"/>
      <c r="CM391" s="6"/>
      <c r="CN391" s="6"/>
      <c r="CO391" s="6"/>
      <c r="CP391" s="6"/>
      <c r="CQ391" s="6"/>
      <c r="CR391" s="6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8"/>
      <c r="DK391" s="8"/>
      <c r="DL391" s="8"/>
      <c r="DM391" s="8"/>
      <c r="DN391" s="55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83"/>
      <c r="EC391" s="83"/>
      <c r="ED391" s="83"/>
      <c r="EE391" s="83"/>
      <c r="EF391" s="83"/>
      <c r="EG391" s="83"/>
      <c r="EH391" s="83"/>
      <c r="EI391" s="83"/>
      <c r="EJ391" s="83"/>
      <c r="EK391" s="2"/>
      <c r="EO391" s="2"/>
      <c r="ES391" s="58"/>
      <c r="ET391" s="58"/>
      <c r="EU391" s="58"/>
      <c r="EV391" s="58"/>
      <c r="EW391" s="58"/>
      <c r="EX391" s="58"/>
      <c r="EY391" s="58"/>
      <c r="EZ391" s="85"/>
    </row>
    <row r="392" spans="1:156">
      <c r="A392" s="95"/>
      <c r="B392" s="9"/>
      <c r="I392" s="54"/>
      <c r="J392" s="6"/>
      <c r="K392" s="6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90"/>
      <c r="AO392" s="91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91"/>
      <c r="CG392" s="6"/>
      <c r="CH392" s="91"/>
      <c r="CI392" s="91"/>
      <c r="CJ392" s="91"/>
      <c r="CK392" s="91"/>
      <c r="CL392" s="6"/>
      <c r="CM392" s="6"/>
      <c r="CN392" s="6"/>
      <c r="CO392" s="6"/>
      <c r="CP392" s="6"/>
      <c r="CQ392" s="6"/>
      <c r="CR392" s="6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8"/>
      <c r="DK392" s="8"/>
      <c r="DL392" s="8"/>
      <c r="DM392" s="8"/>
      <c r="DN392" s="55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83"/>
      <c r="EC392" s="83"/>
      <c r="ED392" s="83"/>
      <c r="EE392" s="83"/>
      <c r="EF392" s="83"/>
      <c r="EG392" s="83"/>
      <c r="EH392" s="83"/>
      <c r="EI392" s="83"/>
      <c r="EJ392" s="83"/>
      <c r="EK392" s="2"/>
      <c r="EO392" s="2"/>
      <c r="ES392" s="58"/>
      <c r="ET392" s="58"/>
      <c r="EU392" s="58"/>
      <c r="EV392" s="58"/>
      <c r="EW392" s="58"/>
      <c r="EX392" s="58"/>
      <c r="EY392" s="58"/>
      <c r="EZ392" s="85"/>
    </row>
    <row r="393" spans="1:156">
      <c r="A393" s="95"/>
      <c r="B393" s="9"/>
      <c r="I393" s="54"/>
      <c r="J393" s="6"/>
      <c r="K393" s="6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90"/>
      <c r="AO393" s="91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91"/>
      <c r="CG393" s="6"/>
      <c r="CH393" s="91"/>
      <c r="CI393" s="91"/>
      <c r="CJ393" s="91"/>
      <c r="CK393" s="91"/>
      <c r="CL393" s="6"/>
      <c r="CM393" s="6"/>
      <c r="CN393" s="6"/>
      <c r="CO393" s="6"/>
      <c r="CP393" s="6"/>
      <c r="CQ393" s="6"/>
      <c r="CR393" s="6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8"/>
      <c r="DK393" s="8"/>
      <c r="DL393" s="8"/>
      <c r="DM393" s="8"/>
      <c r="DN393" s="55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83"/>
      <c r="EC393" s="83"/>
      <c r="ED393" s="83"/>
      <c r="EE393" s="83"/>
      <c r="EF393" s="83"/>
      <c r="EG393" s="83"/>
      <c r="EH393" s="83"/>
      <c r="EI393" s="83"/>
      <c r="EJ393" s="83"/>
      <c r="EK393" s="2"/>
      <c r="EO393" s="2"/>
      <c r="ES393" s="58"/>
      <c r="ET393" s="58"/>
      <c r="EU393" s="58"/>
      <c r="EV393" s="58"/>
      <c r="EW393" s="58"/>
      <c r="EX393" s="58"/>
      <c r="EY393" s="58"/>
      <c r="EZ393" s="85"/>
    </row>
    <row r="394" spans="1:156">
      <c r="A394" s="95"/>
      <c r="B394" s="9"/>
      <c r="I394" s="54"/>
      <c r="J394" s="6"/>
      <c r="K394" s="6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90"/>
      <c r="AO394" s="91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91"/>
      <c r="CG394" s="6"/>
      <c r="CH394" s="91"/>
      <c r="CI394" s="91"/>
      <c r="CJ394" s="91"/>
      <c r="CK394" s="91"/>
      <c r="CL394" s="6"/>
      <c r="CM394" s="6"/>
      <c r="CN394" s="6"/>
      <c r="CO394" s="6"/>
      <c r="CP394" s="6"/>
      <c r="CQ394" s="6"/>
      <c r="CR394" s="6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8"/>
      <c r="DK394" s="8"/>
      <c r="DL394" s="8"/>
      <c r="DM394" s="8"/>
      <c r="DN394" s="55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83"/>
      <c r="EC394" s="83"/>
      <c r="ED394" s="83"/>
      <c r="EE394" s="83"/>
      <c r="EF394" s="83"/>
      <c r="EG394" s="83"/>
      <c r="EH394" s="83"/>
      <c r="EI394" s="83"/>
      <c r="EJ394" s="83"/>
      <c r="EK394" s="2"/>
      <c r="EO394" s="2"/>
      <c r="ES394" s="58"/>
      <c r="ET394" s="58"/>
      <c r="EU394" s="58"/>
      <c r="EV394" s="58"/>
      <c r="EW394" s="58"/>
      <c r="EX394" s="58"/>
      <c r="EY394" s="58"/>
      <c r="EZ394" s="85"/>
    </row>
    <row r="395" spans="1:156">
      <c r="A395" s="95"/>
      <c r="B395" s="9"/>
      <c r="I395" s="54"/>
      <c r="J395" s="6"/>
      <c r="K395" s="6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90"/>
      <c r="AO395" s="91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91"/>
      <c r="CG395" s="6"/>
      <c r="CH395" s="91"/>
      <c r="CI395" s="91"/>
      <c r="CJ395" s="91"/>
      <c r="CK395" s="91"/>
      <c r="CL395" s="6"/>
      <c r="CM395" s="6"/>
      <c r="CN395" s="6"/>
      <c r="CO395" s="6"/>
      <c r="CP395" s="6"/>
      <c r="CQ395" s="6"/>
      <c r="CR395" s="6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8"/>
      <c r="DK395" s="8"/>
      <c r="DL395" s="8"/>
      <c r="DM395" s="8"/>
      <c r="DN395" s="55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83"/>
      <c r="EC395" s="83"/>
      <c r="ED395" s="83"/>
      <c r="EE395" s="83"/>
      <c r="EF395" s="83"/>
      <c r="EG395" s="83"/>
      <c r="EH395" s="83"/>
      <c r="EI395" s="83"/>
      <c r="EJ395" s="83"/>
      <c r="EK395" s="2"/>
      <c r="EO395" s="2"/>
      <c r="ES395" s="58"/>
      <c r="ET395" s="58"/>
      <c r="EU395" s="58"/>
      <c r="EV395" s="58"/>
      <c r="EW395" s="58"/>
      <c r="EX395" s="58"/>
      <c r="EY395" s="58"/>
      <c r="EZ395" s="85"/>
    </row>
    <row r="396" spans="1:156">
      <c r="A396" s="95"/>
      <c r="B396" s="9"/>
      <c r="I396" s="54"/>
      <c r="J396" s="6"/>
      <c r="K396" s="6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90"/>
      <c r="AO396" s="91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91"/>
      <c r="CG396" s="6"/>
      <c r="CH396" s="91"/>
      <c r="CI396" s="91"/>
      <c r="CJ396" s="91"/>
      <c r="CK396" s="91"/>
      <c r="CL396" s="6"/>
      <c r="CM396" s="6"/>
      <c r="CN396" s="6"/>
      <c r="CO396" s="6"/>
      <c r="CP396" s="6"/>
      <c r="CQ396" s="6"/>
      <c r="CR396" s="6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8"/>
      <c r="DK396" s="8"/>
      <c r="DL396" s="8"/>
      <c r="DM396" s="8"/>
      <c r="DN396" s="55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83"/>
      <c r="EC396" s="83"/>
      <c r="ED396" s="83"/>
      <c r="EE396" s="83"/>
      <c r="EF396" s="83"/>
      <c r="EG396" s="83"/>
      <c r="EH396" s="83"/>
      <c r="EI396" s="83"/>
      <c r="EJ396" s="83"/>
      <c r="EK396" s="2"/>
      <c r="EO396" s="2"/>
      <c r="ES396" s="58"/>
      <c r="ET396" s="58"/>
      <c r="EU396" s="58"/>
      <c r="EV396" s="58"/>
      <c r="EW396" s="58"/>
      <c r="EX396" s="58"/>
      <c r="EY396" s="58"/>
      <c r="EZ396" s="85"/>
    </row>
    <row r="397" spans="1:156">
      <c r="A397" s="95"/>
      <c r="B397" s="9"/>
      <c r="I397" s="54"/>
      <c r="J397" s="6"/>
      <c r="K397" s="6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90"/>
      <c r="AO397" s="91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91"/>
      <c r="CG397" s="6"/>
      <c r="CH397" s="91"/>
      <c r="CI397" s="91"/>
      <c r="CJ397" s="91"/>
      <c r="CK397" s="91"/>
      <c r="CL397" s="6"/>
      <c r="CM397" s="6"/>
      <c r="CN397" s="6"/>
      <c r="CO397" s="6"/>
      <c r="CP397" s="6"/>
      <c r="CQ397" s="6"/>
      <c r="CR397" s="6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8"/>
      <c r="DK397" s="8"/>
      <c r="DL397" s="8"/>
      <c r="DM397" s="8"/>
      <c r="DN397" s="55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83"/>
      <c r="EC397" s="83"/>
      <c r="ED397" s="83"/>
      <c r="EE397" s="83"/>
      <c r="EF397" s="83"/>
      <c r="EG397" s="83"/>
      <c r="EH397" s="83"/>
      <c r="EI397" s="83"/>
      <c r="EJ397" s="83"/>
      <c r="EK397" s="2"/>
      <c r="EO397" s="2"/>
      <c r="ES397" s="58"/>
      <c r="ET397" s="58"/>
      <c r="EU397" s="58"/>
      <c r="EV397" s="58"/>
      <c r="EW397" s="58"/>
      <c r="EX397" s="58"/>
      <c r="EY397" s="58"/>
      <c r="EZ397" s="85"/>
    </row>
    <row r="398" spans="1:156">
      <c r="A398" s="95"/>
      <c r="B398" s="9"/>
      <c r="I398" s="54"/>
      <c r="J398" s="6"/>
      <c r="K398" s="6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90"/>
      <c r="AO398" s="91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91"/>
      <c r="CG398" s="6"/>
      <c r="CH398" s="91"/>
      <c r="CI398" s="91"/>
      <c r="CJ398" s="91"/>
      <c r="CK398" s="91"/>
      <c r="CL398" s="6"/>
      <c r="CM398" s="6"/>
      <c r="CN398" s="6"/>
      <c r="CO398" s="6"/>
      <c r="CP398" s="6"/>
      <c r="CQ398" s="6"/>
      <c r="CR398" s="6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8"/>
      <c r="DK398" s="8"/>
      <c r="DL398" s="8"/>
      <c r="DM398" s="8"/>
      <c r="DN398" s="55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83"/>
      <c r="EC398" s="83"/>
      <c r="ED398" s="83"/>
      <c r="EE398" s="83"/>
      <c r="EF398" s="83"/>
      <c r="EG398" s="83"/>
      <c r="EH398" s="83"/>
      <c r="EI398" s="83"/>
      <c r="EJ398" s="83"/>
      <c r="EK398" s="2"/>
      <c r="EO398" s="2"/>
      <c r="ES398" s="58"/>
      <c r="ET398" s="58"/>
      <c r="EU398" s="58"/>
      <c r="EV398" s="58"/>
      <c r="EW398" s="58"/>
      <c r="EX398" s="58"/>
      <c r="EY398" s="58"/>
      <c r="EZ398" s="85"/>
    </row>
    <row r="399" spans="1:156">
      <c r="A399" s="95"/>
      <c r="B399" s="9"/>
      <c r="I399" s="54"/>
      <c r="J399" s="6"/>
      <c r="K399" s="6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90"/>
      <c r="AO399" s="91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91"/>
      <c r="CG399" s="6"/>
      <c r="CH399" s="91"/>
      <c r="CI399" s="91"/>
      <c r="CJ399" s="91"/>
      <c r="CK399" s="91"/>
      <c r="CL399" s="6"/>
      <c r="CM399" s="6"/>
      <c r="CN399" s="6"/>
      <c r="CO399" s="6"/>
      <c r="CP399" s="6"/>
      <c r="CQ399" s="6"/>
      <c r="CR399" s="6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8"/>
      <c r="DK399" s="8"/>
      <c r="DL399" s="8"/>
      <c r="DM399" s="8"/>
      <c r="DN399" s="55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83"/>
      <c r="EC399" s="83"/>
      <c r="ED399" s="83"/>
      <c r="EE399" s="83"/>
      <c r="EF399" s="83"/>
      <c r="EG399" s="83"/>
      <c r="EH399" s="83"/>
      <c r="EI399" s="83"/>
      <c r="EJ399" s="83"/>
      <c r="EK399" s="2"/>
      <c r="EO399" s="2"/>
      <c r="ES399" s="58"/>
      <c r="ET399" s="58"/>
      <c r="EU399" s="58"/>
      <c r="EV399" s="58"/>
      <c r="EW399" s="58"/>
      <c r="EX399" s="58"/>
      <c r="EY399" s="58"/>
      <c r="EZ399" s="85"/>
    </row>
    <row r="400" spans="1:156">
      <c r="A400" s="95"/>
      <c r="B400" s="9"/>
      <c r="I400" s="54"/>
      <c r="J400" s="6"/>
      <c r="K400" s="6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90"/>
      <c r="AO400" s="91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91"/>
      <c r="CG400" s="6"/>
      <c r="CH400" s="91"/>
      <c r="CI400" s="91"/>
      <c r="CJ400" s="91"/>
      <c r="CK400" s="91"/>
      <c r="CL400" s="6"/>
      <c r="CM400" s="6"/>
      <c r="CN400" s="6"/>
      <c r="CO400" s="6"/>
      <c r="CP400" s="6"/>
      <c r="CQ400" s="6"/>
      <c r="CR400" s="6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8"/>
      <c r="DK400" s="8"/>
      <c r="DL400" s="8"/>
      <c r="DM400" s="8"/>
      <c r="DN400" s="55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83"/>
      <c r="EC400" s="83"/>
      <c r="ED400" s="83"/>
      <c r="EE400" s="83"/>
      <c r="EF400" s="83"/>
      <c r="EG400" s="83"/>
      <c r="EH400" s="83"/>
      <c r="EI400" s="83"/>
      <c r="EJ400" s="83"/>
      <c r="EK400" s="2"/>
      <c r="EO400" s="2"/>
      <c r="ES400" s="58"/>
      <c r="ET400" s="58"/>
      <c r="EU400" s="58"/>
      <c r="EV400" s="58"/>
      <c r="EW400" s="58"/>
      <c r="EX400" s="58"/>
      <c r="EY400" s="58"/>
      <c r="EZ400" s="85"/>
    </row>
    <row r="401" spans="1:156">
      <c r="A401" s="95"/>
      <c r="B401" s="9"/>
      <c r="I401" s="54"/>
      <c r="J401" s="6"/>
      <c r="K401" s="6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90"/>
      <c r="AO401" s="91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91"/>
      <c r="CG401" s="6"/>
      <c r="CH401" s="91"/>
      <c r="CI401" s="91"/>
      <c r="CJ401" s="91"/>
      <c r="CK401" s="91"/>
      <c r="CL401" s="6"/>
      <c r="CM401" s="6"/>
      <c r="CN401" s="6"/>
      <c r="CO401" s="6"/>
      <c r="CP401" s="6"/>
      <c r="CQ401" s="6"/>
      <c r="CR401" s="6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8"/>
      <c r="DK401" s="8"/>
      <c r="DL401" s="8"/>
      <c r="DM401" s="8"/>
      <c r="DN401" s="55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83"/>
      <c r="EC401" s="83"/>
      <c r="ED401" s="83"/>
      <c r="EE401" s="83"/>
      <c r="EF401" s="83"/>
      <c r="EG401" s="83"/>
      <c r="EH401" s="83"/>
      <c r="EI401" s="83"/>
      <c r="EJ401" s="83"/>
      <c r="EK401" s="2"/>
      <c r="EO401" s="2"/>
      <c r="ES401" s="58"/>
      <c r="ET401" s="58"/>
      <c r="EU401" s="58"/>
      <c r="EV401" s="58"/>
      <c r="EW401" s="58"/>
      <c r="EX401" s="58"/>
      <c r="EY401" s="58"/>
      <c r="EZ401" s="85"/>
    </row>
    <row r="402" spans="1:156">
      <c r="A402" s="95"/>
      <c r="B402" s="9"/>
      <c r="I402" s="54"/>
      <c r="J402" s="6"/>
      <c r="K402" s="6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90"/>
      <c r="AO402" s="91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91"/>
      <c r="CG402" s="6"/>
      <c r="CH402" s="91"/>
      <c r="CI402" s="91"/>
      <c r="CJ402" s="91"/>
      <c r="CK402" s="91"/>
      <c r="CL402" s="6"/>
      <c r="CM402" s="6"/>
      <c r="CN402" s="6"/>
      <c r="CO402" s="6"/>
      <c r="CP402" s="6"/>
      <c r="CQ402" s="6"/>
      <c r="CR402" s="6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8"/>
      <c r="DK402" s="8"/>
      <c r="DL402" s="8"/>
      <c r="DM402" s="8"/>
      <c r="DN402" s="55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83"/>
      <c r="EC402" s="83"/>
      <c r="ED402" s="83"/>
      <c r="EE402" s="83"/>
      <c r="EF402" s="83"/>
      <c r="EG402" s="83"/>
      <c r="EH402" s="83"/>
      <c r="EI402" s="83"/>
      <c r="EJ402" s="83"/>
      <c r="EK402" s="2"/>
      <c r="EO402" s="2"/>
      <c r="ES402" s="58"/>
      <c r="ET402" s="58"/>
      <c r="EU402" s="58"/>
      <c r="EV402" s="58"/>
      <c r="EW402" s="58"/>
      <c r="EX402" s="58"/>
      <c r="EY402" s="58"/>
      <c r="EZ402" s="85"/>
    </row>
    <row r="403" spans="1:156">
      <c r="A403" s="95"/>
      <c r="B403" s="9"/>
      <c r="I403" s="54"/>
      <c r="J403" s="6"/>
      <c r="K403" s="6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90"/>
      <c r="AO403" s="91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91"/>
      <c r="CG403" s="6"/>
      <c r="CH403" s="91"/>
      <c r="CI403" s="91"/>
      <c r="CJ403" s="91"/>
      <c r="CK403" s="91"/>
      <c r="CL403" s="6"/>
      <c r="CM403" s="6"/>
      <c r="CN403" s="6"/>
      <c r="CO403" s="6"/>
      <c r="CP403" s="6"/>
      <c r="CQ403" s="6"/>
      <c r="CR403" s="6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8"/>
      <c r="DK403" s="8"/>
      <c r="DL403" s="8"/>
      <c r="DM403" s="8"/>
      <c r="DN403" s="55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83"/>
      <c r="EC403" s="83"/>
      <c r="ED403" s="83"/>
      <c r="EE403" s="83"/>
      <c r="EF403" s="83"/>
      <c r="EG403" s="83"/>
      <c r="EH403" s="83"/>
      <c r="EI403" s="83"/>
      <c r="EJ403" s="83"/>
      <c r="EK403" s="2"/>
      <c r="EO403" s="2"/>
      <c r="ES403" s="58"/>
      <c r="ET403" s="58"/>
      <c r="EU403" s="58"/>
      <c r="EV403" s="58"/>
      <c r="EW403" s="58"/>
      <c r="EX403" s="58"/>
      <c r="EY403" s="58"/>
      <c r="EZ403" s="85"/>
    </row>
    <row r="404" spans="1:156">
      <c r="A404" s="95"/>
      <c r="B404" s="9"/>
      <c r="I404" s="54"/>
      <c r="J404" s="6"/>
      <c r="K404" s="6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90"/>
      <c r="AO404" s="91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91"/>
      <c r="CG404" s="6"/>
      <c r="CH404" s="91"/>
      <c r="CI404" s="91"/>
      <c r="CJ404" s="91"/>
      <c r="CK404" s="91"/>
      <c r="CL404" s="6"/>
      <c r="CM404" s="6"/>
      <c r="CN404" s="6"/>
      <c r="CO404" s="6"/>
      <c r="CP404" s="6"/>
      <c r="CQ404" s="6"/>
      <c r="CR404" s="6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8"/>
      <c r="DK404" s="8"/>
      <c r="DL404" s="8"/>
      <c r="DM404" s="8"/>
      <c r="DN404" s="55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83"/>
      <c r="EC404" s="83"/>
      <c r="ED404" s="83"/>
      <c r="EE404" s="83"/>
      <c r="EF404" s="83"/>
      <c r="EG404" s="83"/>
      <c r="EH404" s="83"/>
      <c r="EI404" s="83"/>
      <c r="EJ404" s="83"/>
      <c r="EK404" s="2"/>
      <c r="EO404" s="2"/>
      <c r="ES404" s="58"/>
      <c r="ET404" s="58"/>
      <c r="EU404" s="58"/>
      <c r="EV404" s="58"/>
      <c r="EW404" s="58"/>
      <c r="EX404" s="58"/>
      <c r="EY404" s="58"/>
      <c r="EZ404" s="85"/>
    </row>
    <row r="405" spans="1:156">
      <c r="A405" s="95"/>
      <c r="B405" s="9"/>
      <c r="I405" s="54"/>
      <c r="J405" s="6"/>
      <c r="K405" s="6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90"/>
      <c r="AO405" s="91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91"/>
      <c r="CG405" s="6"/>
      <c r="CH405" s="91"/>
      <c r="CI405" s="91"/>
      <c r="CJ405" s="91"/>
      <c r="CK405" s="91"/>
      <c r="CL405" s="6"/>
      <c r="CM405" s="6"/>
      <c r="CN405" s="6"/>
      <c r="CO405" s="6"/>
      <c r="CP405" s="6"/>
      <c r="CQ405" s="6"/>
      <c r="CR405" s="6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8"/>
      <c r="DK405" s="8"/>
      <c r="DL405" s="8"/>
      <c r="DM405" s="8"/>
      <c r="DN405" s="55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83"/>
      <c r="EC405" s="83"/>
      <c r="ED405" s="83"/>
      <c r="EE405" s="83"/>
      <c r="EF405" s="83"/>
      <c r="EG405" s="83"/>
      <c r="EH405" s="83"/>
      <c r="EI405" s="83"/>
      <c r="EJ405" s="83"/>
      <c r="EK405" s="2"/>
      <c r="EO405" s="2"/>
      <c r="ES405" s="58"/>
      <c r="ET405" s="58"/>
      <c r="EU405" s="58"/>
      <c r="EV405" s="58"/>
      <c r="EW405" s="58"/>
      <c r="EX405" s="58"/>
      <c r="EY405" s="58"/>
      <c r="EZ405" s="85"/>
    </row>
    <row r="406" spans="1:156">
      <c r="A406" s="95"/>
      <c r="B406" s="9"/>
      <c r="I406" s="54"/>
      <c r="J406" s="6"/>
      <c r="K406" s="6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90"/>
      <c r="AO406" s="91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91"/>
      <c r="CG406" s="6"/>
      <c r="CH406" s="91"/>
      <c r="CI406" s="91"/>
      <c r="CJ406" s="91"/>
      <c r="CK406" s="91"/>
      <c r="CL406" s="6"/>
      <c r="CM406" s="6"/>
      <c r="CN406" s="6"/>
      <c r="CO406" s="6"/>
      <c r="CP406" s="6"/>
      <c r="CQ406" s="6"/>
      <c r="CR406" s="6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8"/>
      <c r="DK406" s="8"/>
      <c r="DL406" s="8"/>
      <c r="DM406" s="8"/>
      <c r="DN406" s="55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83"/>
      <c r="EC406" s="83"/>
      <c r="ED406" s="83"/>
      <c r="EE406" s="83"/>
      <c r="EF406" s="83"/>
      <c r="EG406" s="83"/>
      <c r="EH406" s="83"/>
      <c r="EI406" s="83"/>
      <c r="EJ406" s="83"/>
      <c r="EK406" s="2"/>
      <c r="EO406" s="2"/>
      <c r="ES406" s="58"/>
      <c r="ET406" s="58"/>
      <c r="EU406" s="58"/>
      <c r="EV406" s="58"/>
      <c r="EW406" s="58"/>
      <c r="EX406" s="58"/>
      <c r="EY406" s="58"/>
      <c r="EZ406" s="85"/>
    </row>
    <row r="407" spans="1:156">
      <c r="A407" s="95"/>
      <c r="B407" s="9"/>
      <c r="I407" s="54"/>
      <c r="J407" s="6"/>
      <c r="K407" s="6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90"/>
      <c r="AO407" s="91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91"/>
      <c r="CG407" s="6"/>
      <c r="CH407" s="91"/>
      <c r="CI407" s="91"/>
      <c r="CJ407" s="91"/>
      <c r="CK407" s="91"/>
      <c r="CL407" s="6"/>
      <c r="CM407" s="6"/>
      <c r="CN407" s="6"/>
      <c r="CO407" s="6"/>
      <c r="CP407" s="6"/>
      <c r="CQ407" s="6"/>
      <c r="CR407" s="6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8"/>
      <c r="DK407" s="8"/>
      <c r="DL407" s="8"/>
      <c r="DM407" s="8"/>
      <c r="DN407" s="55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83"/>
      <c r="EC407" s="83"/>
      <c r="ED407" s="83"/>
      <c r="EE407" s="83"/>
      <c r="EF407" s="83"/>
      <c r="EG407" s="83"/>
      <c r="EH407" s="83"/>
      <c r="EI407" s="83"/>
      <c r="EJ407" s="83"/>
      <c r="EK407" s="2"/>
      <c r="EO407" s="2"/>
      <c r="ES407" s="58"/>
      <c r="ET407" s="58"/>
      <c r="EU407" s="58"/>
      <c r="EV407" s="58"/>
      <c r="EW407" s="58"/>
      <c r="EX407" s="58"/>
      <c r="EY407" s="58"/>
      <c r="EZ407" s="85"/>
    </row>
    <row r="408" spans="1:156">
      <c r="A408" s="95"/>
      <c r="B408" s="9"/>
      <c r="I408" s="54"/>
      <c r="J408" s="6"/>
      <c r="K408" s="6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90"/>
      <c r="AO408" s="91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91"/>
      <c r="CG408" s="6"/>
      <c r="CH408" s="91"/>
      <c r="CI408" s="91"/>
      <c r="CJ408" s="91"/>
      <c r="CK408" s="91"/>
      <c r="CL408" s="6"/>
      <c r="CM408" s="6"/>
      <c r="CN408" s="6"/>
      <c r="CO408" s="6"/>
      <c r="CP408" s="6"/>
      <c r="CQ408" s="6"/>
      <c r="CR408" s="6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8"/>
      <c r="DK408" s="8"/>
      <c r="DL408" s="8"/>
      <c r="DM408" s="8"/>
      <c r="DN408" s="55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83"/>
      <c r="EC408" s="83"/>
      <c r="ED408" s="83"/>
      <c r="EE408" s="83"/>
      <c r="EF408" s="83"/>
      <c r="EG408" s="83"/>
      <c r="EH408" s="83"/>
      <c r="EI408" s="83"/>
      <c r="EJ408" s="83"/>
      <c r="EK408" s="2"/>
      <c r="EO408" s="2"/>
      <c r="ES408" s="58"/>
      <c r="ET408" s="58"/>
      <c r="EU408" s="58"/>
      <c r="EV408" s="58"/>
      <c r="EW408" s="58"/>
      <c r="EX408" s="58"/>
      <c r="EY408" s="58"/>
      <c r="EZ408" s="85"/>
    </row>
    <row r="409" spans="1:156">
      <c r="A409" s="95"/>
      <c r="B409" s="9"/>
      <c r="I409" s="54"/>
      <c r="J409" s="6"/>
      <c r="K409" s="6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90"/>
      <c r="AO409" s="91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91"/>
      <c r="CG409" s="6"/>
      <c r="CH409" s="91"/>
      <c r="CI409" s="91"/>
      <c r="CJ409" s="91"/>
      <c r="CK409" s="91"/>
      <c r="CL409" s="6"/>
      <c r="CM409" s="6"/>
      <c r="CN409" s="6"/>
      <c r="CO409" s="6"/>
      <c r="CP409" s="6"/>
      <c r="CQ409" s="6"/>
      <c r="CR409" s="6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8"/>
      <c r="DK409" s="8"/>
      <c r="DL409" s="8"/>
      <c r="DM409" s="8"/>
      <c r="DN409" s="55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83"/>
      <c r="EC409" s="83"/>
      <c r="ED409" s="83"/>
      <c r="EE409" s="83"/>
      <c r="EF409" s="83"/>
      <c r="EG409" s="83"/>
      <c r="EH409" s="83"/>
      <c r="EI409" s="83"/>
      <c r="EJ409" s="83"/>
      <c r="EK409" s="2"/>
      <c r="EO409" s="2"/>
      <c r="ES409" s="58"/>
      <c r="ET409" s="58"/>
      <c r="EU409" s="58"/>
      <c r="EV409" s="58"/>
      <c r="EW409" s="58"/>
      <c r="EX409" s="58"/>
      <c r="EY409" s="58"/>
      <c r="EZ409" s="85"/>
    </row>
    <row r="410" spans="1:156">
      <c r="A410" s="95"/>
      <c r="B410" s="9"/>
      <c r="I410" s="54"/>
      <c r="J410" s="6"/>
      <c r="K410" s="6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90"/>
      <c r="AO410" s="91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91"/>
      <c r="CG410" s="6"/>
      <c r="CH410" s="91"/>
      <c r="CI410" s="91"/>
      <c r="CJ410" s="91"/>
      <c r="CK410" s="91"/>
      <c r="CL410" s="6"/>
      <c r="CM410" s="6"/>
      <c r="CN410" s="6"/>
      <c r="CO410" s="6"/>
      <c r="CP410" s="6"/>
      <c r="CQ410" s="6"/>
      <c r="CR410" s="6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8"/>
      <c r="DK410" s="8"/>
      <c r="DL410" s="8"/>
      <c r="DM410" s="8"/>
      <c r="DN410" s="55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83"/>
      <c r="EC410" s="83"/>
      <c r="ED410" s="83"/>
      <c r="EE410" s="83"/>
      <c r="EF410" s="83"/>
      <c r="EG410" s="83"/>
      <c r="EH410" s="83"/>
      <c r="EI410" s="83"/>
      <c r="EJ410" s="83"/>
      <c r="EK410" s="2"/>
      <c r="EO410" s="2"/>
      <c r="ES410" s="58"/>
      <c r="ET410" s="58"/>
      <c r="EU410" s="58"/>
      <c r="EV410" s="58"/>
      <c r="EW410" s="58"/>
      <c r="EX410" s="58"/>
      <c r="EY410" s="58"/>
      <c r="EZ410" s="85"/>
    </row>
    <row r="411" spans="1:156">
      <c r="A411" s="95"/>
      <c r="B411" s="9"/>
      <c r="I411" s="54"/>
      <c r="J411" s="6"/>
      <c r="K411" s="6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90"/>
      <c r="AO411" s="91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91"/>
      <c r="CG411" s="6"/>
      <c r="CH411" s="91"/>
      <c r="CI411" s="91"/>
      <c r="CJ411" s="91"/>
      <c r="CK411" s="91"/>
      <c r="CL411" s="6"/>
      <c r="CM411" s="6"/>
      <c r="CN411" s="6"/>
      <c r="CO411" s="6"/>
      <c r="CP411" s="6"/>
      <c r="CQ411" s="6"/>
      <c r="CR411" s="6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8"/>
      <c r="DK411" s="8"/>
      <c r="DL411" s="8"/>
      <c r="DM411" s="8"/>
      <c r="DN411" s="55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83"/>
      <c r="EC411" s="83"/>
      <c r="ED411" s="83"/>
      <c r="EE411" s="83"/>
      <c r="EF411" s="83"/>
      <c r="EG411" s="83"/>
      <c r="EH411" s="83"/>
      <c r="EI411" s="83"/>
      <c r="EJ411" s="83"/>
      <c r="EK411" s="2"/>
      <c r="EO411" s="2"/>
      <c r="ES411" s="58"/>
      <c r="ET411" s="58"/>
      <c r="EU411" s="58"/>
      <c r="EV411" s="58"/>
      <c r="EW411" s="58"/>
      <c r="EX411" s="58"/>
      <c r="EY411" s="58"/>
      <c r="EZ411" s="85"/>
    </row>
    <row r="412" spans="1:156">
      <c r="A412" s="95"/>
      <c r="B412" s="9"/>
      <c r="I412" s="54"/>
      <c r="J412" s="6"/>
      <c r="K412" s="6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90"/>
      <c r="AO412" s="91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91"/>
      <c r="CG412" s="6"/>
      <c r="CH412" s="91"/>
      <c r="CI412" s="91"/>
      <c r="CJ412" s="91"/>
      <c r="CK412" s="91"/>
      <c r="CL412" s="6"/>
      <c r="CM412" s="6"/>
      <c r="CN412" s="6"/>
      <c r="CO412" s="6"/>
      <c r="CP412" s="6"/>
      <c r="CQ412" s="6"/>
      <c r="CR412" s="6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8"/>
      <c r="DK412" s="8"/>
      <c r="DL412" s="8"/>
      <c r="DM412" s="8"/>
      <c r="DN412" s="55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83"/>
      <c r="EC412" s="83"/>
      <c r="ED412" s="83"/>
      <c r="EE412" s="83"/>
      <c r="EF412" s="83"/>
      <c r="EG412" s="83"/>
      <c r="EH412" s="83"/>
      <c r="EI412" s="83"/>
      <c r="EJ412" s="83"/>
      <c r="EK412" s="2"/>
      <c r="EO412" s="2"/>
      <c r="ES412" s="58"/>
      <c r="ET412" s="58"/>
      <c r="EU412" s="58"/>
      <c r="EV412" s="58"/>
      <c r="EW412" s="58"/>
      <c r="EX412" s="58"/>
      <c r="EY412" s="58"/>
      <c r="EZ412" s="85"/>
    </row>
    <row r="413" spans="1:156">
      <c r="A413" s="95"/>
      <c r="B413" s="9"/>
      <c r="I413" s="54"/>
      <c r="J413" s="6"/>
      <c r="K413" s="6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90"/>
      <c r="AO413" s="91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91"/>
      <c r="CG413" s="6"/>
      <c r="CH413" s="91"/>
      <c r="CI413" s="91"/>
      <c r="CJ413" s="91"/>
      <c r="CK413" s="91"/>
      <c r="CL413" s="6"/>
      <c r="CM413" s="6"/>
      <c r="CN413" s="6"/>
      <c r="CO413" s="6"/>
      <c r="CP413" s="6"/>
      <c r="CQ413" s="6"/>
      <c r="CR413" s="6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8"/>
      <c r="DK413" s="8"/>
      <c r="DL413" s="8"/>
      <c r="DM413" s="8"/>
      <c r="DN413" s="55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83"/>
      <c r="EC413" s="83"/>
      <c r="ED413" s="83"/>
      <c r="EE413" s="83"/>
      <c r="EF413" s="83"/>
      <c r="EG413" s="83"/>
      <c r="EH413" s="83"/>
      <c r="EI413" s="83"/>
      <c r="EJ413" s="83"/>
      <c r="EK413" s="2"/>
      <c r="EO413" s="2"/>
      <c r="ES413" s="58"/>
      <c r="ET413" s="58"/>
      <c r="EU413" s="58"/>
      <c r="EV413" s="58"/>
      <c r="EW413" s="58"/>
      <c r="EX413" s="58"/>
      <c r="EY413" s="58"/>
      <c r="EZ413" s="85"/>
    </row>
    <row r="414" spans="1:156">
      <c r="A414" s="95"/>
      <c r="B414" s="9"/>
      <c r="I414" s="54"/>
      <c r="J414" s="6"/>
      <c r="K414" s="6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90"/>
      <c r="AO414" s="91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91"/>
      <c r="CG414" s="6"/>
      <c r="CH414" s="91"/>
      <c r="CI414" s="91"/>
      <c r="CJ414" s="91"/>
      <c r="CK414" s="91"/>
      <c r="CL414" s="6"/>
      <c r="CM414" s="6"/>
      <c r="CN414" s="6"/>
      <c r="CO414" s="6"/>
      <c r="CP414" s="6"/>
      <c r="CQ414" s="6"/>
      <c r="CR414" s="6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8"/>
      <c r="DK414" s="8"/>
      <c r="DL414" s="8"/>
      <c r="DM414" s="8"/>
      <c r="DN414" s="55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83"/>
      <c r="EC414" s="83"/>
      <c r="ED414" s="83"/>
      <c r="EE414" s="83"/>
      <c r="EF414" s="83"/>
      <c r="EG414" s="83"/>
      <c r="EH414" s="83"/>
      <c r="EI414" s="83"/>
      <c r="EJ414" s="83"/>
      <c r="EK414" s="2"/>
      <c r="EO414" s="2"/>
      <c r="ES414" s="58"/>
      <c r="ET414" s="58"/>
      <c r="EU414" s="58"/>
      <c r="EV414" s="58"/>
      <c r="EW414" s="58"/>
      <c r="EX414" s="58"/>
      <c r="EY414" s="58"/>
      <c r="EZ414" s="85"/>
    </row>
    <row r="415" spans="1:156">
      <c r="A415" s="95"/>
      <c r="B415" s="9"/>
      <c r="I415" s="54"/>
      <c r="J415" s="6"/>
      <c r="K415" s="6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90"/>
      <c r="AO415" s="91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91"/>
      <c r="CG415" s="6"/>
      <c r="CH415" s="91"/>
      <c r="CI415" s="91"/>
      <c r="CJ415" s="91"/>
      <c r="CK415" s="91"/>
      <c r="CL415" s="6"/>
      <c r="CM415" s="6"/>
      <c r="CN415" s="6"/>
      <c r="CO415" s="6"/>
      <c r="CP415" s="6"/>
      <c r="CQ415" s="6"/>
      <c r="CR415" s="6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8"/>
      <c r="DK415" s="8"/>
      <c r="DL415" s="8"/>
      <c r="DM415" s="8"/>
      <c r="DN415" s="55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83"/>
      <c r="EC415" s="83"/>
      <c r="ED415" s="83"/>
      <c r="EE415" s="83"/>
      <c r="EF415" s="83"/>
      <c r="EG415" s="83"/>
      <c r="EH415" s="83"/>
      <c r="EI415" s="83"/>
      <c r="EJ415" s="83"/>
      <c r="EK415" s="2"/>
      <c r="EO415" s="2"/>
      <c r="ES415" s="58"/>
      <c r="ET415" s="58"/>
      <c r="EU415" s="58"/>
      <c r="EV415" s="58"/>
      <c r="EW415" s="58"/>
      <c r="EX415" s="58"/>
      <c r="EY415" s="58"/>
      <c r="EZ415" s="85"/>
    </row>
    <row r="416" spans="1:156">
      <c r="A416" s="95"/>
      <c r="B416" s="9"/>
      <c r="I416" s="54"/>
      <c r="J416" s="6"/>
      <c r="K416" s="6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90"/>
      <c r="AO416" s="91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91"/>
      <c r="CG416" s="6"/>
      <c r="CH416" s="91"/>
      <c r="CI416" s="91"/>
      <c r="CJ416" s="91"/>
      <c r="CK416" s="91"/>
      <c r="CL416" s="6"/>
      <c r="CM416" s="6"/>
      <c r="CN416" s="6"/>
      <c r="CO416" s="6"/>
      <c r="CP416" s="6"/>
      <c r="CQ416" s="6"/>
      <c r="CR416" s="6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8"/>
      <c r="DK416" s="8"/>
      <c r="DL416" s="8"/>
      <c r="DM416" s="8"/>
      <c r="DN416" s="55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83"/>
      <c r="EC416" s="83"/>
      <c r="ED416" s="83"/>
      <c r="EE416" s="83"/>
      <c r="EF416" s="83"/>
      <c r="EG416" s="83"/>
      <c r="EH416" s="83"/>
      <c r="EI416" s="83"/>
      <c r="EJ416" s="83"/>
      <c r="EK416" s="2"/>
      <c r="EO416" s="2"/>
      <c r="ES416" s="58"/>
      <c r="ET416" s="58"/>
      <c r="EU416" s="58"/>
      <c r="EV416" s="58"/>
      <c r="EW416" s="58"/>
      <c r="EX416" s="58"/>
      <c r="EY416" s="58"/>
      <c r="EZ416" s="85"/>
    </row>
    <row r="417" spans="1:156">
      <c r="A417" s="95"/>
      <c r="B417" s="9"/>
      <c r="I417" s="54"/>
      <c r="J417" s="6"/>
      <c r="K417" s="6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90"/>
      <c r="AO417" s="91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91"/>
      <c r="CG417" s="6"/>
      <c r="CH417" s="91"/>
      <c r="CI417" s="91"/>
      <c r="CJ417" s="91"/>
      <c r="CK417" s="91"/>
      <c r="CL417" s="6"/>
      <c r="CM417" s="6"/>
      <c r="CN417" s="6"/>
      <c r="CO417" s="6"/>
      <c r="CP417" s="6"/>
      <c r="CQ417" s="6"/>
      <c r="CR417" s="6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8"/>
      <c r="DK417" s="8"/>
      <c r="DL417" s="8"/>
      <c r="DM417" s="8"/>
      <c r="DN417" s="55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83"/>
      <c r="EC417" s="83"/>
      <c r="ED417" s="83"/>
      <c r="EE417" s="83"/>
      <c r="EF417" s="83"/>
      <c r="EG417" s="83"/>
      <c r="EH417" s="83"/>
      <c r="EI417" s="83"/>
      <c r="EJ417" s="83"/>
      <c r="EK417" s="2"/>
      <c r="EO417" s="2"/>
      <c r="ES417" s="58"/>
      <c r="ET417" s="58"/>
      <c r="EU417" s="58"/>
      <c r="EV417" s="58"/>
      <c r="EW417" s="58"/>
      <c r="EX417" s="58"/>
      <c r="EY417" s="58"/>
      <c r="EZ417" s="85"/>
    </row>
    <row r="418" spans="1:156">
      <c r="A418" s="95"/>
      <c r="B418" s="9"/>
      <c r="I418" s="54"/>
      <c r="J418" s="6"/>
      <c r="K418" s="6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90"/>
      <c r="AO418" s="91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91"/>
      <c r="CG418" s="6"/>
      <c r="CH418" s="91"/>
      <c r="CI418" s="91"/>
      <c r="CJ418" s="91"/>
      <c r="CK418" s="91"/>
      <c r="CL418" s="6"/>
      <c r="CM418" s="6"/>
      <c r="CN418" s="6"/>
      <c r="CO418" s="6"/>
      <c r="CP418" s="6"/>
      <c r="CQ418" s="6"/>
      <c r="CR418" s="6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8"/>
      <c r="DK418" s="8"/>
      <c r="DL418" s="8"/>
      <c r="DM418" s="8"/>
      <c r="DN418" s="55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83"/>
      <c r="EC418" s="83"/>
      <c r="ED418" s="83"/>
      <c r="EE418" s="83"/>
      <c r="EF418" s="83"/>
      <c r="EG418" s="83"/>
      <c r="EH418" s="83"/>
      <c r="EI418" s="83"/>
      <c r="EJ418" s="83"/>
      <c r="EK418" s="2"/>
      <c r="EO418" s="2"/>
      <c r="ES418" s="58"/>
      <c r="ET418" s="58"/>
      <c r="EU418" s="58"/>
      <c r="EV418" s="58"/>
      <c r="EW418" s="58"/>
      <c r="EX418" s="58"/>
      <c r="EY418" s="58"/>
      <c r="EZ418" s="85"/>
    </row>
    <row r="419" spans="1:156">
      <c r="A419" s="95"/>
      <c r="B419" s="9"/>
      <c r="I419" s="54"/>
      <c r="J419" s="6"/>
      <c r="K419" s="6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90"/>
      <c r="AO419" s="91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91"/>
      <c r="CG419" s="6"/>
      <c r="CH419" s="91"/>
      <c r="CI419" s="91"/>
      <c r="CJ419" s="91"/>
      <c r="CK419" s="91"/>
      <c r="CL419" s="6"/>
      <c r="CM419" s="6"/>
      <c r="CN419" s="6"/>
      <c r="CO419" s="6"/>
      <c r="CP419" s="6"/>
      <c r="CQ419" s="6"/>
      <c r="CR419" s="6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8"/>
      <c r="DK419" s="8"/>
      <c r="DL419" s="8"/>
      <c r="DM419" s="8"/>
      <c r="DN419" s="55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83"/>
      <c r="EC419" s="83"/>
      <c r="ED419" s="83"/>
      <c r="EE419" s="83"/>
      <c r="EF419" s="83"/>
      <c r="EG419" s="83"/>
      <c r="EH419" s="83"/>
      <c r="EI419" s="83"/>
      <c r="EJ419" s="83"/>
      <c r="EK419" s="2"/>
      <c r="EO419" s="2"/>
      <c r="ES419" s="58"/>
      <c r="ET419" s="58"/>
      <c r="EU419" s="58"/>
      <c r="EV419" s="58"/>
      <c r="EW419" s="58"/>
      <c r="EX419" s="58"/>
      <c r="EY419" s="58"/>
      <c r="EZ419" s="85"/>
    </row>
    <row r="420" spans="1:156">
      <c r="A420" s="95"/>
      <c r="B420" s="9"/>
      <c r="I420" s="54"/>
      <c r="J420" s="6"/>
      <c r="K420" s="6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90"/>
      <c r="AO420" s="91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91"/>
      <c r="CG420" s="6"/>
      <c r="CH420" s="91"/>
      <c r="CI420" s="91"/>
      <c r="CJ420" s="91"/>
      <c r="CK420" s="91"/>
      <c r="CL420" s="6"/>
      <c r="CM420" s="6"/>
      <c r="CN420" s="6"/>
      <c r="CO420" s="6"/>
      <c r="CP420" s="6"/>
      <c r="CQ420" s="6"/>
      <c r="CR420" s="6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8"/>
      <c r="DK420" s="8"/>
      <c r="DL420" s="8"/>
      <c r="DM420" s="8"/>
      <c r="DN420" s="55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83"/>
      <c r="EC420" s="83"/>
      <c r="ED420" s="83"/>
      <c r="EE420" s="83"/>
      <c r="EF420" s="83"/>
      <c r="EG420" s="83"/>
      <c r="EH420" s="83"/>
      <c r="EI420" s="83"/>
      <c r="EJ420" s="83"/>
      <c r="EK420" s="2"/>
      <c r="EO420" s="2"/>
      <c r="ES420" s="58"/>
      <c r="ET420" s="58"/>
      <c r="EU420" s="58"/>
      <c r="EV420" s="58"/>
      <c r="EW420" s="58"/>
      <c r="EX420" s="58"/>
      <c r="EY420" s="58"/>
      <c r="EZ420" s="85"/>
    </row>
    <row r="421" spans="1:156">
      <c r="A421" s="95"/>
      <c r="B421" s="9"/>
      <c r="I421" s="54"/>
      <c r="J421" s="6"/>
      <c r="K421" s="6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90"/>
      <c r="AO421" s="91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91"/>
      <c r="CG421" s="6"/>
      <c r="CH421" s="91"/>
      <c r="CI421" s="91"/>
      <c r="CJ421" s="91"/>
      <c r="CK421" s="91"/>
      <c r="CL421" s="6"/>
      <c r="CM421" s="6"/>
      <c r="CN421" s="6"/>
      <c r="CO421" s="6"/>
      <c r="CP421" s="6"/>
      <c r="CQ421" s="6"/>
      <c r="CR421" s="6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8"/>
      <c r="DK421" s="8"/>
      <c r="DL421" s="8"/>
      <c r="DM421" s="8"/>
      <c r="DN421" s="55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83"/>
      <c r="EC421" s="83"/>
      <c r="ED421" s="83"/>
      <c r="EE421" s="83"/>
      <c r="EF421" s="83"/>
      <c r="EG421" s="83"/>
      <c r="EH421" s="83"/>
      <c r="EI421" s="83"/>
      <c r="EJ421" s="83"/>
      <c r="EK421" s="2"/>
      <c r="EO421" s="2"/>
      <c r="ES421" s="58"/>
      <c r="ET421" s="58"/>
      <c r="EU421" s="58"/>
      <c r="EV421" s="58"/>
      <c r="EW421" s="58"/>
      <c r="EX421" s="58"/>
      <c r="EY421" s="58"/>
      <c r="EZ421" s="85"/>
    </row>
    <row r="422" spans="1:156">
      <c r="A422" s="95"/>
      <c r="B422" s="9"/>
      <c r="I422" s="54"/>
      <c r="J422" s="6"/>
      <c r="K422" s="6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90"/>
      <c r="AO422" s="91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91"/>
      <c r="CG422" s="6"/>
      <c r="CH422" s="91"/>
      <c r="CI422" s="91"/>
      <c r="CJ422" s="91"/>
      <c r="CK422" s="91"/>
      <c r="CL422" s="6"/>
      <c r="CM422" s="6"/>
      <c r="CN422" s="6"/>
      <c r="CO422" s="6"/>
      <c r="CP422" s="6"/>
      <c r="CQ422" s="6"/>
      <c r="CR422" s="6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8"/>
      <c r="DK422" s="8"/>
      <c r="DL422" s="8"/>
      <c r="DM422" s="8"/>
      <c r="DN422" s="55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83"/>
      <c r="EC422" s="83"/>
      <c r="ED422" s="83"/>
      <c r="EE422" s="83"/>
      <c r="EF422" s="83"/>
      <c r="EG422" s="83"/>
      <c r="EH422" s="83"/>
      <c r="EI422" s="83"/>
      <c r="EJ422" s="83"/>
      <c r="EK422" s="2"/>
      <c r="EO422" s="2"/>
      <c r="ES422" s="58"/>
      <c r="ET422" s="58"/>
      <c r="EU422" s="58"/>
      <c r="EV422" s="58"/>
      <c r="EW422" s="58"/>
      <c r="EX422" s="58"/>
      <c r="EY422" s="58"/>
      <c r="EZ422" s="85"/>
    </row>
    <row r="423" spans="1:156">
      <c r="A423" s="95"/>
      <c r="B423" s="9"/>
      <c r="I423" s="54"/>
      <c r="J423" s="6"/>
      <c r="K423" s="6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90"/>
      <c r="AO423" s="91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91"/>
      <c r="CG423" s="6"/>
      <c r="CH423" s="91"/>
      <c r="CI423" s="91"/>
      <c r="CJ423" s="91"/>
      <c r="CK423" s="91"/>
      <c r="CL423" s="6"/>
      <c r="CM423" s="6"/>
      <c r="CN423" s="6"/>
      <c r="CO423" s="6"/>
      <c r="CP423" s="6"/>
      <c r="CQ423" s="6"/>
      <c r="CR423" s="6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8"/>
      <c r="DK423" s="8"/>
      <c r="DL423" s="8"/>
      <c r="DM423" s="8"/>
      <c r="DN423" s="55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83"/>
      <c r="EC423" s="83"/>
      <c r="ED423" s="83"/>
      <c r="EE423" s="83"/>
      <c r="EF423" s="83"/>
      <c r="EG423" s="83"/>
      <c r="EH423" s="83"/>
      <c r="EI423" s="83"/>
      <c r="EJ423" s="83"/>
      <c r="EK423" s="2"/>
      <c r="EO423" s="2"/>
      <c r="ES423" s="58"/>
      <c r="ET423" s="58"/>
      <c r="EU423" s="58"/>
      <c r="EV423" s="58"/>
      <c r="EW423" s="58"/>
      <c r="EX423" s="58"/>
      <c r="EY423" s="58"/>
      <c r="EZ423" s="85"/>
    </row>
    <row r="424" spans="1:156">
      <c r="A424" s="95"/>
      <c r="B424" s="9"/>
      <c r="I424" s="54"/>
      <c r="J424" s="6"/>
      <c r="K424" s="6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90"/>
      <c r="AO424" s="91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91"/>
      <c r="CG424" s="6"/>
      <c r="CH424" s="91"/>
      <c r="CI424" s="91"/>
      <c r="CJ424" s="91"/>
      <c r="CK424" s="91"/>
      <c r="CL424" s="6"/>
      <c r="CM424" s="6"/>
      <c r="CN424" s="6"/>
      <c r="CO424" s="6"/>
      <c r="CP424" s="6"/>
      <c r="CQ424" s="6"/>
      <c r="CR424" s="6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8"/>
      <c r="DK424" s="8"/>
      <c r="DL424" s="8"/>
      <c r="DM424" s="8"/>
      <c r="DN424" s="55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83"/>
      <c r="EC424" s="83"/>
      <c r="ED424" s="83"/>
      <c r="EE424" s="83"/>
      <c r="EF424" s="83"/>
      <c r="EG424" s="83"/>
      <c r="EH424" s="83"/>
      <c r="EI424" s="83"/>
      <c r="EJ424" s="83"/>
      <c r="EK424" s="2"/>
      <c r="EO424" s="2"/>
      <c r="ES424" s="58"/>
      <c r="ET424" s="58"/>
      <c r="EU424" s="58"/>
      <c r="EV424" s="58"/>
      <c r="EW424" s="58"/>
      <c r="EX424" s="58"/>
      <c r="EY424" s="58"/>
      <c r="EZ424" s="85"/>
    </row>
    <row r="425" spans="1:156">
      <c r="A425" s="95"/>
      <c r="B425" s="9"/>
      <c r="I425" s="54"/>
      <c r="J425" s="6"/>
      <c r="K425" s="6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90"/>
      <c r="AO425" s="91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91"/>
      <c r="CG425" s="6"/>
      <c r="CH425" s="91"/>
      <c r="CI425" s="91"/>
      <c r="CJ425" s="91"/>
      <c r="CK425" s="91"/>
      <c r="CL425" s="6"/>
      <c r="CM425" s="6"/>
      <c r="CN425" s="6"/>
      <c r="CO425" s="6"/>
      <c r="CP425" s="6"/>
      <c r="CQ425" s="6"/>
      <c r="CR425" s="6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8"/>
      <c r="DK425" s="8"/>
      <c r="DL425" s="8"/>
      <c r="DM425" s="8"/>
      <c r="DN425" s="55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83"/>
      <c r="EC425" s="83"/>
      <c r="ED425" s="83"/>
      <c r="EE425" s="83"/>
      <c r="EF425" s="83"/>
      <c r="EG425" s="83"/>
      <c r="EH425" s="83"/>
      <c r="EI425" s="83"/>
      <c r="EJ425" s="83"/>
      <c r="EK425" s="2"/>
      <c r="EO425" s="2"/>
      <c r="ES425" s="58"/>
      <c r="ET425" s="58"/>
      <c r="EU425" s="58"/>
      <c r="EV425" s="58"/>
      <c r="EW425" s="58"/>
      <c r="EX425" s="58"/>
      <c r="EY425" s="58"/>
      <c r="EZ425" s="85"/>
    </row>
    <row r="426" spans="1:156">
      <c r="A426" s="95"/>
      <c r="B426" s="9"/>
      <c r="I426" s="54"/>
      <c r="J426" s="6"/>
      <c r="K426" s="6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90"/>
      <c r="AO426" s="91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91"/>
      <c r="CG426" s="6"/>
      <c r="CH426" s="91"/>
      <c r="CI426" s="91"/>
      <c r="CJ426" s="91"/>
      <c r="CK426" s="91"/>
      <c r="CL426" s="6"/>
      <c r="CM426" s="6"/>
      <c r="CN426" s="6"/>
      <c r="CO426" s="6"/>
      <c r="CP426" s="6"/>
      <c r="CQ426" s="6"/>
      <c r="CR426" s="6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8"/>
      <c r="DK426" s="8"/>
      <c r="DL426" s="8"/>
      <c r="DM426" s="8"/>
      <c r="DN426" s="55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83"/>
      <c r="EC426" s="83"/>
      <c r="ED426" s="83"/>
      <c r="EE426" s="83"/>
      <c r="EF426" s="83"/>
      <c r="EG426" s="83"/>
      <c r="EH426" s="83"/>
      <c r="EI426" s="83"/>
      <c r="EJ426" s="83"/>
      <c r="EK426" s="2"/>
      <c r="EO426" s="2"/>
      <c r="ES426" s="58"/>
      <c r="ET426" s="58"/>
      <c r="EU426" s="58"/>
      <c r="EV426" s="58"/>
      <c r="EW426" s="58"/>
      <c r="EX426" s="58"/>
      <c r="EY426" s="58"/>
      <c r="EZ426" s="85"/>
    </row>
    <row r="427" spans="1:156">
      <c r="A427" s="95"/>
      <c r="B427" s="9"/>
      <c r="I427" s="54"/>
      <c r="J427" s="6"/>
      <c r="K427" s="6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90"/>
      <c r="AO427" s="91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91"/>
      <c r="CG427" s="6"/>
      <c r="CH427" s="91"/>
      <c r="CI427" s="91"/>
      <c r="CJ427" s="91"/>
      <c r="CK427" s="91"/>
      <c r="CL427" s="6"/>
      <c r="CM427" s="6"/>
      <c r="CN427" s="6"/>
      <c r="CO427" s="6"/>
      <c r="CP427" s="6"/>
      <c r="CQ427" s="6"/>
      <c r="CR427" s="6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8"/>
      <c r="DK427" s="8"/>
      <c r="DL427" s="8"/>
      <c r="DM427" s="8"/>
      <c r="DN427" s="55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83"/>
      <c r="EC427" s="83"/>
      <c r="ED427" s="83"/>
      <c r="EE427" s="83"/>
      <c r="EF427" s="83"/>
      <c r="EG427" s="83"/>
      <c r="EH427" s="83"/>
      <c r="EI427" s="83"/>
      <c r="EJ427" s="83"/>
      <c r="EK427" s="2"/>
      <c r="EO427" s="2"/>
      <c r="ES427" s="58"/>
      <c r="ET427" s="58"/>
      <c r="EU427" s="58"/>
      <c r="EV427" s="58"/>
      <c r="EW427" s="58"/>
      <c r="EX427" s="58"/>
      <c r="EY427" s="58"/>
      <c r="EZ427" s="85"/>
    </row>
    <row r="428" spans="1:156">
      <c r="A428" s="95"/>
      <c r="B428" s="9"/>
      <c r="I428" s="54"/>
      <c r="J428" s="6"/>
      <c r="K428" s="6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90"/>
      <c r="AO428" s="91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91"/>
      <c r="CG428" s="6"/>
      <c r="CH428" s="91"/>
      <c r="CI428" s="91"/>
      <c r="CJ428" s="91"/>
      <c r="CK428" s="91"/>
      <c r="CL428" s="6"/>
      <c r="CM428" s="6"/>
      <c r="CN428" s="6"/>
      <c r="CO428" s="6"/>
      <c r="CP428" s="6"/>
      <c r="CQ428" s="6"/>
      <c r="CR428" s="6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8"/>
      <c r="DK428" s="8"/>
      <c r="DL428" s="8"/>
      <c r="DM428" s="8"/>
      <c r="DN428" s="55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83"/>
      <c r="EC428" s="83"/>
      <c r="ED428" s="83"/>
      <c r="EE428" s="83"/>
      <c r="EF428" s="83"/>
      <c r="EG428" s="83"/>
      <c r="EH428" s="83"/>
      <c r="EI428" s="83"/>
      <c r="EJ428" s="83"/>
      <c r="EK428" s="2"/>
      <c r="EO428" s="2"/>
      <c r="ES428" s="58"/>
      <c r="ET428" s="58"/>
      <c r="EU428" s="58"/>
      <c r="EV428" s="58"/>
      <c r="EW428" s="58"/>
      <c r="EX428" s="58"/>
      <c r="EY428" s="58"/>
      <c r="EZ428" s="85"/>
    </row>
    <row r="429" spans="1:156">
      <c r="A429" s="95"/>
      <c r="B429" s="9"/>
      <c r="I429" s="54"/>
      <c r="J429" s="6"/>
      <c r="K429" s="6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90"/>
      <c r="AO429" s="91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91"/>
      <c r="CG429" s="6"/>
      <c r="CH429" s="91"/>
      <c r="CI429" s="91"/>
      <c r="CJ429" s="91"/>
      <c r="CK429" s="91"/>
      <c r="CL429" s="6"/>
      <c r="CM429" s="6"/>
      <c r="CN429" s="6"/>
      <c r="CO429" s="6"/>
      <c r="CP429" s="6"/>
      <c r="CQ429" s="6"/>
      <c r="CR429" s="6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8"/>
      <c r="DK429" s="8"/>
      <c r="DL429" s="8"/>
      <c r="DM429" s="8"/>
      <c r="DN429" s="55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83"/>
      <c r="EC429" s="83"/>
      <c r="ED429" s="83"/>
      <c r="EE429" s="83"/>
      <c r="EF429" s="83"/>
      <c r="EG429" s="83"/>
      <c r="EH429" s="83"/>
      <c r="EI429" s="83"/>
      <c r="EJ429" s="83"/>
      <c r="EK429" s="2"/>
      <c r="EO429" s="2"/>
      <c r="ES429" s="58"/>
      <c r="ET429" s="58"/>
      <c r="EU429" s="58"/>
      <c r="EV429" s="58"/>
      <c r="EW429" s="58"/>
      <c r="EX429" s="58"/>
      <c r="EY429" s="58"/>
      <c r="EZ429" s="85"/>
    </row>
    <row r="430" spans="1:156">
      <c r="A430" s="95"/>
      <c r="B430" s="9"/>
      <c r="I430" s="54"/>
      <c r="J430" s="6"/>
      <c r="K430" s="6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90"/>
      <c r="AO430" s="91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91"/>
      <c r="CG430" s="6"/>
      <c r="CH430" s="91"/>
      <c r="CI430" s="91"/>
      <c r="CJ430" s="91"/>
      <c r="CK430" s="91"/>
      <c r="CL430" s="6"/>
      <c r="CM430" s="6"/>
      <c r="CN430" s="6"/>
      <c r="CO430" s="6"/>
      <c r="CP430" s="6"/>
      <c r="CQ430" s="6"/>
      <c r="CR430" s="6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8"/>
      <c r="DK430" s="8"/>
      <c r="DL430" s="8"/>
      <c r="DM430" s="8"/>
      <c r="DN430" s="55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83"/>
      <c r="EC430" s="83"/>
      <c r="ED430" s="83"/>
      <c r="EE430" s="83"/>
      <c r="EF430" s="83"/>
      <c r="EG430" s="83"/>
      <c r="EH430" s="83"/>
      <c r="EI430" s="83"/>
      <c r="EJ430" s="83"/>
      <c r="EK430" s="2"/>
      <c r="EO430" s="2"/>
      <c r="ES430" s="58"/>
      <c r="ET430" s="58"/>
      <c r="EU430" s="58"/>
      <c r="EV430" s="58"/>
      <c r="EW430" s="58"/>
      <c r="EX430" s="58"/>
      <c r="EY430" s="58"/>
      <c r="EZ430" s="85"/>
    </row>
    <row r="431" spans="1:156">
      <c r="A431" s="95"/>
      <c r="B431" s="9"/>
      <c r="I431" s="54"/>
      <c r="J431" s="6"/>
      <c r="K431" s="6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90"/>
      <c r="AO431" s="91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91"/>
      <c r="CG431" s="6"/>
      <c r="CH431" s="91"/>
      <c r="CI431" s="91"/>
      <c r="CJ431" s="91"/>
      <c r="CK431" s="91"/>
      <c r="CL431" s="6"/>
      <c r="CM431" s="6"/>
      <c r="CN431" s="6"/>
      <c r="CO431" s="6"/>
      <c r="CP431" s="6"/>
      <c r="CQ431" s="6"/>
      <c r="CR431" s="6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8"/>
      <c r="DK431" s="8"/>
      <c r="DL431" s="8"/>
      <c r="DM431" s="8"/>
      <c r="DN431" s="55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83"/>
      <c r="EC431" s="83"/>
      <c r="ED431" s="83"/>
      <c r="EE431" s="83"/>
      <c r="EF431" s="83"/>
      <c r="EG431" s="83"/>
      <c r="EH431" s="83"/>
      <c r="EI431" s="83"/>
      <c r="EJ431" s="83"/>
      <c r="EK431" s="2"/>
      <c r="EO431" s="2"/>
      <c r="ES431" s="58"/>
      <c r="ET431" s="58"/>
      <c r="EU431" s="58"/>
      <c r="EV431" s="58"/>
      <c r="EW431" s="58"/>
      <c r="EX431" s="58"/>
      <c r="EY431" s="58"/>
      <c r="EZ431" s="85"/>
    </row>
    <row r="432" spans="1:156">
      <c r="A432" s="95"/>
      <c r="B432" s="9"/>
      <c r="I432" s="54"/>
      <c r="J432" s="6"/>
      <c r="K432" s="6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90"/>
      <c r="AO432" s="91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91"/>
      <c r="CG432" s="6"/>
      <c r="CH432" s="91"/>
      <c r="CI432" s="91"/>
      <c r="CJ432" s="91"/>
      <c r="CK432" s="91"/>
      <c r="CL432" s="6"/>
      <c r="CM432" s="6"/>
      <c r="CN432" s="6"/>
      <c r="CO432" s="6"/>
      <c r="CP432" s="6"/>
      <c r="CQ432" s="6"/>
      <c r="CR432" s="6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8"/>
      <c r="DK432" s="8"/>
      <c r="DL432" s="8"/>
      <c r="DM432" s="8"/>
      <c r="DN432" s="55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83"/>
      <c r="EC432" s="83"/>
      <c r="ED432" s="83"/>
      <c r="EE432" s="83"/>
      <c r="EF432" s="83"/>
      <c r="EG432" s="83"/>
      <c r="EH432" s="83"/>
      <c r="EI432" s="83"/>
      <c r="EJ432" s="83"/>
      <c r="EK432" s="2"/>
      <c r="EO432" s="2"/>
      <c r="ES432" s="58"/>
      <c r="ET432" s="58"/>
      <c r="EU432" s="58"/>
      <c r="EV432" s="58"/>
      <c r="EW432" s="58"/>
      <c r="EX432" s="58"/>
      <c r="EY432" s="58"/>
      <c r="EZ432" s="85"/>
    </row>
    <row r="433" spans="1:156">
      <c r="A433" s="95"/>
      <c r="B433" s="9"/>
      <c r="I433" s="54"/>
      <c r="J433" s="6"/>
      <c r="K433" s="6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90"/>
      <c r="AO433" s="91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91"/>
      <c r="CG433" s="6"/>
      <c r="CH433" s="91"/>
      <c r="CI433" s="91"/>
      <c r="CJ433" s="91"/>
      <c r="CK433" s="91"/>
      <c r="CL433" s="6"/>
      <c r="CM433" s="6"/>
      <c r="CN433" s="6"/>
      <c r="CO433" s="6"/>
      <c r="CP433" s="6"/>
      <c r="CQ433" s="6"/>
      <c r="CR433" s="6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8"/>
      <c r="DK433" s="8"/>
      <c r="DL433" s="8"/>
      <c r="DM433" s="8"/>
      <c r="DN433" s="55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83"/>
      <c r="EC433" s="83"/>
      <c r="ED433" s="83"/>
      <c r="EE433" s="83"/>
      <c r="EF433" s="83"/>
      <c r="EG433" s="83"/>
      <c r="EH433" s="83"/>
      <c r="EI433" s="83"/>
      <c r="EJ433" s="83"/>
      <c r="EK433" s="2"/>
      <c r="EO433" s="2"/>
      <c r="ES433" s="58"/>
      <c r="ET433" s="58"/>
      <c r="EU433" s="58"/>
      <c r="EV433" s="58"/>
      <c r="EW433" s="58"/>
      <c r="EX433" s="58"/>
      <c r="EY433" s="58"/>
      <c r="EZ433" s="85"/>
    </row>
    <row r="434" spans="1:156">
      <c r="A434" s="95"/>
      <c r="B434" s="9"/>
      <c r="I434" s="54"/>
      <c r="J434" s="6"/>
      <c r="K434" s="6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90"/>
      <c r="AO434" s="91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91"/>
      <c r="CG434" s="6"/>
      <c r="CH434" s="91"/>
      <c r="CI434" s="91"/>
      <c r="CJ434" s="91"/>
      <c r="CK434" s="91"/>
      <c r="CL434" s="6"/>
      <c r="CM434" s="6"/>
      <c r="CN434" s="6"/>
      <c r="CO434" s="6"/>
      <c r="CP434" s="6"/>
      <c r="CQ434" s="6"/>
      <c r="CR434" s="6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8"/>
      <c r="DK434" s="8"/>
      <c r="DL434" s="8"/>
      <c r="DM434" s="8"/>
      <c r="DN434" s="55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83"/>
      <c r="EC434" s="83"/>
      <c r="ED434" s="83"/>
      <c r="EE434" s="83"/>
      <c r="EF434" s="83"/>
      <c r="EG434" s="83"/>
      <c r="EH434" s="83"/>
      <c r="EI434" s="83"/>
      <c r="EJ434" s="83"/>
      <c r="EK434" s="2"/>
      <c r="EO434" s="2"/>
      <c r="ES434" s="58"/>
      <c r="ET434" s="58"/>
      <c r="EU434" s="58"/>
      <c r="EV434" s="58"/>
      <c r="EW434" s="58"/>
      <c r="EX434" s="58"/>
      <c r="EY434" s="58"/>
      <c r="EZ434" s="85"/>
    </row>
    <row r="435" spans="1:156">
      <c r="A435" s="95"/>
      <c r="B435" s="9"/>
      <c r="I435" s="54"/>
      <c r="J435" s="6"/>
      <c r="K435" s="6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90"/>
      <c r="AO435" s="91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91"/>
      <c r="CG435" s="6"/>
      <c r="CH435" s="91"/>
      <c r="CI435" s="91"/>
      <c r="CJ435" s="91"/>
      <c r="CK435" s="91"/>
      <c r="CL435" s="6"/>
      <c r="CM435" s="6"/>
      <c r="CN435" s="6"/>
      <c r="CO435" s="6"/>
      <c r="CP435" s="6"/>
      <c r="CQ435" s="6"/>
      <c r="CR435" s="6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8"/>
      <c r="DK435" s="8"/>
      <c r="DL435" s="8"/>
      <c r="DM435" s="8"/>
      <c r="DN435" s="55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83"/>
      <c r="EC435" s="83"/>
      <c r="ED435" s="83"/>
      <c r="EE435" s="83"/>
      <c r="EF435" s="83"/>
      <c r="EG435" s="83"/>
      <c r="EH435" s="83"/>
      <c r="EI435" s="83"/>
      <c r="EJ435" s="83"/>
      <c r="EK435" s="2"/>
      <c r="EO435" s="2"/>
      <c r="ES435" s="58"/>
      <c r="ET435" s="58"/>
      <c r="EU435" s="58"/>
      <c r="EV435" s="58"/>
      <c r="EW435" s="58"/>
      <c r="EX435" s="58"/>
      <c r="EY435" s="58"/>
      <c r="EZ435" s="85"/>
    </row>
    <row r="436" spans="1:156">
      <c r="A436" s="95"/>
      <c r="B436" s="9"/>
      <c r="I436" s="54"/>
      <c r="J436" s="6"/>
      <c r="K436" s="6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90"/>
      <c r="AO436" s="91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91"/>
      <c r="CG436" s="6"/>
      <c r="CH436" s="91"/>
      <c r="CI436" s="91"/>
      <c r="CJ436" s="91"/>
      <c r="CK436" s="91"/>
      <c r="CL436" s="6"/>
      <c r="CM436" s="6"/>
      <c r="CN436" s="6"/>
      <c r="CO436" s="6"/>
      <c r="CP436" s="6"/>
      <c r="CQ436" s="6"/>
      <c r="CR436" s="6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8"/>
      <c r="DK436" s="8"/>
      <c r="DL436" s="8"/>
      <c r="DM436" s="8"/>
      <c r="DN436" s="55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83"/>
      <c r="EC436" s="83"/>
      <c r="ED436" s="83"/>
      <c r="EE436" s="83"/>
      <c r="EF436" s="83"/>
      <c r="EG436" s="83"/>
      <c r="EH436" s="83"/>
      <c r="EI436" s="83"/>
      <c r="EJ436" s="83"/>
      <c r="EK436" s="2"/>
      <c r="EO436" s="2"/>
      <c r="ES436" s="58"/>
      <c r="ET436" s="58"/>
      <c r="EU436" s="58"/>
      <c r="EV436" s="58"/>
      <c r="EW436" s="58"/>
      <c r="EX436" s="58"/>
      <c r="EY436" s="58"/>
      <c r="EZ436" s="85"/>
    </row>
    <row r="437" spans="1:156">
      <c r="A437" s="95"/>
      <c r="B437" s="9"/>
      <c r="I437" s="54"/>
      <c r="J437" s="6"/>
      <c r="K437" s="6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90"/>
      <c r="AO437" s="91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91"/>
      <c r="CG437" s="6"/>
      <c r="CH437" s="91"/>
      <c r="CI437" s="91"/>
      <c r="CJ437" s="91"/>
      <c r="CK437" s="91"/>
      <c r="CL437" s="6"/>
      <c r="CM437" s="6"/>
      <c r="CN437" s="6"/>
      <c r="CO437" s="6"/>
      <c r="CP437" s="6"/>
      <c r="CQ437" s="6"/>
      <c r="CR437" s="6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8"/>
      <c r="DK437" s="8"/>
      <c r="DL437" s="8"/>
      <c r="DM437" s="8"/>
      <c r="DN437" s="55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83"/>
      <c r="EC437" s="83"/>
      <c r="ED437" s="83"/>
      <c r="EE437" s="83"/>
      <c r="EF437" s="83"/>
      <c r="EG437" s="83"/>
      <c r="EH437" s="83"/>
      <c r="EI437" s="83"/>
      <c r="EJ437" s="83"/>
      <c r="EK437" s="2"/>
      <c r="EO437" s="2"/>
      <c r="ES437" s="58"/>
      <c r="ET437" s="58"/>
      <c r="EU437" s="58"/>
      <c r="EV437" s="58"/>
      <c r="EW437" s="58"/>
      <c r="EX437" s="58"/>
      <c r="EY437" s="58"/>
      <c r="EZ437" s="85"/>
    </row>
    <row r="438" spans="1:156">
      <c r="A438" s="95"/>
      <c r="B438" s="9"/>
      <c r="I438" s="54"/>
      <c r="J438" s="6"/>
      <c r="K438" s="6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90"/>
      <c r="AO438" s="91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91"/>
      <c r="CG438" s="6"/>
      <c r="CH438" s="91"/>
      <c r="CI438" s="91"/>
      <c r="CJ438" s="91"/>
      <c r="CK438" s="91"/>
      <c r="CL438" s="6"/>
      <c r="CM438" s="6"/>
      <c r="CN438" s="6"/>
      <c r="CO438" s="6"/>
      <c r="CP438" s="6"/>
      <c r="CQ438" s="6"/>
      <c r="CR438" s="6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8"/>
      <c r="DK438" s="8"/>
      <c r="DL438" s="8"/>
      <c r="DM438" s="8"/>
      <c r="DN438" s="55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83"/>
      <c r="EC438" s="83"/>
      <c r="ED438" s="83"/>
      <c r="EE438" s="83"/>
      <c r="EF438" s="83"/>
      <c r="EG438" s="83"/>
      <c r="EH438" s="83"/>
      <c r="EI438" s="83"/>
      <c r="EJ438" s="83"/>
      <c r="EK438" s="2"/>
      <c r="EO438" s="2"/>
      <c r="ES438" s="58"/>
      <c r="ET438" s="58"/>
      <c r="EU438" s="58"/>
      <c r="EV438" s="58"/>
      <c r="EW438" s="58"/>
      <c r="EX438" s="58"/>
      <c r="EY438" s="58"/>
      <c r="EZ438" s="85"/>
    </row>
    <row r="439" spans="1:156">
      <c r="A439" s="95"/>
      <c r="B439" s="9"/>
      <c r="I439" s="54"/>
      <c r="J439" s="6"/>
      <c r="K439" s="6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90"/>
      <c r="AO439" s="91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91"/>
      <c r="CG439" s="6"/>
      <c r="CH439" s="91"/>
      <c r="CI439" s="91"/>
      <c r="CJ439" s="91"/>
      <c r="CK439" s="91"/>
      <c r="CL439" s="6"/>
      <c r="CM439" s="6"/>
      <c r="CN439" s="6"/>
      <c r="CO439" s="6"/>
      <c r="CP439" s="6"/>
      <c r="CQ439" s="6"/>
      <c r="CR439" s="6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8"/>
      <c r="DK439" s="8"/>
      <c r="DL439" s="8"/>
      <c r="DM439" s="8"/>
      <c r="DN439" s="55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83"/>
      <c r="EC439" s="83"/>
      <c r="ED439" s="83"/>
      <c r="EE439" s="83"/>
      <c r="EF439" s="83"/>
      <c r="EG439" s="83"/>
      <c r="EH439" s="83"/>
      <c r="EI439" s="83"/>
      <c r="EJ439" s="83"/>
      <c r="EK439" s="2"/>
      <c r="EO439" s="2"/>
      <c r="ES439" s="58"/>
      <c r="ET439" s="58"/>
      <c r="EU439" s="58"/>
      <c r="EV439" s="58"/>
      <c r="EW439" s="58"/>
      <c r="EX439" s="58"/>
      <c r="EY439" s="58"/>
      <c r="EZ439" s="85"/>
    </row>
    <row r="440" spans="1:156">
      <c r="A440" s="95"/>
      <c r="B440" s="9"/>
      <c r="I440" s="54"/>
      <c r="J440" s="6"/>
      <c r="K440" s="6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90"/>
      <c r="AO440" s="91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91"/>
      <c r="CG440" s="6"/>
      <c r="CH440" s="91"/>
      <c r="CI440" s="91"/>
      <c r="CJ440" s="91"/>
      <c r="CK440" s="91"/>
      <c r="CL440" s="6"/>
      <c r="CM440" s="6"/>
      <c r="CN440" s="6"/>
      <c r="CO440" s="6"/>
      <c r="CP440" s="6"/>
      <c r="CQ440" s="6"/>
      <c r="CR440" s="6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8"/>
      <c r="DK440" s="8"/>
      <c r="DL440" s="8"/>
      <c r="DM440" s="8"/>
      <c r="DN440" s="55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83"/>
      <c r="EC440" s="83"/>
      <c r="ED440" s="83"/>
      <c r="EE440" s="83"/>
      <c r="EF440" s="83"/>
      <c r="EG440" s="83"/>
      <c r="EH440" s="83"/>
      <c r="EI440" s="83"/>
      <c r="EJ440" s="83"/>
      <c r="EK440" s="2"/>
      <c r="EO440" s="2"/>
      <c r="ES440" s="58"/>
      <c r="ET440" s="58"/>
      <c r="EU440" s="58"/>
      <c r="EV440" s="58"/>
      <c r="EW440" s="58"/>
      <c r="EX440" s="58"/>
      <c r="EY440" s="58"/>
      <c r="EZ440" s="85"/>
    </row>
    <row r="441" spans="1:156">
      <c r="A441" s="95"/>
      <c r="B441" s="9"/>
      <c r="I441" s="54"/>
      <c r="J441" s="6"/>
      <c r="K441" s="6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90"/>
      <c r="AO441" s="91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91"/>
      <c r="CG441" s="6"/>
      <c r="CH441" s="91"/>
      <c r="CI441" s="91"/>
      <c r="CJ441" s="91"/>
      <c r="CK441" s="91"/>
      <c r="CL441" s="6"/>
      <c r="CM441" s="6"/>
      <c r="CN441" s="6"/>
      <c r="CO441" s="6"/>
      <c r="CP441" s="6"/>
      <c r="CQ441" s="6"/>
      <c r="CR441" s="6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8"/>
      <c r="DK441" s="8"/>
      <c r="DL441" s="8"/>
      <c r="DM441" s="8"/>
      <c r="DN441" s="55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83"/>
      <c r="EC441" s="83"/>
      <c r="ED441" s="83"/>
      <c r="EE441" s="83"/>
      <c r="EF441" s="83"/>
      <c r="EG441" s="83"/>
      <c r="EH441" s="83"/>
      <c r="EI441" s="83"/>
      <c r="EJ441" s="83"/>
      <c r="EK441" s="2"/>
      <c r="EO441" s="2"/>
      <c r="ES441" s="58"/>
      <c r="ET441" s="58"/>
      <c r="EU441" s="58"/>
      <c r="EV441" s="58"/>
      <c r="EW441" s="58"/>
      <c r="EX441" s="58"/>
      <c r="EY441" s="58"/>
      <c r="EZ441" s="85"/>
    </row>
    <row r="442" spans="1:156">
      <c r="A442" s="95"/>
      <c r="B442" s="9"/>
      <c r="I442" s="54"/>
      <c r="J442" s="6"/>
      <c r="K442" s="6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90"/>
      <c r="AO442" s="91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91"/>
      <c r="CG442" s="6"/>
      <c r="CH442" s="91"/>
      <c r="CI442" s="91"/>
      <c r="CJ442" s="91"/>
      <c r="CK442" s="91"/>
      <c r="CL442" s="6"/>
      <c r="CM442" s="6"/>
      <c r="CN442" s="6"/>
      <c r="CO442" s="6"/>
      <c r="CP442" s="6"/>
      <c r="CQ442" s="6"/>
      <c r="CR442" s="6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8"/>
      <c r="DK442" s="8"/>
      <c r="DL442" s="8"/>
      <c r="DM442" s="8"/>
      <c r="DN442" s="55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83"/>
      <c r="EC442" s="83"/>
      <c r="ED442" s="83"/>
      <c r="EE442" s="83"/>
      <c r="EF442" s="83"/>
      <c r="EG442" s="83"/>
      <c r="EH442" s="83"/>
      <c r="EI442" s="83"/>
      <c r="EJ442" s="83"/>
      <c r="EK442" s="2"/>
      <c r="EO442" s="2"/>
      <c r="ES442" s="58"/>
      <c r="ET442" s="58"/>
      <c r="EU442" s="58"/>
      <c r="EV442" s="58"/>
      <c r="EW442" s="58"/>
      <c r="EX442" s="58"/>
      <c r="EY442" s="58"/>
      <c r="EZ442" s="85"/>
    </row>
    <row r="443" spans="1:156">
      <c r="A443" s="95"/>
      <c r="B443" s="9"/>
      <c r="I443" s="54"/>
      <c r="J443" s="6"/>
      <c r="K443" s="6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90"/>
      <c r="AO443" s="91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91"/>
      <c r="CG443" s="6"/>
      <c r="CH443" s="91"/>
      <c r="CI443" s="91"/>
      <c r="CJ443" s="91"/>
      <c r="CK443" s="91"/>
      <c r="CL443" s="6"/>
      <c r="CM443" s="6"/>
      <c r="CN443" s="6"/>
      <c r="CO443" s="6"/>
      <c r="CP443" s="6"/>
      <c r="CQ443" s="6"/>
      <c r="CR443" s="6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8"/>
      <c r="DK443" s="8"/>
      <c r="DL443" s="8"/>
      <c r="DM443" s="8"/>
      <c r="DN443" s="55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83"/>
      <c r="EC443" s="83"/>
      <c r="ED443" s="83"/>
      <c r="EE443" s="83"/>
      <c r="EF443" s="83"/>
      <c r="EG443" s="83"/>
      <c r="EH443" s="83"/>
      <c r="EI443" s="83"/>
      <c r="EJ443" s="83"/>
      <c r="EK443" s="2"/>
      <c r="EO443" s="2"/>
      <c r="ES443" s="58"/>
      <c r="ET443" s="58"/>
      <c r="EU443" s="58"/>
      <c r="EV443" s="58"/>
      <c r="EW443" s="58"/>
      <c r="EX443" s="58"/>
      <c r="EY443" s="58"/>
      <c r="EZ443" s="85"/>
    </row>
    <row r="444" spans="1:156">
      <c r="A444" s="95"/>
      <c r="B444" s="9"/>
      <c r="I444" s="54"/>
      <c r="J444" s="6"/>
      <c r="K444" s="6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90"/>
      <c r="AO444" s="91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91"/>
      <c r="CG444" s="6"/>
      <c r="CH444" s="91"/>
      <c r="CI444" s="91"/>
      <c r="CJ444" s="91"/>
      <c r="CK444" s="91"/>
      <c r="CL444" s="6"/>
      <c r="CM444" s="6"/>
      <c r="CN444" s="6"/>
      <c r="CO444" s="6"/>
      <c r="CP444" s="6"/>
      <c r="CQ444" s="6"/>
      <c r="CR444" s="6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8"/>
      <c r="DK444" s="8"/>
      <c r="DL444" s="8"/>
      <c r="DM444" s="8"/>
      <c r="DN444" s="55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83"/>
      <c r="EC444" s="83"/>
      <c r="ED444" s="83"/>
      <c r="EE444" s="83"/>
      <c r="EF444" s="83"/>
      <c r="EG444" s="83"/>
      <c r="EH444" s="83"/>
      <c r="EI444" s="83"/>
      <c r="EJ444" s="83"/>
      <c r="EK444" s="2"/>
      <c r="EO444" s="2"/>
      <c r="ES444" s="58"/>
      <c r="ET444" s="58"/>
      <c r="EU444" s="58"/>
      <c r="EV444" s="58"/>
      <c r="EW444" s="58"/>
      <c r="EX444" s="58"/>
      <c r="EY444" s="58"/>
      <c r="EZ444" s="85"/>
    </row>
    <row r="445" spans="1:156">
      <c r="A445" s="95"/>
      <c r="B445" s="9"/>
      <c r="I445" s="54"/>
      <c r="J445" s="6"/>
      <c r="K445" s="6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90"/>
      <c r="AO445" s="91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91"/>
      <c r="CG445" s="6"/>
      <c r="CH445" s="91"/>
      <c r="CI445" s="91"/>
      <c r="CJ445" s="91"/>
      <c r="CK445" s="91"/>
      <c r="CL445" s="6"/>
      <c r="CM445" s="6"/>
      <c r="CN445" s="6"/>
      <c r="CO445" s="6"/>
      <c r="CP445" s="6"/>
      <c r="CQ445" s="6"/>
      <c r="CR445" s="6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8"/>
      <c r="DK445" s="8"/>
      <c r="DL445" s="8"/>
      <c r="DM445" s="8"/>
      <c r="DN445" s="55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83"/>
      <c r="EC445" s="83"/>
      <c r="ED445" s="83"/>
      <c r="EE445" s="83"/>
      <c r="EF445" s="83"/>
      <c r="EG445" s="83"/>
      <c r="EH445" s="83"/>
      <c r="EI445" s="83"/>
      <c r="EJ445" s="83"/>
      <c r="EK445" s="2"/>
      <c r="EO445" s="2"/>
      <c r="ES445" s="58"/>
      <c r="ET445" s="58"/>
      <c r="EU445" s="58"/>
      <c r="EV445" s="58"/>
      <c r="EW445" s="58"/>
      <c r="EX445" s="58"/>
      <c r="EY445" s="58"/>
      <c r="EZ445" s="85"/>
    </row>
    <row r="446" spans="1:156">
      <c r="A446" s="95"/>
      <c r="B446" s="9"/>
      <c r="I446" s="54"/>
      <c r="J446" s="6"/>
      <c r="K446" s="6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90"/>
      <c r="AO446" s="91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91"/>
      <c r="CG446" s="6"/>
      <c r="CH446" s="91"/>
      <c r="CI446" s="91"/>
      <c r="CJ446" s="91"/>
      <c r="CK446" s="91"/>
      <c r="CL446" s="6"/>
      <c r="CM446" s="6"/>
      <c r="CN446" s="6"/>
      <c r="CO446" s="6"/>
      <c r="CP446" s="6"/>
      <c r="CQ446" s="6"/>
      <c r="CR446" s="6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8"/>
      <c r="DK446" s="8"/>
      <c r="DL446" s="8"/>
      <c r="DM446" s="8"/>
      <c r="DN446" s="55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83"/>
      <c r="EC446" s="83"/>
      <c r="ED446" s="83"/>
      <c r="EE446" s="83"/>
      <c r="EF446" s="83"/>
      <c r="EG446" s="83"/>
      <c r="EH446" s="83"/>
      <c r="EI446" s="83"/>
      <c r="EJ446" s="83"/>
      <c r="EK446" s="2"/>
      <c r="EO446" s="2"/>
      <c r="ES446" s="58"/>
      <c r="ET446" s="58"/>
      <c r="EU446" s="58"/>
      <c r="EV446" s="58"/>
      <c r="EW446" s="58"/>
      <c r="EX446" s="58"/>
      <c r="EY446" s="58"/>
      <c r="EZ446" s="85"/>
    </row>
    <row r="447" spans="1:156">
      <c r="A447" s="95"/>
      <c r="B447" s="9"/>
      <c r="I447" s="54"/>
      <c r="J447" s="6"/>
      <c r="K447" s="6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90"/>
      <c r="AO447" s="91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91"/>
      <c r="CG447" s="6"/>
      <c r="CH447" s="91"/>
      <c r="CI447" s="91"/>
      <c r="CJ447" s="91"/>
      <c r="CK447" s="91"/>
      <c r="CL447" s="6"/>
      <c r="CM447" s="6"/>
      <c r="CN447" s="6"/>
      <c r="CO447" s="6"/>
      <c r="CP447" s="6"/>
      <c r="CQ447" s="6"/>
      <c r="CR447" s="6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8"/>
      <c r="DK447" s="8"/>
      <c r="DL447" s="8"/>
      <c r="DM447" s="8"/>
      <c r="DN447" s="55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83"/>
      <c r="EC447" s="83"/>
      <c r="ED447" s="83"/>
      <c r="EE447" s="83"/>
      <c r="EF447" s="83"/>
      <c r="EG447" s="83"/>
      <c r="EH447" s="83"/>
      <c r="EI447" s="83"/>
      <c r="EJ447" s="83"/>
      <c r="EK447" s="2"/>
      <c r="EO447" s="2"/>
      <c r="ES447" s="58"/>
      <c r="ET447" s="58"/>
      <c r="EU447" s="58"/>
      <c r="EV447" s="58"/>
      <c r="EW447" s="58"/>
      <c r="EX447" s="58"/>
      <c r="EY447" s="58"/>
      <c r="EZ447" s="85"/>
    </row>
    <row r="448" spans="1:156">
      <c r="A448" s="95"/>
      <c r="B448" s="9"/>
      <c r="I448" s="54"/>
      <c r="J448" s="6"/>
      <c r="K448" s="6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90"/>
      <c r="AO448" s="91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91"/>
      <c r="CG448" s="6"/>
      <c r="CH448" s="91"/>
      <c r="CI448" s="91"/>
      <c r="CJ448" s="91"/>
      <c r="CK448" s="91"/>
      <c r="CL448" s="6"/>
      <c r="CM448" s="6"/>
      <c r="CN448" s="6"/>
      <c r="CO448" s="6"/>
      <c r="CP448" s="6"/>
      <c r="CQ448" s="6"/>
      <c r="CR448" s="6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8"/>
      <c r="DK448" s="8"/>
      <c r="DL448" s="8"/>
      <c r="DM448" s="8"/>
      <c r="DN448" s="55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83"/>
      <c r="EC448" s="83"/>
      <c r="ED448" s="83"/>
      <c r="EE448" s="83"/>
      <c r="EF448" s="83"/>
      <c r="EG448" s="83"/>
      <c r="EH448" s="83"/>
      <c r="EI448" s="83"/>
      <c r="EJ448" s="83"/>
      <c r="EK448" s="2"/>
      <c r="EO448" s="2"/>
      <c r="ES448" s="58"/>
      <c r="ET448" s="58"/>
      <c r="EU448" s="58"/>
      <c r="EV448" s="58"/>
      <c r="EW448" s="58"/>
      <c r="EX448" s="58"/>
      <c r="EY448" s="58"/>
      <c r="EZ448" s="85"/>
    </row>
    <row r="449" spans="1:156">
      <c r="A449" s="95"/>
      <c r="B449" s="9"/>
      <c r="I449" s="54"/>
      <c r="J449" s="6"/>
      <c r="K449" s="6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90"/>
      <c r="AO449" s="91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91"/>
      <c r="CG449" s="6"/>
      <c r="CH449" s="91"/>
      <c r="CI449" s="91"/>
      <c r="CJ449" s="91"/>
      <c r="CK449" s="91"/>
      <c r="CL449" s="6"/>
      <c r="CM449" s="6"/>
      <c r="CN449" s="6"/>
      <c r="CO449" s="6"/>
      <c r="CP449" s="6"/>
      <c r="CQ449" s="6"/>
      <c r="CR449" s="6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8"/>
      <c r="DK449" s="8"/>
      <c r="DL449" s="8"/>
      <c r="DM449" s="8"/>
      <c r="DN449" s="55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83"/>
      <c r="EC449" s="83"/>
      <c r="ED449" s="83"/>
      <c r="EE449" s="83"/>
      <c r="EF449" s="83"/>
      <c r="EG449" s="83"/>
      <c r="EH449" s="83"/>
      <c r="EI449" s="83"/>
      <c r="EJ449" s="83"/>
      <c r="EK449" s="2"/>
      <c r="EO449" s="2"/>
      <c r="ES449" s="58"/>
      <c r="ET449" s="58"/>
      <c r="EU449" s="58"/>
      <c r="EV449" s="58"/>
      <c r="EW449" s="58"/>
      <c r="EX449" s="58"/>
      <c r="EY449" s="58"/>
      <c r="EZ449" s="85"/>
    </row>
    <row r="450" spans="1:156">
      <c r="A450" s="95"/>
      <c r="B450" s="9"/>
      <c r="I450" s="54"/>
      <c r="J450" s="6"/>
      <c r="K450" s="6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90"/>
      <c r="AO450" s="91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91"/>
      <c r="CG450" s="6"/>
      <c r="CH450" s="91"/>
      <c r="CI450" s="91"/>
      <c r="CJ450" s="91"/>
      <c r="CK450" s="91"/>
      <c r="CL450" s="6"/>
      <c r="CM450" s="6"/>
      <c r="CN450" s="6"/>
      <c r="CO450" s="6"/>
      <c r="CP450" s="6"/>
      <c r="CQ450" s="6"/>
      <c r="CR450" s="6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8"/>
      <c r="DK450" s="8"/>
      <c r="DL450" s="8"/>
      <c r="DM450" s="8"/>
      <c r="DN450" s="55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83"/>
      <c r="EC450" s="83"/>
      <c r="ED450" s="83"/>
      <c r="EE450" s="83"/>
      <c r="EF450" s="83"/>
      <c r="EG450" s="83"/>
      <c r="EH450" s="83"/>
      <c r="EI450" s="83"/>
      <c r="EJ450" s="83"/>
      <c r="EK450" s="2"/>
      <c r="EO450" s="2"/>
      <c r="ES450" s="58"/>
      <c r="ET450" s="58"/>
      <c r="EU450" s="58"/>
      <c r="EV450" s="58"/>
      <c r="EW450" s="58"/>
      <c r="EX450" s="58"/>
      <c r="EY450" s="58"/>
      <c r="EZ450" s="85"/>
    </row>
    <row r="451" spans="1:156">
      <c r="A451" s="95"/>
      <c r="B451" s="9"/>
      <c r="I451" s="54"/>
      <c r="J451" s="6"/>
      <c r="K451" s="6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90"/>
      <c r="AO451" s="91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91"/>
      <c r="CG451" s="6"/>
      <c r="CH451" s="91"/>
      <c r="CI451" s="91"/>
      <c r="CJ451" s="91"/>
      <c r="CK451" s="91"/>
      <c r="CL451" s="6"/>
      <c r="CM451" s="6"/>
      <c r="CN451" s="6"/>
      <c r="CO451" s="6"/>
      <c r="CP451" s="6"/>
      <c r="CQ451" s="6"/>
      <c r="CR451" s="6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8"/>
      <c r="DK451" s="8"/>
      <c r="DL451" s="8"/>
      <c r="DM451" s="8"/>
      <c r="DN451" s="55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83"/>
      <c r="EC451" s="83"/>
      <c r="ED451" s="83"/>
      <c r="EE451" s="83"/>
      <c r="EF451" s="83"/>
      <c r="EG451" s="83"/>
      <c r="EH451" s="83"/>
      <c r="EI451" s="83"/>
      <c r="EJ451" s="83"/>
      <c r="EK451" s="2"/>
      <c r="EO451" s="2"/>
      <c r="ES451" s="58"/>
      <c r="ET451" s="58"/>
      <c r="EU451" s="58"/>
      <c r="EV451" s="58"/>
      <c r="EW451" s="58"/>
      <c r="EX451" s="58"/>
      <c r="EY451" s="58"/>
      <c r="EZ451" s="85"/>
    </row>
    <row r="452" spans="1:156">
      <c r="A452" s="95"/>
      <c r="B452" s="9"/>
      <c r="I452" s="54"/>
      <c r="J452" s="6"/>
      <c r="K452" s="6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90"/>
      <c r="AO452" s="91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91"/>
      <c r="CG452" s="6"/>
      <c r="CH452" s="91"/>
      <c r="CI452" s="91"/>
      <c r="CJ452" s="91"/>
      <c r="CK452" s="91"/>
      <c r="CL452" s="6"/>
      <c r="CM452" s="6"/>
      <c r="CN452" s="6"/>
      <c r="CO452" s="6"/>
      <c r="CP452" s="6"/>
      <c r="CQ452" s="6"/>
      <c r="CR452" s="6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8"/>
      <c r="DK452" s="8"/>
      <c r="DL452" s="8"/>
      <c r="DM452" s="8"/>
      <c r="DN452" s="55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83"/>
      <c r="EC452" s="83"/>
      <c r="ED452" s="83"/>
      <c r="EE452" s="83"/>
      <c r="EF452" s="83"/>
      <c r="EG452" s="83"/>
      <c r="EH452" s="83"/>
      <c r="EI452" s="83"/>
      <c r="EJ452" s="83"/>
      <c r="EK452" s="2"/>
      <c r="EO452" s="2"/>
      <c r="ES452" s="58"/>
      <c r="ET452" s="58"/>
      <c r="EU452" s="58"/>
      <c r="EV452" s="58"/>
      <c r="EW452" s="58"/>
      <c r="EX452" s="58"/>
      <c r="EY452" s="58"/>
      <c r="EZ452" s="85"/>
    </row>
    <row r="453" spans="1:156">
      <c r="A453" s="95"/>
      <c r="B453" s="9"/>
      <c r="I453" s="54"/>
      <c r="J453" s="6"/>
      <c r="K453" s="6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90"/>
      <c r="AO453" s="91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91"/>
      <c r="CG453" s="6"/>
      <c r="CH453" s="91"/>
      <c r="CI453" s="91"/>
      <c r="CJ453" s="91"/>
      <c r="CK453" s="91"/>
      <c r="CL453" s="6"/>
      <c r="CM453" s="6"/>
      <c r="CN453" s="6"/>
      <c r="CO453" s="6"/>
      <c r="CP453" s="6"/>
      <c r="CQ453" s="6"/>
      <c r="CR453" s="6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8"/>
      <c r="DK453" s="8"/>
      <c r="DL453" s="8"/>
      <c r="DM453" s="8"/>
      <c r="DN453" s="55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83"/>
      <c r="EC453" s="83"/>
      <c r="ED453" s="83"/>
      <c r="EE453" s="83"/>
      <c r="EF453" s="83"/>
      <c r="EG453" s="83"/>
      <c r="EH453" s="83"/>
      <c r="EI453" s="83"/>
      <c r="EJ453" s="83"/>
      <c r="EK453" s="2"/>
      <c r="EO453" s="2"/>
      <c r="ES453" s="58"/>
      <c r="ET453" s="58"/>
      <c r="EU453" s="58"/>
      <c r="EV453" s="58"/>
      <c r="EW453" s="58"/>
      <c r="EX453" s="58"/>
      <c r="EY453" s="58"/>
      <c r="EZ453" s="85"/>
    </row>
    <row r="454" spans="1:156">
      <c r="A454" s="95"/>
      <c r="B454" s="9"/>
      <c r="I454" s="54"/>
      <c r="J454" s="6"/>
      <c r="K454" s="6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90"/>
      <c r="AO454" s="91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91"/>
      <c r="CG454" s="6"/>
      <c r="CH454" s="91"/>
      <c r="CI454" s="91"/>
      <c r="CJ454" s="91"/>
      <c r="CK454" s="91"/>
      <c r="CL454" s="6"/>
      <c r="CM454" s="6"/>
      <c r="CN454" s="6"/>
      <c r="CO454" s="6"/>
      <c r="CP454" s="6"/>
      <c r="CQ454" s="6"/>
      <c r="CR454" s="6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8"/>
      <c r="DK454" s="8"/>
      <c r="DL454" s="8"/>
      <c r="DM454" s="8"/>
      <c r="DN454" s="55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83"/>
      <c r="EC454" s="83"/>
      <c r="ED454" s="83"/>
      <c r="EE454" s="83"/>
      <c r="EF454" s="83"/>
      <c r="EG454" s="83"/>
      <c r="EH454" s="83"/>
      <c r="EI454" s="83"/>
      <c r="EJ454" s="83"/>
      <c r="EK454" s="2"/>
      <c r="EO454" s="2"/>
      <c r="ES454" s="58"/>
      <c r="ET454" s="58"/>
      <c r="EU454" s="58"/>
      <c r="EV454" s="58"/>
      <c r="EW454" s="58"/>
      <c r="EX454" s="58"/>
      <c r="EY454" s="58"/>
      <c r="EZ454" s="85"/>
    </row>
    <row r="455" spans="1:156">
      <c r="A455" s="95"/>
      <c r="B455" s="9"/>
      <c r="I455" s="54"/>
      <c r="J455" s="6"/>
      <c r="K455" s="6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90"/>
      <c r="AO455" s="91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91"/>
      <c r="CG455" s="6"/>
      <c r="CH455" s="91"/>
      <c r="CI455" s="91"/>
      <c r="CJ455" s="91"/>
      <c r="CK455" s="91"/>
      <c r="CL455" s="6"/>
      <c r="CM455" s="6"/>
      <c r="CN455" s="6"/>
      <c r="CO455" s="6"/>
      <c r="CP455" s="6"/>
      <c r="CQ455" s="6"/>
      <c r="CR455" s="6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8"/>
      <c r="DK455" s="8"/>
      <c r="DL455" s="8"/>
      <c r="DM455" s="8"/>
      <c r="DN455" s="55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83"/>
      <c r="EC455" s="83"/>
      <c r="ED455" s="83"/>
      <c r="EE455" s="83"/>
      <c r="EF455" s="83"/>
      <c r="EG455" s="83"/>
      <c r="EH455" s="83"/>
      <c r="EI455" s="83"/>
      <c r="EJ455" s="83"/>
      <c r="EK455" s="2"/>
      <c r="EO455" s="2"/>
      <c r="ES455" s="58"/>
      <c r="ET455" s="58"/>
      <c r="EU455" s="58"/>
      <c r="EV455" s="58"/>
      <c r="EW455" s="58"/>
      <c r="EX455" s="58"/>
      <c r="EY455" s="58"/>
      <c r="EZ455" s="85"/>
    </row>
    <row r="456" spans="1:156">
      <c r="A456" s="95"/>
      <c r="B456" s="9"/>
      <c r="I456" s="54"/>
      <c r="J456" s="6"/>
      <c r="K456" s="6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90"/>
      <c r="AO456" s="91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91"/>
      <c r="CG456" s="6"/>
      <c r="CH456" s="91"/>
      <c r="CI456" s="91"/>
      <c r="CJ456" s="91"/>
      <c r="CK456" s="91"/>
      <c r="CL456" s="6"/>
      <c r="CM456" s="6"/>
      <c r="CN456" s="6"/>
      <c r="CO456" s="6"/>
      <c r="CP456" s="6"/>
      <c r="CQ456" s="6"/>
      <c r="CR456" s="6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8"/>
      <c r="DK456" s="8"/>
      <c r="DL456" s="8"/>
      <c r="DM456" s="8"/>
      <c r="DN456" s="55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83"/>
      <c r="EC456" s="83"/>
      <c r="ED456" s="83"/>
      <c r="EE456" s="83"/>
      <c r="EF456" s="83"/>
      <c r="EG456" s="83"/>
      <c r="EH456" s="83"/>
      <c r="EI456" s="83"/>
      <c r="EJ456" s="83"/>
      <c r="EK456" s="2"/>
      <c r="EO456" s="2"/>
      <c r="ES456" s="58"/>
      <c r="ET456" s="58"/>
      <c r="EU456" s="58"/>
      <c r="EV456" s="58"/>
      <c r="EW456" s="58"/>
      <c r="EX456" s="58"/>
      <c r="EY456" s="58"/>
      <c r="EZ456" s="85"/>
    </row>
    <row r="457" spans="1:156">
      <c r="A457" s="95"/>
      <c r="B457" s="9"/>
      <c r="I457" s="54"/>
      <c r="J457" s="6"/>
      <c r="K457" s="6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90"/>
      <c r="AO457" s="91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91"/>
      <c r="CG457" s="6"/>
      <c r="CH457" s="91"/>
      <c r="CI457" s="91"/>
      <c r="CJ457" s="91"/>
      <c r="CK457" s="91"/>
      <c r="CL457" s="6"/>
      <c r="CM457" s="6"/>
      <c r="CN457" s="6"/>
      <c r="CO457" s="6"/>
      <c r="CP457" s="6"/>
      <c r="CQ457" s="6"/>
      <c r="CR457" s="6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8"/>
      <c r="DK457" s="8"/>
      <c r="DL457" s="8"/>
      <c r="DM457" s="8"/>
      <c r="DN457" s="55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83"/>
      <c r="EC457" s="83"/>
      <c r="ED457" s="83"/>
      <c r="EE457" s="83"/>
      <c r="EF457" s="83"/>
      <c r="EG457" s="83"/>
      <c r="EH457" s="83"/>
      <c r="EI457" s="83"/>
      <c r="EJ457" s="83"/>
      <c r="EK457" s="2"/>
      <c r="EO457" s="2"/>
      <c r="ES457" s="58"/>
      <c r="ET457" s="58"/>
      <c r="EU457" s="58"/>
      <c r="EV457" s="58"/>
      <c r="EW457" s="58"/>
      <c r="EX457" s="58"/>
      <c r="EY457" s="58"/>
      <c r="EZ457" s="85"/>
    </row>
    <row r="458" spans="1:156">
      <c r="A458" s="95"/>
      <c r="B458" s="9"/>
      <c r="I458" s="54"/>
      <c r="J458" s="6"/>
      <c r="K458" s="6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90"/>
      <c r="AO458" s="91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91"/>
      <c r="CG458" s="6"/>
      <c r="CH458" s="91"/>
      <c r="CI458" s="91"/>
      <c r="CJ458" s="91"/>
      <c r="CK458" s="91"/>
      <c r="CL458" s="6"/>
      <c r="CM458" s="6"/>
      <c r="CN458" s="6"/>
      <c r="CO458" s="6"/>
      <c r="CP458" s="6"/>
      <c r="CQ458" s="6"/>
      <c r="CR458" s="6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8"/>
      <c r="DK458" s="8"/>
      <c r="DL458" s="8"/>
      <c r="DM458" s="8"/>
      <c r="DN458" s="55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83"/>
      <c r="EC458" s="83"/>
      <c r="ED458" s="83"/>
      <c r="EE458" s="83"/>
      <c r="EF458" s="83"/>
      <c r="EG458" s="83"/>
      <c r="EH458" s="83"/>
      <c r="EI458" s="83"/>
      <c r="EJ458" s="83"/>
      <c r="EK458" s="2"/>
      <c r="EO458" s="2"/>
      <c r="ES458" s="58"/>
      <c r="ET458" s="58"/>
      <c r="EU458" s="58"/>
      <c r="EV458" s="58"/>
      <c r="EW458" s="58"/>
      <c r="EX458" s="58"/>
      <c r="EY458" s="58"/>
      <c r="EZ458" s="85"/>
    </row>
    <row r="459" spans="1:156">
      <c r="A459" s="95"/>
      <c r="B459" s="9"/>
      <c r="I459" s="54"/>
      <c r="J459" s="6"/>
      <c r="K459" s="6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90"/>
      <c r="AO459" s="91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91"/>
      <c r="CG459" s="6"/>
      <c r="CH459" s="91"/>
      <c r="CI459" s="91"/>
      <c r="CJ459" s="91"/>
      <c r="CK459" s="91"/>
      <c r="CL459" s="6"/>
      <c r="CM459" s="6"/>
      <c r="CN459" s="6"/>
      <c r="CO459" s="6"/>
      <c r="CP459" s="6"/>
      <c r="CQ459" s="6"/>
      <c r="CR459" s="6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8"/>
      <c r="DK459" s="8"/>
      <c r="DL459" s="8"/>
      <c r="DM459" s="8"/>
      <c r="DN459" s="55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83"/>
      <c r="EC459" s="83"/>
      <c r="ED459" s="83"/>
      <c r="EE459" s="83"/>
      <c r="EF459" s="83"/>
      <c r="EG459" s="83"/>
      <c r="EH459" s="83"/>
      <c r="EI459" s="83"/>
      <c r="EJ459" s="83"/>
      <c r="EK459" s="2"/>
      <c r="EO459" s="2"/>
      <c r="ES459" s="58"/>
      <c r="ET459" s="58"/>
      <c r="EU459" s="58"/>
      <c r="EV459" s="58"/>
      <c r="EW459" s="58"/>
      <c r="EX459" s="58"/>
      <c r="EY459" s="58"/>
      <c r="EZ459" s="85"/>
    </row>
    <row r="460" spans="1:156">
      <c r="A460" s="95"/>
      <c r="B460" s="9"/>
      <c r="I460" s="54"/>
      <c r="J460" s="6"/>
      <c r="K460" s="6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90"/>
      <c r="AO460" s="91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91"/>
      <c r="CG460" s="6"/>
      <c r="CH460" s="91"/>
      <c r="CI460" s="91"/>
      <c r="CJ460" s="91"/>
      <c r="CK460" s="91"/>
      <c r="CL460" s="6"/>
      <c r="CM460" s="6"/>
      <c r="CN460" s="6"/>
      <c r="CO460" s="6"/>
      <c r="CP460" s="6"/>
      <c r="CQ460" s="6"/>
      <c r="CR460" s="6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8"/>
      <c r="DK460" s="8"/>
      <c r="DL460" s="8"/>
      <c r="DM460" s="8"/>
      <c r="DN460" s="55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83"/>
      <c r="EC460" s="83"/>
      <c r="ED460" s="83"/>
      <c r="EE460" s="83"/>
      <c r="EF460" s="83"/>
      <c r="EG460" s="83"/>
      <c r="EH460" s="83"/>
      <c r="EI460" s="83"/>
      <c r="EJ460" s="83"/>
      <c r="EK460" s="2"/>
      <c r="EO460" s="2"/>
      <c r="ES460" s="58"/>
      <c r="ET460" s="58"/>
      <c r="EU460" s="58"/>
      <c r="EV460" s="58"/>
      <c r="EW460" s="58"/>
      <c r="EX460" s="58"/>
      <c r="EY460" s="58"/>
      <c r="EZ460" s="85"/>
    </row>
    <row r="461" spans="1:156">
      <c r="A461" s="95"/>
      <c r="B461" s="9"/>
      <c r="I461" s="54"/>
      <c r="J461" s="6"/>
      <c r="K461" s="6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90"/>
      <c r="AO461" s="91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91"/>
      <c r="CG461" s="6"/>
      <c r="CH461" s="91"/>
      <c r="CI461" s="91"/>
      <c r="CJ461" s="91"/>
      <c r="CK461" s="91"/>
      <c r="CL461" s="6"/>
      <c r="CM461" s="6"/>
      <c r="CN461" s="6"/>
      <c r="CO461" s="6"/>
      <c r="CP461" s="6"/>
      <c r="CQ461" s="6"/>
      <c r="CR461" s="6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8"/>
      <c r="DK461" s="8"/>
      <c r="DL461" s="8"/>
      <c r="DM461" s="8"/>
      <c r="DN461" s="55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83"/>
      <c r="EC461" s="83"/>
      <c r="ED461" s="83"/>
      <c r="EE461" s="83"/>
      <c r="EF461" s="83"/>
      <c r="EG461" s="83"/>
      <c r="EH461" s="83"/>
      <c r="EI461" s="83"/>
      <c r="EJ461" s="83"/>
      <c r="EK461" s="2"/>
      <c r="EO461" s="2"/>
      <c r="ES461" s="58"/>
      <c r="ET461" s="58"/>
      <c r="EU461" s="58"/>
      <c r="EV461" s="58"/>
      <c r="EW461" s="58"/>
      <c r="EX461" s="58"/>
      <c r="EY461" s="58"/>
      <c r="EZ461" s="85"/>
    </row>
    <row r="462" spans="1:156">
      <c r="A462" s="95"/>
      <c r="B462" s="9"/>
      <c r="I462" s="54"/>
      <c r="J462" s="6"/>
      <c r="K462" s="6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90"/>
      <c r="AO462" s="91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91"/>
      <c r="CG462" s="6"/>
      <c r="CH462" s="91"/>
      <c r="CI462" s="91"/>
      <c r="CJ462" s="91"/>
      <c r="CK462" s="91"/>
      <c r="CL462" s="6"/>
      <c r="CM462" s="6"/>
      <c r="CN462" s="6"/>
      <c r="CO462" s="6"/>
      <c r="CP462" s="6"/>
      <c r="CQ462" s="6"/>
      <c r="CR462" s="6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8"/>
      <c r="DK462" s="8"/>
      <c r="DL462" s="8"/>
      <c r="DM462" s="8"/>
      <c r="DN462" s="55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83"/>
      <c r="EC462" s="83"/>
      <c r="ED462" s="83"/>
      <c r="EE462" s="83"/>
      <c r="EF462" s="83"/>
      <c r="EG462" s="83"/>
      <c r="EH462" s="83"/>
      <c r="EI462" s="83"/>
      <c r="EJ462" s="83"/>
      <c r="EK462" s="2"/>
      <c r="EO462" s="2"/>
      <c r="ES462" s="58"/>
      <c r="ET462" s="58"/>
      <c r="EU462" s="58"/>
      <c r="EV462" s="58"/>
      <c r="EW462" s="58"/>
      <c r="EX462" s="58"/>
      <c r="EY462" s="58"/>
      <c r="EZ462" s="85"/>
    </row>
    <row r="463" spans="1:156">
      <c r="A463" s="95"/>
      <c r="B463" s="9"/>
      <c r="I463" s="54"/>
      <c r="J463" s="6"/>
      <c r="K463" s="6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90"/>
      <c r="AO463" s="91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91"/>
      <c r="CG463" s="6"/>
      <c r="CH463" s="91"/>
      <c r="CI463" s="91"/>
      <c r="CJ463" s="91"/>
      <c r="CK463" s="91"/>
      <c r="CL463" s="6"/>
      <c r="CM463" s="6"/>
      <c r="CN463" s="6"/>
      <c r="CO463" s="6"/>
      <c r="CP463" s="6"/>
      <c r="CQ463" s="6"/>
      <c r="CR463" s="6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8"/>
      <c r="DK463" s="8"/>
      <c r="DL463" s="8"/>
      <c r="DM463" s="8"/>
      <c r="DN463" s="55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83"/>
      <c r="EC463" s="83"/>
      <c r="ED463" s="83"/>
      <c r="EE463" s="83"/>
      <c r="EF463" s="83"/>
      <c r="EG463" s="83"/>
      <c r="EH463" s="83"/>
      <c r="EI463" s="83"/>
      <c r="EJ463" s="83"/>
      <c r="EK463" s="2"/>
      <c r="EO463" s="2"/>
      <c r="ES463" s="58"/>
      <c r="ET463" s="58"/>
      <c r="EU463" s="58"/>
      <c r="EV463" s="58"/>
      <c r="EW463" s="58"/>
      <c r="EX463" s="58"/>
      <c r="EY463" s="58"/>
      <c r="EZ463" s="85"/>
    </row>
    <row r="464" spans="1:156">
      <c r="A464" s="95"/>
      <c r="B464" s="9"/>
      <c r="I464" s="54"/>
      <c r="J464" s="6"/>
      <c r="K464" s="6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90"/>
      <c r="AO464" s="91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91"/>
      <c r="CG464" s="6"/>
      <c r="CH464" s="91"/>
      <c r="CI464" s="91"/>
      <c r="CJ464" s="91"/>
      <c r="CK464" s="91"/>
      <c r="CL464" s="6"/>
      <c r="CM464" s="6"/>
      <c r="CN464" s="6"/>
      <c r="CO464" s="6"/>
      <c r="CP464" s="6"/>
      <c r="CQ464" s="6"/>
      <c r="CR464" s="6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8"/>
      <c r="DK464" s="8"/>
      <c r="DL464" s="8"/>
      <c r="DM464" s="8"/>
      <c r="DN464" s="55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83"/>
      <c r="EC464" s="83"/>
      <c r="ED464" s="83"/>
      <c r="EE464" s="83"/>
      <c r="EF464" s="83"/>
      <c r="EG464" s="83"/>
      <c r="EH464" s="83"/>
      <c r="EI464" s="83"/>
      <c r="EJ464" s="83"/>
      <c r="EK464" s="2"/>
      <c r="EO464" s="2"/>
      <c r="ES464" s="58"/>
      <c r="ET464" s="58"/>
      <c r="EU464" s="58"/>
      <c r="EV464" s="58"/>
      <c r="EW464" s="58"/>
      <c r="EX464" s="58"/>
      <c r="EY464" s="58"/>
      <c r="EZ464" s="85"/>
    </row>
    <row r="465" spans="1:156">
      <c r="A465" s="95"/>
      <c r="B465" s="9"/>
      <c r="I465" s="54"/>
      <c r="J465" s="6"/>
      <c r="K465" s="6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90"/>
      <c r="AO465" s="91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91"/>
      <c r="CG465" s="6"/>
      <c r="CH465" s="91"/>
      <c r="CI465" s="91"/>
      <c r="CJ465" s="91"/>
      <c r="CK465" s="91"/>
      <c r="CL465" s="6"/>
      <c r="CM465" s="6"/>
      <c r="CN465" s="6"/>
      <c r="CO465" s="6"/>
      <c r="CP465" s="6"/>
      <c r="CQ465" s="6"/>
      <c r="CR465" s="6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8"/>
      <c r="DK465" s="8"/>
      <c r="DL465" s="8"/>
      <c r="DM465" s="8"/>
      <c r="DN465" s="55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83"/>
      <c r="EC465" s="83"/>
      <c r="ED465" s="83"/>
      <c r="EE465" s="83"/>
      <c r="EF465" s="83"/>
      <c r="EG465" s="83"/>
      <c r="EH465" s="83"/>
      <c r="EI465" s="83"/>
      <c r="EJ465" s="83"/>
      <c r="EK465" s="2"/>
      <c r="EO465" s="2"/>
      <c r="ES465" s="58"/>
      <c r="ET465" s="58"/>
      <c r="EU465" s="58"/>
      <c r="EV465" s="58"/>
      <c r="EW465" s="58"/>
      <c r="EX465" s="58"/>
      <c r="EY465" s="58"/>
      <c r="EZ465" s="85"/>
    </row>
    <row r="466" spans="1:156">
      <c r="A466" s="95"/>
      <c r="B466" s="9"/>
      <c r="I466" s="54"/>
      <c r="J466" s="6"/>
      <c r="K466" s="6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90"/>
      <c r="AO466" s="91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91"/>
      <c r="CG466" s="6"/>
      <c r="CH466" s="91"/>
      <c r="CI466" s="91"/>
      <c r="CJ466" s="91"/>
      <c r="CK466" s="91"/>
      <c r="CL466" s="6"/>
      <c r="CM466" s="6"/>
      <c r="CN466" s="6"/>
      <c r="CO466" s="6"/>
      <c r="CP466" s="6"/>
      <c r="CQ466" s="6"/>
      <c r="CR466" s="6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8"/>
      <c r="DK466" s="8"/>
      <c r="DL466" s="8"/>
      <c r="DM466" s="8"/>
      <c r="DN466" s="55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83"/>
      <c r="EC466" s="83"/>
      <c r="ED466" s="83"/>
      <c r="EE466" s="83"/>
      <c r="EF466" s="83"/>
      <c r="EG466" s="83"/>
      <c r="EH466" s="83"/>
      <c r="EI466" s="83"/>
      <c r="EJ466" s="83"/>
      <c r="EK466" s="2"/>
      <c r="EO466" s="2"/>
      <c r="ES466" s="58"/>
      <c r="ET466" s="58"/>
      <c r="EU466" s="58"/>
      <c r="EV466" s="58"/>
      <c r="EW466" s="58"/>
      <c r="EX466" s="58"/>
      <c r="EY466" s="58"/>
      <c r="EZ466" s="85"/>
    </row>
    <row r="467" spans="1:156">
      <c r="A467" s="95"/>
      <c r="B467" s="9"/>
      <c r="I467" s="54"/>
      <c r="J467" s="6"/>
      <c r="K467" s="6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90"/>
      <c r="AO467" s="91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91"/>
      <c r="CG467" s="6"/>
      <c r="CH467" s="91"/>
      <c r="CI467" s="91"/>
      <c r="CJ467" s="91"/>
      <c r="CK467" s="91"/>
      <c r="CL467" s="6"/>
      <c r="CM467" s="6"/>
      <c r="CN467" s="6"/>
      <c r="CO467" s="6"/>
      <c r="CP467" s="6"/>
      <c r="CQ467" s="6"/>
      <c r="CR467" s="6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8"/>
      <c r="DK467" s="8"/>
      <c r="DL467" s="8"/>
      <c r="DM467" s="8"/>
      <c r="DN467" s="55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83"/>
      <c r="EC467" s="83"/>
      <c r="ED467" s="83"/>
      <c r="EE467" s="83"/>
      <c r="EF467" s="83"/>
      <c r="EG467" s="83"/>
      <c r="EH467" s="83"/>
      <c r="EI467" s="83"/>
      <c r="EJ467" s="83"/>
      <c r="EK467" s="2"/>
      <c r="EO467" s="2"/>
      <c r="ES467" s="58"/>
      <c r="ET467" s="58"/>
      <c r="EU467" s="58"/>
      <c r="EV467" s="58"/>
      <c r="EW467" s="58"/>
      <c r="EX467" s="58"/>
      <c r="EY467" s="58"/>
      <c r="EZ467" s="85"/>
    </row>
    <row r="468" spans="1:156">
      <c r="A468" s="95"/>
      <c r="B468" s="9"/>
      <c r="I468" s="54"/>
      <c r="J468" s="6"/>
      <c r="K468" s="6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90"/>
      <c r="AO468" s="91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91"/>
      <c r="CG468" s="6"/>
      <c r="CH468" s="91"/>
      <c r="CI468" s="91"/>
      <c r="CJ468" s="91"/>
      <c r="CK468" s="91"/>
      <c r="CL468" s="6"/>
      <c r="CM468" s="6"/>
      <c r="CN468" s="6"/>
      <c r="CO468" s="6"/>
      <c r="CP468" s="6"/>
      <c r="CQ468" s="6"/>
      <c r="CR468" s="6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8"/>
      <c r="DK468" s="8"/>
      <c r="DL468" s="8"/>
      <c r="DM468" s="8"/>
      <c r="DN468" s="55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83"/>
      <c r="EC468" s="83"/>
      <c r="ED468" s="83"/>
      <c r="EE468" s="83"/>
      <c r="EF468" s="83"/>
      <c r="EG468" s="83"/>
      <c r="EH468" s="83"/>
      <c r="EI468" s="83"/>
      <c r="EJ468" s="83"/>
      <c r="EK468" s="2"/>
      <c r="EO468" s="2"/>
      <c r="ES468" s="58"/>
      <c r="ET468" s="58"/>
      <c r="EU468" s="58"/>
      <c r="EV468" s="58"/>
      <c r="EW468" s="58"/>
      <c r="EX468" s="58"/>
      <c r="EY468" s="58"/>
      <c r="EZ468" s="85"/>
    </row>
    <row r="469" spans="1:156">
      <c r="A469" s="95"/>
      <c r="B469" s="9"/>
      <c r="I469" s="54"/>
      <c r="J469" s="6"/>
      <c r="K469" s="6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90"/>
      <c r="AO469" s="91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91"/>
      <c r="CG469" s="6"/>
      <c r="CH469" s="91"/>
      <c r="CI469" s="91"/>
      <c r="CJ469" s="91"/>
      <c r="CK469" s="91"/>
      <c r="CL469" s="6"/>
      <c r="CM469" s="6"/>
      <c r="CN469" s="6"/>
      <c r="CO469" s="6"/>
      <c r="CP469" s="6"/>
      <c r="CQ469" s="6"/>
      <c r="CR469" s="6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8"/>
      <c r="DK469" s="8"/>
      <c r="DL469" s="8"/>
      <c r="DM469" s="8"/>
      <c r="DN469" s="55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83"/>
      <c r="EC469" s="83"/>
      <c r="ED469" s="83"/>
      <c r="EE469" s="83"/>
      <c r="EF469" s="83"/>
      <c r="EG469" s="83"/>
      <c r="EH469" s="83"/>
      <c r="EI469" s="83"/>
      <c r="EJ469" s="83"/>
      <c r="EK469" s="2"/>
      <c r="EO469" s="2"/>
      <c r="ES469" s="58"/>
      <c r="ET469" s="58"/>
      <c r="EU469" s="58"/>
      <c r="EV469" s="58"/>
      <c r="EW469" s="58"/>
      <c r="EX469" s="58"/>
      <c r="EY469" s="58"/>
      <c r="EZ469" s="85"/>
    </row>
    <row r="470" spans="1:156">
      <c r="A470" s="95"/>
      <c r="B470" s="9"/>
      <c r="I470" s="54"/>
      <c r="J470" s="6"/>
      <c r="K470" s="6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90"/>
      <c r="AO470" s="91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91"/>
      <c r="CG470" s="6"/>
      <c r="CH470" s="91"/>
      <c r="CI470" s="91"/>
      <c r="CJ470" s="91"/>
      <c r="CK470" s="91"/>
      <c r="CL470" s="6"/>
      <c r="CM470" s="6"/>
      <c r="CN470" s="6"/>
      <c r="CO470" s="6"/>
      <c r="CP470" s="6"/>
      <c r="CQ470" s="6"/>
      <c r="CR470" s="6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8"/>
      <c r="DK470" s="8"/>
      <c r="DL470" s="8"/>
      <c r="DM470" s="8"/>
      <c r="DN470" s="55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83"/>
      <c r="EC470" s="83"/>
      <c r="ED470" s="83"/>
      <c r="EE470" s="83"/>
      <c r="EF470" s="83"/>
      <c r="EG470" s="83"/>
      <c r="EH470" s="83"/>
      <c r="EI470" s="83"/>
      <c r="EJ470" s="83"/>
      <c r="EK470" s="2"/>
      <c r="EO470" s="2"/>
      <c r="ES470" s="58"/>
      <c r="ET470" s="58"/>
      <c r="EU470" s="58"/>
      <c r="EV470" s="58"/>
      <c r="EW470" s="58"/>
      <c r="EX470" s="58"/>
      <c r="EY470" s="58"/>
      <c r="EZ470" s="85"/>
    </row>
    <row r="471" spans="1:156">
      <c r="A471" s="95"/>
      <c r="B471" s="9"/>
      <c r="I471" s="54"/>
      <c r="J471" s="6"/>
      <c r="K471" s="6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90"/>
      <c r="AO471" s="91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91"/>
      <c r="CG471" s="6"/>
      <c r="CH471" s="91"/>
      <c r="CI471" s="91"/>
      <c r="CJ471" s="91"/>
      <c r="CK471" s="91"/>
      <c r="CL471" s="6"/>
      <c r="CM471" s="6"/>
      <c r="CN471" s="6"/>
      <c r="CO471" s="6"/>
      <c r="CP471" s="6"/>
      <c r="CQ471" s="6"/>
      <c r="CR471" s="6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8"/>
      <c r="DK471" s="8"/>
      <c r="DL471" s="8"/>
      <c r="DM471" s="8"/>
      <c r="DN471" s="55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83"/>
      <c r="EC471" s="83"/>
      <c r="ED471" s="83"/>
      <c r="EE471" s="83"/>
      <c r="EF471" s="83"/>
      <c r="EG471" s="83"/>
      <c r="EH471" s="83"/>
      <c r="EI471" s="83"/>
      <c r="EJ471" s="83"/>
      <c r="EK471" s="2"/>
      <c r="EO471" s="2"/>
      <c r="ES471" s="58"/>
      <c r="ET471" s="58"/>
      <c r="EU471" s="58"/>
      <c r="EV471" s="58"/>
      <c r="EW471" s="58"/>
      <c r="EX471" s="58"/>
      <c r="EY471" s="58"/>
      <c r="EZ471" s="85"/>
    </row>
    <row r="472" spans="1:156">
      <c r="A472" s="95"/>
      <c r="B472" s="9"/>
      <c r="I472" s="54"/>
      <c r="J472" s="6"/>
      <c r="K472" s="6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90"/>
      <c r="AO472" s="91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91"/>
      <c r="CG472" s="6"/>
      <c r="CH472" s="91"/>
      <c r="CI472" s="91"/>
      <c r="CJ472" s="91"/>
      <c r="CK472" s="91"/>
      <c r="CL472" s="6"/>
      <c r="CM472" s="6"/>
      <c r="CN472" s="6"/>
      <c r="CO472" s="6"/>
      <c r="CP472" s="6"/>
      <c r="CQ472" s="6"/>
      <c r="CR472" s="6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8"/>
      <c r="DK472" s="8"/>
      <c r="DL472" s="8"/>
      <c r="DM472" s="8"/>
      <c r="DN472" s="55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83"/>
      <c r="EC472" s="83"/>
      <c r="ED472" s="83"/>
      <c r="EE472" s="83"/>
      <c r="EF472" s="83"/>
      <c r="EG472" s="83"/>
      <c r="EH472" s="83"/>
      <c r="EI472" s="83"/>
      <c r="EJ472" s="83"/>
      <c r="EK472" s="2"/>
      <c r="EO472" s="2"/>
      <c r="ES472" s="58"/>
      <c r="ET472" s="58"/>
      <c r="EU472" s="58"/>
      <c r="EV472" s="58"/>
      <c r="EW472" s="58"/>
      <c r="EX472" s="58"/>
      <c r="EY472" s="58"/>
      <c r="EZ472" s="85"/>
    </row>
    <row r="473" spans="1:156">
      <c r="A473" s="95"/>
      <c r="B473" s="9"/>
      <c r="I473" s="54"/>
      <c r="J473" s="6"/>
      <c r="K473" s="6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90"/>
      <c r="AO473" s="91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91"/>
      <c r="CG473" s="6"/>
      <c r="CH473" s="91"/>
      <c r="CI473" s="91"/>
      <c r="CJ473" s="91"/>
      <c r="CK473" s="91"/>
      <c r="CL473" s="6"/>
      <c r="CM473" s="6"/>
      <c r="CN473" s="6"/>
      <c r="CO473" s="6"/>
      <c r="CP473" s="6"/>
      <c r="CQ473" s="6"/>
      <c r="CR473" s="6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8"/>
      <c r="DK473" s="8"/>
      <c r="DL473" s="8"/>
      <c r="DM473" s="8"/>
      <c r="DN473" s="55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83"/>
      <c r="EC473" s="83"/>
      <c r="ED473" s="83"/>
      <c r="EE473" s="83"/>
      <c r="EF473" s="83"/>
      <c r="EG473" s="83"/>
      <c r="EH473" s="83"/>
      <c r="EI473" s="83"/>
      <c r="EJ473" s="83"/>
      <c r="EK473" s="2"/>
      <c r="EO473" s="2"/>
      <c r="ES473" s="58"/>
      <c r="ET473" s="58"/>
      <c r="EU473" s="58"/>
      <c r="EV473" s="58"/>
      <c r="EW473" s="58"/>
      <c r="EX473" s="58"/>
      <c r="EY473" s="58"/>
      <c r="EZ473" s="85"/>
    </row>
    <row r="474" spans="1:156">
      <c r="A474" s="95"/>
      <c r="B474" s="9"/>
      <c r="I474" s="54"/>
      <c r="J474" s="6"/>
      <c r="K474" s="6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90"/>
      <c r="AO474" s="91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91"/>
      <c r="CG474" s="6"/>
      <c r="CH474" s="91"/>
      <c r="CI474" s="91"/>
      <c r="CJ474" s="91"/>
      <c r="CK474" s="91"/>
      <c r="CL474" s="6"/>
      <c r="CM474" s="6"/>
      <c r="CN474" s="6"/>
      <c r="CO474" s="6"/>
      <c r="CP474" s="6"/>
      <c r="CQ474" s="6"/>
      <c r="CR474" s="6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8"/>
      <c r="DK474" s="8"/>
      <c r="DL474" s="8"/>
      <c r="DM474" s="8"/>
      <c r="DN474" s="55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83"/>
      <c r="EC474" s="83"/>
      <c r="ED474" s="83"/>
      <c r="EE474" s="83"/>
      <c r="EF474" s="83"/>
      <c r="EG474" s="83"/>
      <c r="EH474" s="83"/>
      <c r="EI474" s="83"/>
      <c r="EJ474" s="83"/>
      <c r="EK474" s="2"/>
      <c r="EO474" s="2"/>
      <c r="ES474" s="58"/>
      <c r="ET474" s="58"/>
      <c r="EU474" s="58"/>
      <c r="EV474" s="58"/>
      <c r="EW474" s="58"/>
      <c r="EX474" s="58"/>
      <c r="EY474" s="58"/>
      <c r="EZ474" s="85"/>
    </row>
    <row r="475" spans="1:156">
      <c r="A475" s="95"/>
      <c r="B475" s="9"/>
      <c r="I475" s="54"/>
      <c r="J475" s="6"/>
      <c r="K475" s="6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90"/>
      <c r="AO475" s="91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91"/>
      <c r="CG475" s="6"/>
      <c r="CH475" s="91"/>
      <c r="CI475" s="91"/>
      <c r="CJ475" s="91"/>
      <c r="CK475" s="91"/>
      <c r="CL475" s="6"/>
      <c r="CM475" s="6"/>
      <c r="CN475" s="6"/>
      <c r="CO475" s="6"/>
      <c r="CP475" s="6"/>
      <c r="CQ475" s="6"/>
      <c r="CR475" s="6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8"/>
      <c r="DK475" s="8"/>
      <c r="DL475" s="8"/>
      <c r="DM475" s="8"/>
      <c r="DN475" s="55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83"/>
      <c r="EC475" s="83"/>
      <c r="ED475" s="83"/>
      <c r="EE475" s="83"/>
      <c r="EF475" s="83"/>
      <c r="EG475" s="83"/>
      <c r="EH475" s="83"/>
      <c r="EI475" s="83"/>
      <c r="EJ475" s="83"/>
      <c r="EK475" s="2"/>
      <c r="EO475" s="2"/>
      <c r="ES475" s="58"/>
      <c r="ET475" s="58"/>
      <c r="EU475" s="58"/>
      <c r="EV475" s="58"/>
      <c r="EW475" s="58"/>
      <c r="EX475" s="58"/>
      <c r="EY475" s="58"/>
      <c r="EZ475" s="85"/>
    </row>
    <row r="476" spans="1:156">
      <c r="A476" s="95"/>
      <c r="B476" s="9"/>
      <c r="I476" s="54"/>
      <c r="J476" s="6"/>
      <c r="K476" s="6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90"/>
      <c r="AO476" s="91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91"/>
      <c r="CG476" s="6"/>
      <c r="CH476" s="91"/>
      <c r="CI476" s="91"/>
      <c r="CJ476" s="91"/>
      <c r="CK476" s="91"/>
      <c r="CL476" s="6"/>
      <c r="CM476" s="6"/>
      <c r="CN476" s="6"/>
      <c r="CO476" s="6"/>
      <c r="CP476" s="6"/>
      <c r="CQ476" s="6"/>
      <c r="CR476" s="6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8"/>
      <c r="DK476" s="8"/>
      <c r="DL476" s="8"/>
      <c r="DM476" s="8"/>
      <c r="DN476" s="55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83"/>
      <c r="EC476" s="83"/>
      <c r="ED476" s="83"/>
      <c r="EE476" s="83"/>
      <c r="EF476" s="83"/>
      <c r="EG476" s="83"/>
      <c r="EH476" s="83"/>
      <c r="EI476" s="83"/>
      <c r="EJ476" s="83"/>
      <c r="EK476" s="2"/>
      <c r="EO476" s="2"/>
      <c r="ES476" s="58"/>
      <c r="ET476" s="58"/>
      <c r="EU476" s="58"/>
      <c r="EV476" s="58"/>
      <c r="EW476" s="58"/>
      <c r="EX476" s="58"/>
      <c r="EY476" s="58"/>
      <c r="EZ476" s="85"/>
    </row>
    <row r="477" spans="1:156">
      <c r="A477" s="95"/>
      <c r="B477" s="9"/>
      <c r="I477" s="54"/>
      <c r="J477" s="6"/>
      <c r="K477" s="6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90"/>
      <c r="AO477" s="91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91"/>
      <c r="CG477" s="6"/>
      <c r="CH477" s="91"/>
      <c r="CI477" s="91"/>
      <c r="CJ477" s="91"/>
      <c r="CK477" s="91"/>
      <c r="CL477" s="6"/>
      <c r="CM477" s="6"/>
      <c r="CN477" s="6"/>
      <c r="CO477" s="6"/>
      <c r="CP477" s="6"/>
      <c r="CQ477" s="6"/>
      <c r="CR477" s="6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8"/>
      <c r="DK477" s="8"/>
      <c r="DL477" s="8"/>
      <c r="DM477" s="8"/>
      <c r="DN477" s="55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83"/>
      <c r="EC477" s="83"/>
      <c r="ED477" s="83"/>
      <c r="EE477" s="83"/>
      <c r="EF477" s="83"/>
      <c r="EG477" s="83"/>
      <c r="EH477" s="83"/>
      <c r="EI477" s="83"/>
      <c r="EJ477" s="83"/>
      <c r="EK477" s="2"/>
      <c r="EO477" s="2"/>
      <c r="ES477" s="58"/>
      <c r="ET477" s="58"/>
      <c r="EU477" s="58"/>
      <c r="EV477" s="58"/>
      <c r="EW477" s="58"/>
      <c r="EX477" s="58"/>
      <c r="EY477" s="58"/>
      <c r="EZ477" s="85"/>
    </row>
    <row r="478" spans="1:156">
      <c r="A478" s="95"/>
      <c r="B478" s="9"/>
      <c r="I478" s="54"/>
      <c r="J478" s="6"/>
      <c r="K478" s="6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90"/>
      <c r="AO478" s="91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91"/>
      <c r="CG478" s="6"/>
      <c r="CH478" s="91"/>
      <c r="CI478" s="91"/>
      <c r="CJ478" s="91"/>
      <c r="CK478" s="91"/>
      <c r="CL478" s="6"/>
      <c r="CM478" s="6"/>
      <c r="CN478" s="6"/>
      <c r="CO478" s="6"/>
      <c r="CP478" s="6"/>
      <c r="CQ478" s="6"/>
      <c r="CR478" s="6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8"/>
      <c r="DK478" s="8"/>
      <c r="DL478" s="8"/>
      <c r="DM478" s="8"/>
      <c r="DN478" s="55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83"/>
      <c r="EC478" s="83"/>
      <c r="ED478" s="83"/>
      <c r="EE478" s="83"/>
      <c r="EF478" s="83"/>
      <c r="EG478" s="83"/>
      <c r="EH478" s="83"/>
      <c r="EI478" s="83"/>
      <c r="EJ478" s="83"/>
      <c r="EK478" s="2"/>
      <c r="EO478" s="2"/>
      <c r="ES478" s="58"/>
      <c r="ET478" s="58"/>
      <c r="EU478" s="58"/>
      <c r="EV478" s="58"/>
      <c r="EW478" s="58"/>
      <c r="EX478" s="58"/>
      <c r="EY478" s="58"/>
      <c r="EZ478" s="85"/>
    </row>
    <row r="479" spans="1:156">
      <c r="A479" s="95"/>
      <c r="B479" s="9"/>
      <c r="I479" s="54"/>
      <c r="J479" s="6"/>
      <c r="K479" s="6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90"/>
      <c r="AO479" s="91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91"/>
      <c r="CG479" s="6"/>
      <c r="CH479" s="91"/>
      <c r="CI479" s="91"/>
      <c r="CJ479" s="91"/>
      <c r="CK479" s="91"/>
      <c r="CL479" s="6"/>
      <c r="CM479" s="6"/>
      <c r="CN479" s="6"/>
      <c r="CO479" s="6"/>
      <c r="CP479" s="6"/>
      <c r="CQ479" s="6"/>
      <c r="CR479" s="6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8"/>
      <c r="DK479" s="8"/>
      <c r="DL479" s="8"/>
      <c r="DM479" s="8"/>
      <c r="DN479" s="55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83"/>
      <c r="EC479" s="83"/>
      <c r="ED479" s="83"/>
      <c r="EE479" s="83"/>
      <c r="EF479" s="83"/>
      <c r="EG479" s="83"/>
      <c r="EH479" s="83"/>
      <c r="EI479" s="83"/>
      <c r="EJ479" s="83"/>
      <c r="EK479" s="2"/>
      <c r="EO479" s="2"/>
      <c r="ES479" s="58"/>
      <c r="ET479" s="58"/>
      <c r="EU479" s="58"/>
      <c r="EV479" s="58"/>
      <c r="EW479" s="58"/>
      <c r="EX479" s="58"/>
      <c r="EY479" s="58"/>
      <c r="EZ479" s="85"/>
    </row>
    <row r="480" spans="1:156">
      <c r="A480" s="95"/>
      <c r="B480" s="9"/>
      <c r="I480" s="54"/>
      <c r="J480" s="6"/>
      <c r="K480" s="6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90"/>
      <c r="AO480" s="91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91"/>
      <c r="CG480" s="6"/>
      <c r="CH480" s="91"/>
      <c r="CI480" s="91"/>
      <c r="CJ480" s="91"/>
      <c r="CK480" s="91"/>
      <c r="CL480" s="6"/>
      <c r="CM480" s="6"/>
      <c r="CN480" s="6"/>
      <c r="CO480" s="6"/>
      <c r="CP480" s="6"/>
      <c r="CQ480" s="6"/>
      <c r="CR480" s="6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8"/>
      <c r="DK480" s="8"/>
      <c r="DL480" s="8"/>
      <c r="DM480" s="8"/>
      <c r="DN480" s="55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83"/>
      <c r="EC480" s="83"/>
      <c r="ED480" s="83"/>
      <c r="EE480" s="83"/>
      <c r="EF480" s="83"/>
      <c r="EG480" s="83"/>
      <c r="EH480" s="83"/>
      <c r="EI480" s="83"/>
      <c r="EJ480" s="83"/>
      <c r="EK480" s="2"/>
      <c r="EO480" s="2"/>
      <c r="ES480" s="58"/>
      <c r="ET480" s="58"/>
      <c r="EU480" s="58"/>
      <c r="EV480" s="58"/>
      <c r="EW480" s="58"/>
      <c r="EX480" s="58"/>
      <c r="EY480" s="58"/>
      <c r="EZ480" s="85"/>
    </row>
    <row r="481" spans="1:156">
      <c r="A481" s="95"/>
      <c r="B481" s="9"/>
      <c r="I481" s="54"/>
      <c r="J481" s="6"/>
      <c r="K481" s="6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90"/>
      <c r="AO481" s="91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91"/>
      <c r="CG481" s="6"/>
      <c r="CH481" s="91"/>
      <c r="CI481" s="91"/>
      <c r="CJ481" s="91"/>
      <c r="CK481" s="91"/>
      <c r="CL481" s="6"/>
      <c r="CM481" s="6"/>
      <c r="CN481" s="6"/>
      <c r="CO481" s="6"/>
      <c r="CP481" s="6"/>
      <c r="CQ481" s="6"/>
      <c r="CR481" s="6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8"/>
      <c r="DK481" s="8"/>
      <c r="DL481" s="8"/>
      <c r="DM481" s="8"/>
      <c r="DN481" s="55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83"/>
      <c r="EC481" s="83"/>
      <c r="ED481" s="83"/>
      <c r="EE481" s="83"/>
      <c r="EF481" s="83"/>
      <c r="EG481" s="83"/>
      <c r="EH481" s="83"/>
      <c r="EI481" s="83"/>
      <c r="EJ481" s="83"/>
      <c r="EK481" s="2"/>
      <c r="EO481" s="2"/>
      <c r="ES481" s="58"/>
      <c r="ET481" s="58"/>
      <c r="EU481" s="58"/>
      <c r="EV481" s="58"/>
      <c r="EW481" s="58"/>
      <c r="EX481" s="58"/>
      <c r="EY481" s="58"/>
      <c r="EZ481" s="85"/>
    </row>
    <row r="482" spans="1:156">
      <c r="A482" s="95"/>
      <c r="B482" s="9"/>
      <c r="I482" s="54"/>
      <c r="J482" s="6"/>
      <c r="K482" s="6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90"/>
      <c r="AO482" s="91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91"/>
      <c r="CG482" s="6"/>
      <c r="CH482" s="91"/>
      <c r="CI482" s="91"/>
      <c r="CJ482" s="91"/>
      <c r="CK482" s="91"/>
      <c r="CL482" s="6"/>
      <c r="CM482" s="6"/>
      <c r="CN482" s="6"/>
      <c r="CO482" s="6"/>
      <c r="CP482" s="6"/>
      <c r="CQ482" s="6"/>
      <c r="CR482" s="6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8"/>
      <c r="DK482" s="8"/>
      <c r="DL482" s="8"/>
      <c r="DM482" s="8"/>
      <c r="DN482" s="55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83"/>
      <c r="EC482" s="83"/>
      <c r="ED482" s="83"/>
      <c r="EE482" s="83"/>
      <c r="EF482" s="83"/>
      <c r="EG482" s="83"/>
      <c r="EH482" s="83"/>
      <c r="EI482" s="83"/>
      <c r="EJ482" s="83"/>
      <c r="EK482" s="2"/>
      <c r="EO482" s="2"/>
      <c r="ES482" s="58"/>
      <c r="ET482" s="58"/>
      <c r="EU482" s="58"/>
      <c r="EV482" s="58"/>
      <c r="EW482" s="58"/>
      <c r="EX482" s="58"/>
      <c r="EY482" s="58"/>
      <c r="EZ482" s="85"/>
    </row>
    <row r="483" spans="1:156">
      <c r="A483" s="95"/>
      <c r="B483" s="9"/>
      <c r="I483" s="54"/>
      <c r="J483" s="6"/>
      <c r="K483" s="6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90"/>
      <c r="AO483" s="91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91"/>
      <c r="CG483" s="6"/>
      <c r="CH483" s="91"/>
      <c r="CI483" s="91"/>
      <c r="CJ483" s="91"/>
      <c r="CK483" s="91"/>
      <c r="CL483" s="6"/>
      <c r="CM483" s="6"/>
      <c r="CN483" s="6"/>
      <c r="CO483" s="6"/>
      <c r="CP483" s="6"/>
      <c r="CQ483" s="6"/>
      <c r="CR483" s="6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8"/>
      <c r="DK483" s="8"/>
      <c r="DL483" s="8"/>
      <c r="DM483" s="8"/>
      <c r="DN483" s="55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83"/>
      <c r="EC483" s="83"/>
      <c r="ED483" s="83"/>
      <c r="EE483" s="83"/>
      <c r="EF483" s="83"/>
      <c r="EG483" s="83"/>
      <c r="EH483" s="83"/>
      <c r="EI483" s="83"/>
      <c r="EJ483" s="83"/>
      <c r="EK483" s="2"/>
      <c r="EO483" s="2"/>
      <c r="ES483" s="58"/>
      <c r="ET483" s="58"/>
      <c r="EU483" s="58"/>
      <c r="EV483" s="58"/>
      <c r="EW483" s="58"/>
      <c r="EX483" s="58"/>
      <c r="EY483" s="58"/>
      <c r="EZ483" s="85"/>
    </row>
    <row r="484" spans="1:156">
      <c r="A484" s="95"/>
      <c r="B484" s="9"/>
      <c r="I484" s="54"/>
      <c r="J484" s="6"/>
      <c r="K484" s="6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90"/>
      <c r="AO484" s="91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91"/>
      <c r="CG484" s="6"/>
      <c r="CH484" s="91"/>
      <c r="CI484" s="91"/>
      <c r="CJ484" s="91"/>
      <c r="CK484" s="91"/>
      <c r="CL484" s="6"/>
      <c r="CM484" s="6"/>
      <c r="CN484" s="6"/>
      <c r="CO484" s="6"/>
      <c r="CP484" s="6"/>
      <c r="CQ484" s="6"/>
      <c r="CR484" s="6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8"/>
      <c r="DK484" s="8"/>
      <c r="DL484" s="8"/>
      <c r="DM484" s="8"/>
      <c r="DN484" s="55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83"/>
      <c r="EC484" s="83"/>
      <c r="ED484" s="83"/>
      <c r="EE484" s="83"/>
      <c r="EF484" s="83"/>
      <c r="EG484" s="83"/>
      <c r="EH484" s="83"/>
      <c r="EI484" s="83"/>
      <c r="EJ484" s="83"/>
      <c r="EK484" s="2"/>
      <c r="EO484" s="2"/>
      <c r="ES484" s="58"/>
      <c r="ET484" s="58"/>
      <c r="EU484" s="58"/>
      <c r="EV484" s="58"/>
      <c r="EW484" s="58"/>
      <c r="EX484" s="58"/>
      <c r="EY484" s="58"/>
      <c r="EZ484" s="85"/>
    </row>
    <row r="485" spans="1:156">
      <c r="A485" s="95"/>
      <c r="B485" s="9"/>
      <c r="I485" s="54"/>
      <c r="J485" s="6"/>
      <c r="K485" s="6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90"/>
      <c r="AO485" s="91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91"/>
      <c r="CG485" s="6"/>
      <c r="CH485" s="91"/>
      <c r="CI485" s="91"/>
      <c r="CJ485" s="91"/>
      <c r="CK485" s="91"/>
      <c r="CL485" s="6"/>
      <c r="CM485" s="6"/>
      <c r="CN485" s="6"/>
      <c r="CO485" s="6"/>
      <c r="CP485" s="6"/>
      <c r="CQ485" s="6"/>
      <c r="CR485" s="6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8"/>
      <c r="DK485" s="8"/>
      <c r="DL485" s="8"/>
      <c r="DM485" s="8"/>
      <c r="DN485" s="55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83"/>
      <c r="EC485" s="83"/>
      <c r="ED485" s="83"/>
      <c r="EE485" s="83"/>
      <c r="EF485" s="83"/>
      <c r="EG485" s="83"/>
      <c r="EH485" s="83"/>
      <c r="EI485" s="83"/>
      <c r="EJ485" s="83"/>
      <c r="EK485" s="2"/>
      <c r="EO485" s="2"/>
      <c r="ES485" s="58"/>
      <c r="ET485" s="58"/>
      <c r="EU485" s="58"/>
      <c r="EV485" s="58"/>
      <c r="EW485" s="58"/>
      <c r="EX485" s="58"/>
      <c r="EY485" s="58"/>
      <c r="EZ485" s="85"/>
    </row>
    <row r="486" spans="1:156">
      <c r="A486" s="95"/>
      <c r="B486" s="9"/>
      <c r="I486" s="54"/>
      <c r="J486" s="6"/>
      <c r="K486" s="6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90"/>
      <c r="AO486" s="91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91"/>
      <c r="CG486" s="6"/>
      <c r="CH486" s="91"/>
      <c r="CI486" s="91"/>
      <c r="CJ486" s="91"/>
      <c r="CK486" s="91"/>
      <c r="CL486" s="6"/>
      <c r="CM486" s="6"/>
      <c r="CN486" s="6"/>
      <c r="CO486" s="6"/>
      <c r="CP486" s="6"/>
      <c r="CQ486" s="6"/>
      <c r="CR486" s="6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8"/>
      <c r="DK486" s="8"/>
      <c r="DL486" s="8"/>
      <c r="DM486" s="8"/>
      <c r="DN486" s="55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83"/>
      <c r="EC486" s="83"/>
      <c r="ED486" s="83"/>
      <c r="EE486" s="83"/>
      <c r="EF486" s="83"/>
      <c r="EG486" s="83"/>
      <c r="EH486" s="83"/>
      <c r="EI486" s="83"/>
      <c r="EJ486" s="83"/>
      <c r="EK486" s="2"/>
      <c r="EO486" s="2"/>
      <c r="ES486" s="58"/>
      <c r="ET486" s="58"/>
      <c r="EU486" s="58"/>
      <c r="EV486" s="58"/>
      <c r="EW486" s="58"/>
      <c r="EX486" s="58"/>
      <c r="EY486" s="58"/>
      <c r="EZ486" s="85"/>
    </row>
    <row r="487" spans="1:156">
      <c r="A487" s="95"/>
      <c r="B487" s="9"/>
      <c r="I487" s="54"/>
      <c r="J487" s="6"/>
      <c r="K487" s="6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90"/>
      <c r="AO487" s="91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91"/>
      <c r="CG487" s="6"/>
      <c r="CH487" s="91"/>
      <c r="CI487" s="91"/>
      <c r="CJ487" s="91"/>
      <c r="CK487" s="91"/>
      <c r="CL487" s="6"/>
      <c r="CM487" s="6"/>
      <c r="CN487" s="6"/>
      <c r="CO487" s="6"/>
      <c r="CP487" s="6"/>
      <c r="CQ487" s="6"/>
      <c r="CR487" s="6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8"/>
      <c r="DK487" s="8"/>
      <c r="DL487" s="8"/>
      <c r="DM487" s="8"/>
      <c r="DN487" s="55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83"/>
      <c r="EC487" s="83"/>
      <c r="ED487" s="83"/>
      <c r="EE487" s="83"/>
      <c r="EF487" s="83"/>
      <c r="EG487" s="83"/>
      <c r="EH487" s="83"/>
      <c r="EI487" s="83"/>
      <c r="EJ487" s="83"/>
      <c r="EK487" s="2"/>
      <c r="EO487" s="2"/>
      <c r="ES487" s="58"/>
      <c r="ET487" s="58"/>
      <c r="EU487" s="58"/>
      <c r="EV487" s="58"/>
      <c r="EW487" s="58"/>
      <c r="EX487" s="58"/>
      <c r="EY487" s="58"/>
      <c r="EZ487" s="85"/>
    </row>
    <row r="488" spans="1:156">
      <c r="A488" s="95"/>
      <c r="B488" s="9"/>
      <c r="I488" s="54"/>
      <c r="J488" s="6"/>
      <c r="K488" s="6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90"/>
      <c r="AO488" s="91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91"/>
      <c r="CG488" s="6"/>
      <c r="CH488" s="91"/>
      <c r="CI488" s="91"/>
      <c r="CJ488" s="91"/>
      <c r="CK488" s="91"/>
      <c r="CL488" s="6"/>
      <c r="CM488" s="6"/>
      <c r="CN488" s="6"/>
      <c r="CO488" s="6"/>
      <c r="CP488" s="6"/>
      <c r="CQ488" s="6"/>
      <c r="CR488" s="6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8"/>
      <c r="DK488" s="8"/>
      <c r="DL488" s="8"/>
      <c r="DM488" s="8"/>
      <c r="DN488" s="55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83"/>
      <c r="EC488" s="83"/>
      <c r="ED488" s="83"/>
      <c r="EE488" s="83"/>
      <c r="EF488" s="83"/>
      <c r="EG488" s="83"/>
      <c r="EH488" s="83"/>
      <c r="EI488" s="83"/>
      <c r="EJ488" s="83"/>
      <c r="EK488" s="2"/>
      <c r="EO488" s="2"/>
      <c r="ES488" s="58"/>
      <c r="ET488" s="58"/>
      <c r="EU488" s="58"/>
      <c r="EV488" s="58"/>
      <c r="EW488" s="58"/>
      <c r="EX488" s="58"/>
      <c r="EY488" s="58"/>
      <c r="EZ488" s="85"/>
    </row>
    <row r="489" spans="1:156">
      <c r="A489" s="95"/>
      <c r="B489" s="9"/>
      <c r="I489" s="54"/>
      <c r="J489" s="6"/>
      <c r="K489" s="6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90"/>
      <c r="AO489" s="91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91"/>
      <c r="CG489" s="6"/>
      <c r="CH489" s="91"/>
      <c r="CI489" s="91"/>
      <c r="CJ489" s="91"/>
      <c r="CK489" s="91"/>
      <c r="CL489" s="6"/>
      <c r="CM489" s="6"/>
      <c r="CN489" s="6"/>
      <c r="CO489" s="6"/>
      <c r="CP489" s="6"/>
      <c r="CQ489" s="6"/>
      <c r="CR489" s="6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8"/>
      <c r="DK489" s="8"/>
      <c r="DL489" s="8"/>
      <c r="DM489" s="8"/>
      <c r="DN489" s="55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83"/>
      <c r="EC489" s="83"/>
      <c r="ED489" s="83"/>
      <c r="EE489" s="83"/>
      <c r="EF489" s="83"/>
      <c r="EG489" s="83"/>
      <c r="EH489" s="83"/>
      <c r="EI489" s="83"/>
      <c r="EJ489" s="83"/>
      <c r="EK489" s="2"/>
      <c r="EO489" s="2"/>
      <c r="ES489" s="58"/>
      <c r="ET489" s="58"/>
      <c r="EU489" s="58"/>
      <c r="EV489" s="58"/>
      <c r="EW489" s="58"/>
      <c r="EX489" s="58"/>
      <c r="EY489" s="58"/>
      <c r="EZ489" s="85"/>
    </row>
    <row r="490" spans="1:156">
      <c r="A490" s="95"/>
      <c r="B490" s="9"/>
      <c r="I490" s="54"/>
      <c r="J490" s="6"/>
      <c r="K490" s="6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90"/>
      <c r="AO490" s="91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91"/>
      <c r="CG490" s="6"/>
      <c r="CH490" s="91"/>
      <c r="CI490" s="91"/>
      <c r="CJ490" s="91"/>
      <c r="CK490" s="91"/>
      <c r="CL490" s="6"/>
      <c r="CM490" s="6"/>
      <c r="CN490" s="6"/>
      <c r="CO490" s="6"/>
      <c r="CP490" s="6"/>
      <c r="CQ490" s="6"/>
      <c r="CR490" s="6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8"/>
      <c r="DK490" s="8"/>
      <c r="DL490" s="8"/>
      <c r="DM490" s="8"/>
      <c r="DN490" s="55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83"/>
      <c r="EC490" s="83"/>
      <c r="ED490" s="83"/>
      <c r="EE490" s="83"/>
      <c r="EF490" s="83"/>
      <c r="EG490" s="83"/>
      <c r="EH490" s="83"/>
      <c r="EI490" s="83"/>
      <c r="EJ490" s="83"/>
      <c r="EK490" s="2"/>
      <c r="EO490" s="2"/>
      <c r="ES490" s="58"/>
      <c r="ET490" s="58"/>
      <c r="EU490" s="58"/>
      <c r="EV490" s="58"/>
      <c r="EW490" s="58"/>
      <c r="EX490" s="58"/>
      <c r="EY490" s="58"/>
      <c r="EZ490" s="85"/>
    </row>
    <row r="491" spans="1:156">
      <c r="A491" s="95"/>
      <c r="B491" s="9"/>
      <c r="I491" s="54"/>
      <c r="J491" s="6"/>
      <c r="K491" s="6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90"/>
      <c r="AO491" s="91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91"/>
      <c r="CG491" s="6"/>
      <c r="CH491" s="91"/>
      <c r="CI491" s="91"/>
      <c r="CJ491" s="91"/>
      <c r="CK491" s="91"/>
      <c r="CL491" s="6"/>
      <c r="CM491" s="6"/>
      <c r="CN491" s="6"/>
      <c r="CO491" s="6"/>
      <c r="CP491" s="6"/>
      <c r="CQ491" s="6"/>
      <c r="CR491" s="6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8"/>
      <c r="DK491" s="8"/>
      <c r="DL491" s="8"/>
      <c r="DM491" s="8"/>
      <c r="DN491" s="55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83"/>
      <c r="EC491" s="83"/>
      <c r="ED491" s="83"/>
      <c r="EE491" s="83"/>
      <c r="EF491" s="83"/>
      <c r="EG491" s="83"/>
      <c r="EH491" s="83"/>
      <c r="EI491" s="83"/>
      <c r="EJ491" s="83"/>
      <c r="EK491" s="2"/>
      <c r="EO491" s="2"/>
      <c r="ES491" s="58"/>
      <c r="ET491" s="58"/>
      <c r="EU491" s="58"/>
      <c r="EV491" s="58"/>
      <c r="EW491" s="58"/>
      <c r="EX491" s="58"/>
      <c r="EY491" s="58"/>
      <c r="EZ491" s="85"/>
    </row>
    <row r="492" spans="1:156">
      <c r="A492" s="95"/>
      <c r="B492" s="9"/>
      <c r="I492" s="54"/>
      <c r="J492" s="6"/>
      <c r="K492" s="6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90"/>
      <c r="AO492" s="91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91"/>
      <c r="CG492" s="6"/>
      <c r="CH492" s="91"/>
      <c r="CI492" s="91"/>
      <c r="CJ492" s="91"/>
      <c r="CK492" s="91"/>
      <c r="CL492" s="6"/>
      <c r="CM492" s="6"/>
      <c r="CN492" s="6"/>
      <c r="CO492" s="6"/>
      <c r="CP492" s="6"/>
      <c r="CQ492" s="6"/>
      <c r="CR492" s="6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8"/>
      <c r="DK492" s="8"/>
      <c r="DL492" s="8"/>
      <c r="DM492" s="8"/>
      <c r="DN492" s="55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83"/>
      <c r="EC492" s="83"/>
      <c r="ED492" s="83"/>
      <c r="EE492" s="83"/>
      <c r="EF492" s="83"/>
      <c r="EG492" s="83"/>
      <c r="EH492" s="83"/>
      <c r="EI492" s="83"/>
      <c r="EJ492" s="83"/>
      <c r="EK492" s="2"/>
      <c r="EO492" s="2"/>
      <c r="ES492" s="58"/>
      <c r="ET492" s="58"/>
      <c r="EU492" s="58"/>
      <c r="EV492" s="58"/>
      <c r="EW492" s="58"/>
      <c r="EX492" s="58"/>
      <c r="EY492" s="58"/>
      <c r="EZ492" s="85"/>
    </row>
    <row r="493" spans="1:156">
      <c r="A493" s="95"/>
      <c r="B493" s="9"/>
      <c r="I493" s="54"/>
      <c r="J493" s="6"/>
      <c r="K493" s="6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90"/>
      <c r="AO493" s="91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91"/>
      <c r="CG493" s="6"/>
      <c r="CH493" s="91"/>
      <c r="CI493" s="91"/>
      <c r="CJ493" s="91"/>
      <c r="CK493" s="91"/>
      <c r="CL493" s="6"/>
      <c r="CM493" s="6"/>
      <c r="CN493" s="6"/>
      <c r="CO493" s="6"/>
      <c r="CP493" s="6"/>
      <c r="CQ493" s="6"/>
      <c r="CR493" s="6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8"/>
      <c r="DK493" s="8"/>
      <c r="DL493" s="8"/>
      <c r="DM493" s="8"/>
      <c r="DN493" s="55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83"/>
      <c r="EC493" s="83"/>
      <c r="ED493" s="83"/>
      <c r="EE493" s="83"/>
      <c r="EF493" s="83"/>
      <c r="EG493" s="83"/>
      <c r="EH493" s="83"/>
      <c r="EI493" s="83"/>
      <c r="EJ493" s="83"/>
      <c r="EK493" s="2"/>
      <c r="EO493" s="2"/>
      <c r="ES493" s="58"/>
      <c r="ET493" s="58"/>
      <c r="EU493" s="58"/>
      <c r="EV493" s="58"/>
      <c r="EW493" s="58"/>
      <c r="EX493" s="58"/>
      <c r="EY493" s="58"/>
      <c r="EZ493" s="85"/>
    </row>
    <row r="494" spans="1:156">
      <c r="A494" s="95"/>
      <c r="B494" s="9"/>
      <c r="I494" s="54"/>
      <c r="J494" s="6"/>
      <c r="K494" s="6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90"/>
      <c r="AO494" s="91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91"/>
      <c r="CG494" s="6"/>
      <c r="CH494" s="91"/>
      <c r="CI494" s="91"/>
      <c r="CJ494" s="91"/>
      <c r="CK494" s="91"/>
      <c r="CL494" s="6"/>
      <c r="CM494" s="6"/>
      <c r="CN494" s="6"/>
      <c r="CO494" s="6"/>
      <c r="CP494" s="6"/>
      <c r="CQ494" s="6"/>
      <c r="CR494" s="6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8"/>
      <c r="DK494" s="8"/>
      <c r="DL494" s="8"/>
      <c r="DM494" s="8"/>
      <c r="DN494" s="55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83"/>
      <c r="EC494" s="83"/>
      <c r="ED494" s="83"/>
      <c r="EE494" s="83"/>
      <c r="EF494" s="83"/>
      <c r="EG494" s="83"/>
      <c r="EH494" s="83"/>
      <c r="EI494" s="83"/>
      <c r="EJ494" s="83"/>
      <c r="EK494" s="2"/>
      <c r="EO494" s="2"/>
      <c r="ES494" s="58"/>
      <c r="ET494" s="58"/>
      <c r="EU494" s="58"/>
      <c r="EV494" s="58"/>
      <c r="EW494" s="58"/>
      <c r="EX494" s="58"/>
      <c r="EY494" s="58"/>
      <c r="EZ494" s="85"/>
    </row>
    <row r="495" spans="1:156">
      <c r="A495" s="95"/>
      <c r="B495" s="9"/>
      <c r="I495" s="54"/>
      <c r="J495" s="6"/>
      <c r="K495" s="6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90"/>
      <c r="AO495" s="91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91"/>
      <c r="CG495" s="6"/>
      <c r="CH495" s="91"/>
      <c r="CI495" s="91"/>
      <c r="CJ495" s="91"/>
      <c r="CK495" s="91"/>
      <c r="CL495" s="6"/>
      <c r="CM495" s="6"/>
      <c r="CN495" s="6"/>
      <c r="CO495" s="6"/>
      <c r="CP495" s="6"/>
      <c r="CQ495" s="6"/>
      <c r="CR495" s="6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8"/>
      <c r="DK495" s="8"/>
      <c r="DL495" s="8"/>
      <c r="DM495" s="8"/>
      <c r="DN495" s="55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83"/>
      <c r="EC495" s="83"/>
      <c r="ED495" s="83"/>
      <c r="EE495" s="83"/>
      <c r="EF495" s="83"/>
      <c r="EG495" s="83"/>
      <c r="EH495" s="83"/>
      <c r="EI495" s="83"/>
      <c r="EJ495" s="83"/>
      <c r="EK495" s="2"/>
      <c r="EO495" s="2"/>
      <c r="ES495" s="58"/>
      <c r="ET495" s="58"/>
      <c r="EU495" s="58"/>
      <c r="EV495" s="58"/>
      <c r="EW495" s="58"/>
      <c r="EX495" s="58"/>
      <c r="EY495" s="58"/>
      <c r="EZ495" s="85"/>
    </row>
    <row r="496" spans="1:156">
      <c r="A496" s="95"/>
      <c r="B496" s="9"/>
      <c r="I496" s="54"/>
      <c r="J496" s="6"/>
      <c r="K496" s="6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90"/>
      <c r="AO496" s="91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91"/>
      <c r="CG496" s="6"/>
      <c r="CH496" s="91"/>
      <c r="CI496" s="91"/>
      <c r="CJ496" s="91"/>
      <c r="CK496" s="91"/>
      <c r="CL496" s="6"/>
      <c r="CM496" s="6"/>
      <c r="CN496" s="6"/>
      <c r="CO496" s="6"/>
      <c r="CP496" s="6"/>
      <c r="CQ496" s="6"/>
      <c r="CR496" s="6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8"/>
      <c r="DK496" s="8"/>
      <c r="DL496" s="8"/>
      <c r="DM496" s="8"/>
      <c r="DN496" s="55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83"/>
      <c r="EC496" s="83"/>
      <c r="ED496" s="83"/>
      <c r="EE496" s="83"/>
      <c r="EF496" s="83"/>
      <c r="EG496" s="83"/>
      <c r="EH496" s="83"/>
      <c r="EI496" s="83"/>
      <c r="EJ496" s="83"/>
      <c r="EK496" s="2"/>
      <c r="EO496" s="2"/>
      <c r="ES496" s="58"/>
      <c r="ET496" s="58"/>
      <c r="EU496" s="58"/>
      <c r="EV496" s="58"/>
      <c r="EW496" s="58"/>
      <c r="EX496" s="58"/>
      <c r="EY496" s="58"/>
      <c r="EZ496" s="85"/>
    </row>
    <row r="497" spans="1:156">
      <c r="A497" s="95"/>
      <c r="B497" s="9"/>
      <c r="I497" s="54"/>
      <c r="J497" s="6"/>
      <c r="K497" s="6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90"/>
      <c r="AO497" s="91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91"/>
      <c r="CG497" s="6"/>
      <c r="CH497" s="91"/>
      <c r="CI497" s="91"/>
      <c r="CJ497" s="91"/>
      <c r="CK497" s="91"/>
      <c r="CL497" s="6"/>
      <c r="CM497" s="6"/>
      <c r="CN497" s="6"/>
      <c r="CO497" s="6"/>
      <c r="CP497" s="6"/>
      <c r="CQ497" s="6"/>
      <c r="CR497" s="6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8"/>
      <c r="DK497" s="8"/>
      <c r="DL497" s="8"/>
      <c r="DM497" s="8"/>
      <c r="DN497" s="55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83"/>
      <c r="EC497" s="83"/>
      <c r="ED497" s="83"/>
      <c r="EE497" s="83"/>
      <c r="EF497" s="83"/>
      <c r="EG497" s="83"/>
      <c r="EH497" s="83"/>
      <c r="EI497" s="83"/>
      <c r="EJ497" s="83"/>
      <c r="EK497" s="2"/>
      <c r="EO497" s="2"/>
      <c r="ES497" s="58"/>
      <c r="ET497" s="58"/>
      <c r="EU497" s="58"/>
      <c r="EV497" s="58"/>
      <c r="EW497" s="58"/>
      <c r="EX497" s="58"/>
      <c r="EY497" s="58"/>
      <c r="EZ497" s="85"/>
    </row>
    <row r="498" spans="1:156">
      <c r="A498" s="95"/>
      <c r="B498" s="9"/>
      <c r="I498" s="54"/>
      <c r="J498" s="6"/>
      <c r="K498" s="6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90"/>
      <c r="AO498" s="91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91"/>
      <c r="CG498" s="6"/>
      <c r="CH498" s="91"/>
      <c r="CI498" s="91"/>
      <c r="CJ498" s="91"/>
      <c r="CK498" s="91"/>
      <c r="CL498" s="6"/>
      <c r="CM498" s="6"/>
      <c r="CN498" s="6"/>
      <c r="CO498" s="6"/>
      <c r="CP498" s="6"/>
      <c r="CQ498" s="6"/>
      <c r="CR498" s="6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8"/>
      <c r="DK498" s="8"/>
      <c r="DL498" s="8"/>
      <c r="DM498" s="8"/>
      <c r="DN498" s="55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83"/>
      <c r="EC498" s="83"/>
      <c r="ED498" s="83"/>
      <c r="EE498" s="83"/>
      <c r="EF498" s="83"/>
      <c r="EG498" s="83"/>
      <c r="EH498" s="83"/>
      <c r="EI498" s="83"/>
      <c r="EJ498" s="83"/>
      <c r="EK498" s="2"/>
      <c r="EO498" s="2"/>
      <c r="ES498" s="58"/>
      <c r="ET498" s="58"/>
      <c r="EU498" s="58"/>
      <c r="EV498" s="58"/>
      <c r="EW498" s="58"/>
      <c r="EX498" s="58"/>
      <c r="EY498" s="58"/>
      <c r="EZ498" s="85"/>
    </row>
    <row r="499" spans="1:156">
      <c r="A499" s="95"/>
      <c r="B499" s="9"/>
      <c r="I499" s="54"/>
      <c r="J499" s="6"/>
      <c r="K499" s="6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90"/>
      <c r="AO499" s="91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91"/>
      <c r="CG499" s="6"/>
      <c r="CH499" s="91"/>
      <c r="CI499" s="91"/>
      <c r="CJ499" s="91"/>
      <c r="CK499" s="91"/>
      <c r="CL499" s="6"/>
      <c r="CM499" s="6"/>
      <c r="CN499" s="6"/>
      <c r="CO499" s="6"/>
      <c r="CP499" s="6"/>
      <c r="CQ499" s="6"/>
      <c r="CR499" s="6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8"/>
      <c r="DK499" s="8"/>
      <c r="DL499" s="8"/>
      <c r="DM499" s="8"/>
      <c r="DN499" s="55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83"/>
      <c r="EC499" s="83"/>
      <c r="ED499" s="83"/>
      <c r="EE499" s="83"/>
      <c r="EF499" s="83"/>
      <c r="EG499" s="83"/>
      <c r="EH499" s="83"/>
      <c r="EI499" s="83"/>
      <c r="EJ499" s="83"/>
      <c r="EK499" s="2"/>
      <c r="EO499" s="2"/>
      <c r="ES499" s="58"/>
      <c r="ET499" s="58"/>
      <c r="EU499" s="58"/>
      <c r="EV499" s="58"/>
      <c r="EW499" s="58"/>
      <c r="EX499" s="58"/>
      <c r="EY499" s="58"/>
      <c r="EZ499" s="85"/>
    </row>
    <row r="500" spans="1:156">
      <c r="A500" s="95"/>
      <c r="B500" s="9"/>
      <c r="I500" s="54"/>
      <c r="J500" s="6"/>
      <c r="K500" s="6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90"/>
      <c r="AO500" s="91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91"/>
      <c r="CG500" s="6"/>
      <c r="CH500" s="91"/>
      <c r="CI500" s="91"/>
      <c r="CJ500" s="91"/>
      <c r="CK500" s="91"/>
      <c r="CL500" s="6"/>
      <c r="CM500" s="6"/>
      <c r="CN500" s="6"/>
      <c r="CO500" s="6"/>
      <c r="CP500" s="6"/>
      <c r="CQ500" s="6"/>
      <c r="CR500" s="6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8"/>
      <c r="DK500" s="8"/>
      <c r="DL500" s="8"/>
      <c r="DM500" s="8"/>
      <c r="DN500" s="55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83"/>
      <c r="EC500" s="83"/>
      <c r="ED500" s="83"/>
      <c r="EE500" s="83"/>
      <c r="EF500" s="83"/>
      <c r="EG500" s="83"/>
      <c r="EH500" s="83"/>
      <c r="EI500" s="83"/>
      <c r="EJ500" s="83"/>
      <c r="EK500" s="2"/>
      <c r="EO500" s="2"/>
      <c r="ES500" s="58"/>
      <c r="ET500" s="58"/>
      <c r="EU500" s="58"/>
      <c r="EV500" s="58"/>
      <c r="EW500" s="58"/>
      <c r="EX500" s="58"/>
      <c r="EY500" s="58"/>
      <c r="EZ500" s="85"/>
    </row>
    <row r="501" spans="1:156">
      <c r="A501" s="95"/>
      <c r="B501" s="9"/>
      <c r="I501" s="54"/>
      <c r="J501" s="6"/>
      <c r="K501" s="6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90"/>
      <c r="AO501" s="91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91"/>
      <c r="CG501" s="6"/>
      <c r="CH501" s="91"/>
      <c r="CI501" s="91"/>
      <c r="CJ501" s="91"/>
      <c r="CK501" s="91"/>
      <c r="CL501" s="6"/>
      <c r="CM501" s="6"/>
      <c r="CN501" s="6"/>
      <c r="CO501" s="6"/>
      <c r="CP501" s="6"/>
      <c r="CQ501" s="6"/>
      <c r="CR501" s="6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8"/>
      <c r="DK501" s="8"/>
      <c r="DL501" s="8"/>
      <c r="DM501" s="8"/>
      <c r="DN501" s="55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83"/>
      <c r="EC501" s="83"/>
      <c r="ED501" s="83"/>
      <c r="EE501" s="83"/>
      <c r="EF501" s="83"/>
      <c r="EG501" s="83"/>
      <c r="EH501" s="83"/>
      <c r="EI501" s="83"/>
      <c r="EJ501" s="83"/>
      <c r="EK501" s="2"/>
      <c r="EO501" s="2"/>
      <c r="ES501" s="58"/>
      <c r="ET501" s="58"/>
      <c r="EU501" s="58"/>
      <c r="EV501" s="58"/>
      <c r="EW501" s="58"/>
      <c r="EX501" s="58"/>
      <c r="EY501" s="58"/>
      <c r="EZ501" s="85"/>
    </row>
    <row r="502" spans="1:156">
      <c r="A502" s="95"/>
      <c r="B502" s="9"/>
      <c r="I502" s="54"/>
      <c r="J502" s="6"/>
      <c r="K502" s="6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90"/>
      <c r="AO502" s="91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91"/>
      <c r="CG502" s="6"/>
      <c r="CH502" s="91"/>
      <c r="CI502" s="91"/>
      <c r="CJ502" s="91"/>
      <c r="CK502" s="91"/>
      <c r="CL502" s="6"/>
      <c r="CM502" s="6"/>
      <c r="CN502" s="6"/>
      <c r="CO502" s="6"/>
      <c r="CP502" s="6"/>
      <c r="CQ502" s="6"/>
      <c r="CR502" s="6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8"/>
      <c r="DK502" s="8"/>
      <c r="DL502" s="8"/>
      <c r="DM502" s="8"/>
      <c r="DN502" s="55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83"/>
      <c r="EC502" s="83"/>
      <c r="ED502" s="83"/>
      <c r="EE502" s="83"/>
      <c r="EF502" s="83"/>
      <c r="EG502" s="83"/>
      <c r="EH502" s="83"/>
      <c r="EI502" s="83"/>
      <c r="EJ502" s="83"/>
      <c r="EK502" s="2"/>
      <c r="EO502" s="2"/>
      <c r="ES502" s="58"/>
      <c r="ET502" s="58"/>
      <c r="EU502" s="58"/>
      <c r="EV502" s="58"/>
      <c r="EW502" s="58"/>
      <c r="EX502" s="58"/>
      <c r="EY502" s="58"/>
      <c r="EZ502" s="85"/>
    </row>
    <row r="503" spans="1:156">
      <c r="A503" s="95"/>
      <c r="B503" s="9"/>
      <c r="I503" s="54"/>
      <c r="J503" s="6"/>
      <c r="K503" s="6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90"/>
      <c r="AO503" s="91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91"/>
      <c r="CG503" s="6"/>
      <c r="CH503" s="91"/>
      <c r="CI503" s="91"/>
      <c r="CJ503" s="91"/>
      <c r="CK503" s="91"/>
      <c r="CL503" s="6"/>
      <c r="CM503" s="6"/>
      <c r="CN503" s="6"/>
      <c r="CO503" s="6"/>
      <c r="CP503" s="6"/>
      <c r="CQ503" s="6"/>
      <c r="CR503" s="6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8"/>
      <c r="DK503" s="8"/>
      <c r="DL503" s="8"/>
      <c r="DM503" s="8"/>
      <c r="DN503" s="55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83"/>
      <c r="EC503" s="83"/>
      <c r="ED503" s="83"/>
      <c r="EE503" s="83"/>
      <c r="EF503" s="83"/>
      <c r="EG503" s="83"/>
      <c r="EH503" s="83"/>
      <c r="EI503" s="83"/>
      <c r="EJ503" s="83"/>
      <c r="EK503" s="2"/>
      <c r="EO503" s="2"/>
      <c r="ES503" s="58"/>
      <c r="ET503" s="58"/>
      <c r="EU503" s="58"/>
      <c r="EV503" s="58"/>
      <c r="EW503" s="58"/>
      <c r="EX503" s="58"/>
      <c r="EY503" s="58"/>
      <c r="EZ503" s="85"/>
    </row>
    <row r="504" spans="1:156">
      <c r="A504" s="95"/>
      <c r="B504" s="9"/>
      <c r="I504" s="54"/>
      <c r="J504" s="6"/>
      <c r="K504" s="6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90"/>
      <c r="AO504" s="91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91"/>
      <c r="CG504" s="6"/>
      <c r="CH504" s="91"/>
      <c r="CI504" s="91"/>
      <c r="CJ504" s="91"/>
      <c r="CK504" s="91"/>
      <c r="CL504" s="6"/>
      <c r="CM504" s="6"/>
      <c r="CN504" s="6"/>
      <c r="CO504" s="6"/>
      <c r="CP504" s="6"/>
      <c r="CQ504" s="6"/>
      <c r="CR504" s="6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8"/>
      <c r="DK504" s="8"/>
      <c r="DL504" s="8"/>
      <c r="DM504" s="8"/>
      <c r="DN504" s="55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83"/>
      <c r="EC504" s="83"/>
      <c r="ED504" s="83"/>
      <c r="EE504" s="83"/>
      <c r="EF504" s="83"/>
      <c r="EG504" s="83"/>
      <c r="EH504" s="83"/>
      <c r="EI504" s="83"/>
      <c r="EJ504" s="83"/>
      <c r="EK504" s="2"/>
      <c r="EO504" s="2"/>
      <c r="ES504" s="58"/>
      <c r="ET504" s="58"/>
      <c r="EU504" s="58"/>
      <c r="EV504" s="58"/>
      <c r="EW504" s="58"/>
      <c r="EX504" s="58"/>
      <c r="EY504" s="58"/>
      <c r="EZ504" s="85"/>
    </row>
    <row r="505" spans="1:156">
      <c r="A505" s="95"/>
      <c r="B505" s="9"/>
      <c r="I505" s="54"/>
      <c r="J505" s="6"/>
      <c r="K505" s="6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90"/>
      <c r="AO505" s="91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91"/>
      <c r="CG505" s="6"/>
      <c r="CH505" s="91"/>
      <c r="CI505" s="91"/>
      <c r="CJ505" s="91"/>
      <c r="CK505" s="91"/>
      <c r="CL505" s="6"/>
      <c r="CM505" s="6"/>
      <c r="CN505" s="6"/>
      <c r="CO505" s="6"/>
      <c r="CP505" s="6"/>
      <c r="CQ505" s="6"/>
      <c r="CR505" s="6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8"/>
      <c r="DK505" s="8"/>
      <c r="DL505" s="8"/>
      <c r="DM505" s="8"/>
      <c r="DN505" s="55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83"/>
      <c r="EC505" s="83"/>
      <c r="ED505" s="83"/>
      <c r="EE505" s="83"/>
      <c r="EF505" s="83"/>
      <c r="EG505" s="83"/>
      <c r="EH505" s="83"/>
      <c r="EI505" s="83"/>
      <c r="EJ505" s="83"/>
      <c r="EK505" s="2"/>
      <c r="EO505" s="2"/>
      <c r="ES505" s="58"/>
      <c r="ET505" s="58"/>
      <c r="EU505" s="58"/>
      <c r="EV505" s="58"/>
      <c r="EW505" s="58"/>
      <c r="EX505" s="58"/>
      <c r="EY505" s="58"/>
      <c r="EZ505" s="85"/>
    </row>
    <row r="506" spans="1:156">
      <c r="A506" s="95"/>
      <c r="B506" s="9"/>
      <c r="I506" s="54"/>
      <c r="J506" s="6"/>
      <c r="K506" s="6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90"/>
      <c r="AO506" s="91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91"/>
      <c r="CG506" s="6"/>
      <c r="CH506" s="91"/>
      <c r="CI506" s="91"/>
      <c r="CJ506" s="91"/>
      <c r="CK506" s="91"/>
      <c r="CL506" s="6"/>
      <c r="CM506" s="6"/>
      <c r="CN506" s="6"/>
      <c r="CO506" s="6"/>
      <c r="CP506" s="6"/>
      <c r="CQ506" s="6"/>
      <c r="CR506" s="6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8"/>
      <c r="DK506" s="8"/>
      <c r="DL506" s="8"/>
      <c r="DM506" s="8"/>
      <c r="DN506" s="55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83"/>
      <c r="EC506" s="83"/>
      <c r="ED506" s="83"/>
      <c r="EE506" s="83"/>
      <c r="EF506" s="83"/>
      <c r="EG506" s="83"/>
      <c r="EH506" s="83"/>
      <c r="EI506" s="83"/>
      <c r="EJ506" s="83"/>
      <c r="EK506" s="2"/>
      <c r="EO506" s="2"/>
      <c r="ES506" s="58"/>
      <c r="ET506" s="58"/>
      <c r="EU506" s="58"/>
      <c r="EV506" s="58"/>
      <c r="EW506" s="58"/>
      <c r="EX506" s="58"/>
      <c r="EY506" s="58"/>
      <c r="EZ506" s="85"/>
    </row>
    <row r="507" spans="1:156">
      <c r="A507" s="95"/>
      <c r="B507" s="9"/>
      <c r="I507" s="54"/>
      <c r="J507" s="6"/>
      <c r="K507" s="6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90"/>
      <c r="AO507" s="91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91"/>
      <c r="CG507" s="6"/>
      <c r="CH507" s="91"/>
      <c r="CI507" s="91"/>
      <c r="CJ507" s="91"/>
      <c r="CK507" s="91"/>
      <c r="CL507" s="6"/>
      <c r="CM507" s="6"/>
      <c r="CN507" s="6"/>
      <c r="CO507" s="6"/>
      <c r="CP507" s="6"/>
      <c r="CQ507" s="6"/>
      <c r="CR507" s="6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8"/>
      <c r="DK507" s="8"/>
      <c r="DL507" s="8"/>
      <c r="DM507" s="8"/>
      <c r="DN507" s="55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83"/>
      <c r="EC507" s="83"/>
      <c r="ED507" s="83"/>
      <c r="EE507" s="83"/>
      <c r="EF507" s="83"/>
      <c r="EG507" s="83"/>
      <c r="EH507" s="83"/>
      <c r="EI507" s="83"/>
      <c r="EJ507" s="83"/>
      <c r="EK507" s="2"/>
      <c r="EO507" s="2"/>
      <c r="ES507" s="58"/>
      <c r="ET507" s="58"/>
      <c r="EU507" s="58"/>
      <c r="EV507" s="58"/>
      <c r="EW507" s="58"/>
      <c r="EX507" s="58"/>
      <c r="EY507" s="58"/>
      <c r="EZ507" s="85"/>
    </row>
    <row r="508" spans="1:156">
      <c r="A508" s="95"/>
      <c r="B508" s="9"/>
      <c r="I508" s="54"/>
      <c r="J508" s="6"/>
      <c r="K508" s="6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90"/>
      <c r="AO508" s="91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91"/>
      <c r="CG508" s="6"/>
      <c r="CH508" s="91"/>
      <c r="CI508" s="91"/>
      <c r="CJ508" s="91"/>
      <c r="CK508" s="91"/>
      <c r="CL508" s="6"/>
      <c r="CM508" s="6"/>
      <c r="CN508" s="6"/>
      <c r="CO508" s="6"/>
      <c r="CP508" s="6"/>
      <c r="CQ508" s="6"/>
      <c r="CR508" s="6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8"/>
      <c r="DK508" s="8"/>
      <c r="DL508" s="8"/>
      <c r="DM508" s="8"/>
      <c r="DN508" s="55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83"/>
      <c r="EC508" s="83"/>
      <c r="ED508" s="83"/>
      <c r="EE508" s="83"/>
      <c r="EF508" s="83"/>
      <c r="EG508" s="83"/>
      <c r="EH508" s="83"/>
      <c r="EI508" s="83"/>
      <c r="EJ508" s="83"/>
      <c r="EK508" s="2"/>
      <c r="EO508" s="2"/>
      <c r="ES508" s="58"/>
      <c r="ET508" s="58"/>
      <c r="EU508" s="58"/>
      <c r="EV508" s="58"/>
      <c r="EW508" s="58"/>
      <c r="EX508" s="58"/>
      <c r="EY508" s="58"/>
      <c r="EZ508" s="85"/>
    </row>
    <row r="509" spans="1:156">
      <c r="A509" s="95"/>
      <c r="B509" s="9"/>
      <c r="I509" s="54"/>
      <c r="J509" s="6"/>
      <c r="K509" s="6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90"/>
      <c r="AO509" s="91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91"/>
      <c r="CG509" s="6"/>
      <c r="CH509" s="91"/>
      <c r="CI509" s="91"/>
      <c r="CJ509" s="91"/>
      <c r="CK509" s="91"/>
      <c r="CL509" s="6"/>
      <c r="CM509" s="6"/>
      <c r="CN509" s="6"/>
      <c r="CO509" s="6"/>
      <c r="CP509" s="6"/>
      <c r="CQ509" s="6"/>
      <c r="CR509" s="6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8"/>
      <c r="DK509" s="8"/>
      <c r="DL509" s="8"/>
      <c r="DM509" s="8"/>
      <c r="DN509" s="55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83"/>
      <c r="EC509" s="83"/>
      <c r="ED509" s="83"/>
      <c r="EE509" s="83"/>
      <c r="EF509" s="83"/>
      <c r="EG509" s="83"/>
      <c r="EH509" s="83"/>
      <c r="EI509" s="83"/>
      <c r="EJ509" s="83"/>
      <c r="EK509" s="2"/>
      <c r="EO509" s="2"/>
      <c r="ES509" s="58"/>
      <c r="ET509" s="58"/>
      <c r="EU509" s="58"/>
      <c r="EV509" s="58"/>
      <c r="EW509" s="58"/>
      <c r="EX509" s="58"/>
      <c r="EY509" s="58"/>
      <c r="EZ509" s="85"/>
    </row>
    <row r="510" spans="1:156">
      <c r="A510" s="95"/>
      <c r="B510" s="9"/>
      <c r="I510" s="54"/>
      <c r="J510" s="6"/>
      <c r="K510" s="6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90"/>
      <c r="AO510" s="91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91"/>
      <c r="CG510" s="6"/>
      <c r="CH510" s="91"/>
      <c r="CI510" s="91"/>
      <c r="CJ510" s="91"/>
      <c r="CK510" s="91"/>
      <c r="CL510" s="6"/>
      <c r="CM510" s="6"/>
      <c r="CN510" s="6"/>
      <c r="CO510" s="6"/>
      <c r="CP510" s="6"/>
      <c r="CQ510" s="6"/>
      <c r="CR510" s="6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8"/>
      <c r="DK510" s="8"/>
      <c r="DL510" s="8"/>
      <c r="DM510" s="8"/>
      <c r="DN510" s="55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83"/>
      <c r="EC510" s="83"/>
      <c r="ED510" s="83"/>
      <c r="EE510" s="83"/>
      <c r="EF510" s="83"/>
      <c r="EG510" s="83"/>
      <c r="EH510" s="83"/>
      <c r="EI510" s="83"/>
      <c r="EJ510" s="83"/>
      <c r="EK510" s="2"/>
      <c r="EO510" s="2"/>
      <c r="ES510" s="58"/>
      <c r="ET510" s="58"/>
      <c r="EU510" s="58"/>
      <c r="EV510" s="58"/>
      <c r="EW510" s="58"/>
      <c r="EX510" s="58"/>
      <c r="EY510" s="58"/>
      <c r="EZ510" s="85"/>
    </row>
    <row r="511" spans="1:156">
      <c r="A511" s="95"/>
      <c r="B511" s="9"/>
      <c r="I511" s="54"/>
      <c r="J511" s="6"/>
      <c r="K511" s="6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90"/>
      <c r="AO511" s="91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91"/>
      <c r="CG511" s="6"/>
      <c r="CH511" s="91"/>
      <c r="CI511" s="91"/>
      <c r="CJ511" s="91"/>
      <c r="CK511" s="91"/>
      <c r="CL511" s="6"/>
      <c r="CM511" s="6"/>
      <c r="CN511" s="6"/>
      <c r="CO511" s="6"/>
      <c r="CP511" s="6"/>
      <c r="CQ511" s="6"/>
      <c r="CR511" s="6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8"/>
      <c r="DK511" s="8"/>
      <c r="DL511" s="8"/>
      <c r="DM511" s="8"/>
      <c r="DN511" s="55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83"/>
      <c r="EC511" s="83"/>
      <c r="ED511" s="83"/>
      <c r="EE511" s="83"/>
      <c r="EF511" s="83"/>
      <c r="EG511" s="83"/>
      <c r="EH511" s="83"/>
      <c r="EI511" s="83"/>
      <c r="EJ511" s="83"/>
      <c r="EK511" s="2"/>
      <c r="EO511" s="2"/>
      <c r="ES511" s="58"/>
      <c r="ET511" s="58"/>
      <c r="EU511" s="58"/>
      <c r="EV511" s="58"/>
      <c r="EW511" s="58"/>
      <c r="EX511" s="58"/>
      <c r="EY511" s="58"/>
      <c r="EZ511" s="85"/>
    </row>
    <row r="512" spans="1:156">
      <c r="A512" s="95"/>
      <c r="B512" s="9"/>
      <c r="I512" s="54"/>
      <c r="J512" s="6"/>
      <c r="K512" s="6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90"/>
      <c r="AO512" s="91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91"/>
      <c r="CG512" s="6"/>
      <c r="CH512" s="91"/>
      <c r="CI512" s="91"/>
      <c r="CJ512" s="91"/>
      <c r="CK512" s="91"/>
      <c r="CL512" s="6"/>
      <c r="CM512" s="6"/>
      <c r="CN512" s="6"/>
      <c r="CO512" s="6"/>
      <c r="CP512" s="6"/>
      <c r="CQ512" s="6"/>
      <c r="CR512" s="6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8"/>
      <c r="DK512" s="8"/>
      <c r="DL512" s="8"/>
      <c r="DM512" s="8"/>
      <c r="DN512" s="55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83"/>
      <c r="EC512" s="83"/>
      <c r="ED512" s="83"/>
      <c r="EE512" s="83"/>
      <c r="EF512" s="83"/>
      <c r="EG512" s="83"/>
      <c r="EH512" s="83"/>
      <c r="EI512" s="83"/>
      <c r="EJ512" s="83"/>
      <c r="EK512" s="2"/>
      <c r="EO512" s="2"/>
      <c r="ES512" s="58"/>
      <c r="ET512" s="58"/>
      <c r="EU512" s="58"/>
      <c r="EV512" s="58"/>
      <c r="EW512" s="58"/>
      <c r="EX512" s="58"/>
      <c r="EY512" s="58"/>
      <c r="EZ512" s="85"/>
    </row>
    <row r="513" spans="1:156">
      <c r="A513" s="95"/>
      <c r="B513" s="9"/>
      <c r="I513" s="54"/>
      <c r="J513" s="6"/>
      <c r="K513" s="6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90"/>
      <c r="AO513" s="91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91"/>
      <c r="CG513" s="6"/>
      <c r="CH513" s="91"/>
      <c r="CI513" s="91"/>
      <c r="CJ513" s="91"/>
      <c r="CK513" s="91"/>
      <c r="CL513" s="6"/>
      <c r="CM513" s="6"/>
      <c r="CN513" s="6"/>
      <c r="CO513" s="6"/>
      <c r="CP513" s="6"/>
      <c r="CQ513" s="6"/>
      <c r="CR513" s="6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8"/>
      <c r="DK513" s="8"/>
      <c r="DL513" s="8"/>
      <c r="DM513" s="8"/>
      <c r="DN513" s="55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83"/>
      <c r="EC513" s="83"/>
      <c r="ED513" s="83"/>
      <c r="EE513" s="83"/>
      <c r="EF513" s="83"/>
      <c r="EG513" s="83"/>
      <c r="EH513" s="83"/>
      <c r="EI513" s="83"/>
      <c r="EJ513" s="83"/>
      <c r="EK513" s="2"/>
      <c r="EO513" s="2"/>
      <c r="ES513" s="58"/>
      <c r="ET513" s="58"/>
      <c r="EU513" s="58"/>
      <c r="EV513" s="58"/>
      <c r="EW513" s="58"/>
      <c r="EX513" s="58"/>
      <c r="EY513" s="58"/>
      <c r="EZ513" s="85"/>
    </row>
    <row r="514" spans="1:156">
      <c r="A514" s="95"/>
      <c r="B514" s="9"/>
      <c r="I514" s="54"/>
      <c r="J514" s="6"/>
      <c r="K514" s="6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90"/>
      <c r="AO514" s="91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91"/>
      <c r="CG514" s="6"/>
      <c r="CH514" s="91"/>
      <c r="CI514" s="91"/>
      <c r="CJ514" s="91"/>
      <c r="CK514" s="91"/>
      <c r="CL514" s="6"/>
      <c r="CM514" s="6"/>
      <c r="CN514" s="6"/>
      <c r="CO514" s="6"/>
      <c r="CP514" s="6"/>
      <c r="CQ514" s="6"/>
      <c r="CR514" s="6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8"/>
      <c r="DK514" s="8"/>
      <c r="DL514" s="8"/>
      <c r="DM514" s="8"/>
      <c r="DN514" s="55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83"/>
      <c r="EC514" s="83"/>
      <c r="ED514" s="83"/>
      <c r="EE514" s="83"/>
      <c r="EF514" s="83"/>
      <c r="EG514" s="83"/>
      <c r="EH514" s="83"/>
      <c r="EI514" s="83"/>
      <c r="EJ514" s="83"/>
      <c r="EK514" s="2"/>
      <c r="EO514" s="2"/>
      <c r="ES514" s="58"/>
      <c r="ET514" s="58"/>
      <c r="EU514" s="58"/>
      <c r="EV514" s="58"/>
      <c r="EW514" s="58"/>
      <c r="EX514" s="58"/>
      <c r="EY514" s="58"/>
      <c r="EZ514" s="85"/>
    </row>
    <row r="515" spans="1:156">
      <c r="A515" s="95"/>
      <c r="B515" s="9"/>
      <c r="I515" s="54"/>
      <c r="J515" s="6"/>
      <c r="K515" s="6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90"/>
      <c r="AO515" s="91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91"/>
      <c r="CG515" s="6"/>
      <c r="CH515" s="91"/>
      <c r="CI515" s="91"/>
      <c r="CJ515" s="91"/>
      <c r="CK515" s="91"/>
      <c r="CL515" s="6"/>
      <c r="CM515" s="6"/>
      <c r="CN515" s="6"/>
      <c r="CO515" s="6"/>
      <c r="CP515" s="6"/>
      <c r="CQ515" s="6"/>
      <c r="CR515" s="6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8"/>
      <c r="DK515" s="8"/>
      <c r="DL515" s="8"/>
      <c r="DM515" s="8"/>
      <c r="DN515" s="55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83"/>
      <c r="EC515" s="83"/>
      <c r="ED515" s="83"/>
      <c r="EE515" s="83"/>
      <c r="EF515" s="83"/>
      <c r="EG515" s="83"/>
      <c r="EH515" s="83"/>
      <c r="EI515" s="83"/>
      <c r="EJ515" s="83"/>
      <c r="EK515" s="2"/>
      <c r="EO515" s="2"/>
      <c r="ES515" s="58"/>
      <c r="ET515" s="58"/>
      <c r="EU515" s="58"/>
      <c r="EV515" s="58"/>
      <c r="EW515" s="58"/>
      <c r="EX515" s="58"/>
      <c r="EY515" s="58"/>
      <c r="EZ515" s="85"/>
    </row>
    <row r="516" spans="1:156">
      <c r="A516" s="95"/>
      <c r="B516" s="9"/>
      <c r="I516" s="54"/>
      <c r="J516" s="6"/>
      <c r="K516" s="6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90"/>
      <c r="AO516" s="91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91"/>
      <c r="CG516" s="6"/>
      <c r="CH516" s="91"/>
      <c r="CI516" s="91"/>
      <c r="CJ516" s="91"/>
      <c r="CK516" s="91"/>
      <c r="CL516" s="6"/>
      <c r="CM516" s="6"/>
      <c r="CN516" s="6"/>
      <c r="CO516" s="6"/>
      <c r="CP516" s="6"/>
      <c r="CQ516" s="6"/>
      <c r="CR516" s="6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8"/>
      <c r="DK516" s="8"/>
      <c r="DL516" s="8"/>
      <c r="DM516" s="8"/>
      <c r="DN516" s="55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83"/>
      <c r="EC516" s="83"/>
      <c r="ED516" s="83"/>
      <c r="EE516" s="83"/>
      <c r="EF516" s="83"/>
      <c r="EG516" s="83"/>
      <c r="EH516" s="83"/>
      <c r="EI516" s="83"/>
      <c r="EJ516" s="83"/>
      <c r="EK516" s="2"/>
      <c r="EO516" s="2"/>
      <c r="ES516" s="58"/>
      <c r="ET516" s="58"/>
      <c r="EU516" s="58"/>
      <c r="EV516" s="58"/>
      <c r="EW516" s="58"/>
      <c r="EX516" s="58"/>
      <c r="EY516" s="58"/>
      <c r="EZ516" s="85"/>
    </row>
    <row r="517" spans="1:156">
      <c r="A517" s="95"/>
      <c r="B517" s="9"/>
      <c r="I517" s="54"/>
      <c r="J517" s="6"/>
      <c r="K517" s="6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90"/>
      <c r="AO517" s="91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91"/>
      <c r="CG517" s="6"/>
      <c r="CH517" s="91"/>
      <c r="CI517" s="91"/>
      <c r="CJ517" s="91"/>
      <c r="CK517" s="91"/>
      <c r="CL517" s="6"/>
      <c r="CM517" s="6"/>
      <c r="CN517" s="6"/>
      <c r="CO517" s="6"/>
      <c r="CP517" s="6"/>
      <c r="CQ517" s="6"/>
      <c r="CR517" s="6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8"/>
      <c r="DK517" s="8"/>
      <c r="DL517" s="8"/>
      <c r="DM517" s="8"/>
      <c r="DN517" s="55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83"/>
      <c r="EC517" s="83"/>
      <c r="ED517" s="83"/>
      <c r="EE517" s="83"/>
      <c r="EF517" s="83"/>
      <c r="EG517" s="83"/>
      <c r="EH517" s="83"/>
      <c r="EI517" s="83"/>
      <c r="EJ517" s="83"/>
      <c r="EK517" s="2"/>
      <c r="EO517" s="2"/>
      <c r="ES517" s="58"/>
      <c r="ET517" s="58"/>
      <c r="EU517" s="58"/>
      <c r="EV517" s="58"/>
      <c r="EW517" s="58"/>
      <c r="EX517" s="58"/>
      <c r="EY517" s="58"/>
      <c r="EZ517" s="85"/>
    </row>
    <row r="518" spans="1:156">
      <c r="A518" s="95"/>
      <c r="B518" s="9"/>
      <c r="I518" s="54"/>
      <c r="J518" s="6"/>
      <c r="K518" s="6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90"/>
      <c r="AO518" s="91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91"/>
      <c r="CG518" s="6"/>
      <c r="CH518" s="91"/>
      <c r="CI518" s="91"/>
      <c r="CJ518" s="91"/>
      <c r="CK518" s="91"/>
      <c r="CL518" s="6"/>
      <c r="CM518" s="6"/>
      <c r="CN518" s="6"/>
      <c r="CO518" s="6"/>
      <c r="CP518" s="6"/>
      <c r="CQ518" s="6"/>
      <c r="CR518" s="6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8"/>
      <c r="DK518" s="8"/>
      <c r="DL518" s="8"/>
      <c r="DM518" s="8"/>
      <c r="DN518" s="55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83"/>
      <c r="EC518" s="83"/>
      <c r="ED518" s="83"/>
      <c r="EE518" s="83"/>
      <c r="EF518" s="83"/>
      <c r="EG518" s="83"/>
      <c r="EH518" s="83"/>
      <c r="EI518" s="83"/>
      <c r="EJ518" s="83"/>
      <c r="EK518" s="2"/>
      <c r="EO518" s="2"/>
      <c r="ES518" s="58"/>
      <c r="ET518" s="58"/>
      <c r="EU518" s="58"/>
      <c r="EV518" s="58"/>
      <c r="EW518" s="58"/>
      <c r="EX518" s="58"/>
      <c r="EY518" s="58"/>
      <c r="EZ518" s="85"/>
    </row>
    <row r="519" spans="1:156">
      <c r="A519" s="95"/>
      <c r="B519" s="9"/>
      <c r="I519" s="54"/>
      <c r="J519" s="6"/>
      <c r="K519" s="6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90"/>
      <c r="AO519" s="91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91"/>
      <c r="CG519" s="6"/>
      <c r="CH519" s="91"/>
      <c r="CI519" s="91"/>
      <c r="CJ519" s="91"/>
      <c r="CK519" s="91"/>
      <c r="CL519" s="6"/>
      <c r="CM519" s="6"/>
      <c r="CN519" s="6"/>
      <c r="CO519" s="6"/>
      <c r="CP519" s="6"/>
      <c r="CQ519" s="6"/>
      <c r="CR519" s="6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8"/>
      <c r="DK519" s="8"/>
      <c r="DL519" s="8"/>
      <c r="DM519" s="8"/>
      <c r="DN519" s="55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83"/>
      <c r="EC519" s="83"/>
      <c r="ED519" s="83"/>
      <c r="EE519" s="83"/>
      <c r="EF519" s="83"/>
      <c r="EG519" s="83"/>
      <c r="EH519" s="83"/>
      <c r="EI519" s="83"/>
      <c r="EJ519" s="83"/>
      <c r="EK519" s="2"/>
      <c r="EO519" s="2"/>
      <c r="ES519" s="58"/>
      <c r="ET519" s="58"/>
      <c r="EU519" s="58"/>
      <c r="EV519" s="58"/>
      <c r="EW519" s="58"/>
      <c r="EX519" s="58"/>
      <c r="EY519" s="58"/>
      <c r="EZ519" s="85"/>
    </row>
    <row r="520" spans="1:156">
      <c r="A520" s="95"/>
      <c r="B520" s="9"/>
      <c r="I520" s="54"/>
      <c r="J520" s="6"/>
      <c r="K520" s="6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90"/>
      <c r="AO520" s="91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91"/>
      <c r="CG520" s="6"/>
      <c r="CH520" s="91"/>
      <c r="CI520" s="91"/>
      <c r="CJ520" s="91"/>
      <c r="CK520" s="91"/>
      <c r="CL520" s="6"/>
      <c r="CM520" s="6"/>
      <c r="CN520" s="6"/>
      <c r="CO520" s="6"/>
      <c r="CP520" s="6"/>
      <c r="CQ520" s="6"/>
      <c r="CR520" s="6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8"/>
      <c r="DK520" s="8"/>
      <c r="DL520" s="8"/>
      <c r="DM520" s="8"/>
      <c r="DN520" s="55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83"/>
      <c r="EC520" s="83"/>
      <c r="ED520" s="83"/>
      <c r="EE520" s="83"/>
      <c r="EF520" s="83"/>
      <c r="EG520" s="83"/>
      <c r="EH520" s="83"/>
      <c r="EI520" s="83"/>
      <c r="EJ520" s="83"/>
      <c r="EK520" s="2"/>
      <c r="EO520" s="2"/>
      <c r="ES520" s="58"/>
      <c r="ET520" s="58"/>
      <c r="EU520" s="58"/>
      <c r="EV520" s="58"/>
      <c r="EW520" s="58"/>
      <c r="EX520" s="58"/>
      <c r="EY520" s="58"/>
      <c r="EZ520" s="85"/>
    </row>
    <row r="521" spans="1:156">
      <c r="A521" s="95"/>
      <c r="B521" s="9"/>
      <c r="I521" s="54"/>
      <c r="J521" s="6"/>
      <c r="K521" s="6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90"/>
      <c r="AO521" s="91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91"/>
      <c r="CG521" s="6"/>
      <c r="CH521" s="91"/>
      <c r="CI521" s="91"/>
      <c r="CJ521" s="91"/>
      <c r="CK521" s="91"/>
      <c r="CL521" s="6"/>
      <c r="CM521" s="6"/>
      <c r="CN521" s="6"/>
      <c r="CO521" s="6"/>
      <c r="CP521" s="6"/>
      <c r="CQ521" s="6"/>
      <c r="CR521" s="6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8"/>
      <c r="DK521" s="8"/>
      <c r="DL521" s="8"/>
      <c r="DM521" s="8"/>
      <c r="DN521" s="55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83"/>
      <c r="EC521" s="83"/>
      <c r="ED521" s="83"/>
      <c r="EE521" s="83"/>
      <c r="EF521" s="83"/>
      <c r="EG521" s="83"/>
      <c r="EH521" s="83"/>
      <c r="EI521" s="83"/>
      <c r="EJ521" s="83"/>
      <c r="EK521" s="2"/>
      <c r="EO521" s="2"/>
      <c r="ES521" s="58"/>
      <c r="ET521" s="58"/>
      <c r="EU521" s="58"/>
      <c r="EV521" s="58"/>
      <c r="EW521" s="58"/>
      <c r="EX521" s="58"/>
      <c r="EY521" s="58"/>
      <c r="EZ521" s="85"/>
    </row>
    <row r="522" spans="1:156">
      <c r="A522" s="95"/>
      <c r="B522" s="9"/>
      <c r="I522" s="54"/>
      <c r="J522" s="6"/>
      <c r="K522" s="6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90"/>
      <c r="AO522" s="91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91"/>
      <c r="CG522" s="6"/>
      <c r="CH522" s="91"/>
      <c r="CI522" s="91"/>
      <c r="CJ522" s="91"/>
      <c r="CK522" s="91"/>
      <c r="CL522" s="6"/>
      <c r="CM522" s="6"/>
      <c r="CN522" s="6"/>
      <c r="CO522" s="6"/>
      <c r="CP522" s="6"/>
      <c r="CQ522" s="6"/>
      <c r="CR522" s="6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8"/>
      <c r="DK522" s="8"/>
      <c r="DL522" s="8"/>
      <c r="DM522" s="8"/>
      <c r="DN522" s="55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83"/>
      <c r="EC522" s="83"/>
      <c r="ED522" s="83"/>
      <c r="EE522" s="83"/>
      <c r="EF522" s="83"/>
      <c r="EG522" s="83"/>
      <c r="EH522" s="83"/>
      <c r="EI522" s="83"/>
      <c r="EJ522" s="83"/>
      <c r="EK522" s="2"/>
      <c r="EO522" s="2"/>
      <c r="ES522" s="58"/>
      <c r="ET522" s="58"/>
      <c r="EU522" s="58"/>
      <c r="EV522" s="58"/>
      <c r="EW522" s="58"/>
      <c r="EX522" s="58"/>
      <c r="EY522" s="58"/>
      <c r="EZ522" s="85"/>
    </row>
    <row r="523" spans="1:156">
      <c r="A523" s="95"/>
      <c r="B523" s="9"/>
      <c r="I523" s="54"/>
      <c r="J523" s="6"/>
      <c r="K523" s="6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90"/>
      <c r="AO523" s="91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91"/>
      <c r="CG523" s="6"/>
      <c r="CH523" s="91"/>
      <c r="CI523" s="91"/>
      <c r="CJ523" s="91"/>
      <c r="CK523" s="91"/>
      <c r="CL523" s="6"/>
      <c r="CM523" s="6"/>
      <c r="CN523" s="6"/>
      <c r="CO523" s="6"/>
      <c r="CP523" s="6"/>
      <c r="CQ523" s="6"/>
      <c r="CR523" s="6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8"/>
      <c r="DK523" s="8"/>
      <c r="DL523" s="8"/>
      <c r="DM523" s="8"/>
      <c r="DN523" s="55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83"/>
      <c r="EC523" s="83"/>
      <c r="ED523" s="83"/>
      <c r="EE523" s="83"/>
      <c r="EF523" s="83"/>
      <c r="EG523" s="83"/>
      <c r="EH523" s="83"/>
      <c r="EI523" s="83"/>
      <c r="EJ523" s="83"/>
      <c r="EK523" s="2"/>
      <c r="EO523" s="2"/>
      <c r="ES523" s="58"/>
      <c r="ET523" s="58"/>
      <c r="EU523" s="58"/>
      <c r="EV523" s="58"/>
      <c r="EW523" s="58"/>
      <c r="EX523" s="58"/>
      <c r="EY523" s="58"/>
      <c r="EZ523" s="85"/>
    </row>
    <row r="524" spans="1:156">
      <c r="A524" s="95"/>
      <c r="B524" s="9"/>
      <c r="I524" s="54"/>
      <c r="J524" s="6"/>
      <c r="K524" s="6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90"/>
      <c r="AO524" s="91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91"/>
      <c r="CG524" s="6"/>
      <c r="CH524" s="91"/>
      <c r="CI524" s="91"/>
      <c r="CJ524" s="91"/>
      <c r="CK524" s="91"/>
      <c r="CL524" s="6"/>
      <c r="CM524" s="6"/>
      <c r="CN524" s="6"/>
      <c r="CO524" s="6"/>
      <c r="CP524" s="6"/>
      <c r="CQ524" s="6"/>
      <c r="CR524" s="6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8"/>
      <c r="DK524" s="8"/>
      <c r="DL524" s="8"/>
      <c r="DM524" s="8"/>
      <c r="DN524" s="55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83"/>
      <c r="EC524" s="83"/>
      <c r="ED524" s="83"/>
      <c r="EE524" s="83"/>
      <c r="EF524" s="83"/>
      <c r="EG524" s="83"/>
      <c r="EH524" s="83"/>
      <c r="EI524" s="83"/>
      <c r="EJ524" s="83"/>
      <c r="EK524" s="2"/>
      <c r="EO524" s="2"/>
      <c r="ES524" s="58"/>
      <c r="ET524" s="58"/>
      <c r="EU524" s="58"/>
      <c r="EV524" s="58"/>
      <c r="EW524" s="58"/>
      <c r="EX524" s="58"/>
      <c r="EY524" s="58"/>
      <c r="EZ524" s="85"/>
    </row>
    <row r="525" spans="1:156">
      <c r="A525" s="95"/>
      <c r="B525" s="9"/>
      <c r="I525" s="54"/>
      <c r="J525" s="6"/>
      <c r="K525" s="6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90"/>
      <c r="AO525" s="91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91"/>
      <c r="CG525" s="6"/>
      <c r="CH525" s="91"/>
      <c r="CI525" s="91"/>
      <c r="CJ525" s="91"/>
      <c r="CK525" s="91"/>
      <c r="CL525" s="6"/>
      <c r="CM525" s="6"/>
      <c r="CN525" s="6"/>
      <c r="CO525" s="6"/>
      <c r="CP525" s="6"/>
      <c r="CQ525" s="6"/>
      <c r="CR525" s="6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8"/>
      <c r="DK525" s="8"/>
      <c r="DL525" s="8"/>
      <c r="DM525" s="8"/>
      <c r="DN525" s="55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83"/>
      <c r="EC525" s="83"/>
      <c r="ED525" s="83"/>
      <c r="EE525" s="83"/>
      <c r="EF525" s="83"/>
      <c r="EG525" s="83"/>
      <c r="EH525" s="83"/>
      <c r="EI525" s="83"/>
      <c r="EJ525" s="83"/>
      <c r="EK525" s="2"/>
      <c r="EO525" s="2"/>
      <c r="ES525" s="58"/>
      <c r="ET525" s="58"/>
      <c r="EU525" s="58"/>
      <c r="EV525" s="58"/>
      <c r="EW525" s="58"/>
      <c r="EX525" s="58"/>
      <c r="EY525" s="58"/>
      <c r="EZ525" s="85"/>
    </row>
    <row r="526" spans="1:156">
      <c r="A526" s="95"/>
      <c r="B526" s="9"/>
      <c r="I526" s="54"/>
      <c r="J526" s="6"/>
      <c r="K526" s="6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90"/>
      <c r="AO526" s="91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91"/>
      <c r="CG526" s="6"/>
      <c r="CH526" s="91"/>
      <c r="CI526" s="91"/>
      <c r="CJ526" s="91"/>
      <c r="CK526" s="91"/>
      <c r="CL526" s="6"/>
      <c r="CM526" s="6"/>
      <c r="CN526" s="6"/>
      <c r="CO526" s="6"/>
      <c r="CP526" s="6"/>
      <c r="CQ526" s="6"/>
      <c r="CR526" s="6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8"/>
      <c r="DK526" s="8"/>
      <c r="DL526" s="8"/>
      <c r="DM526" s="8"/>
      <c r="DN526" s="55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83"/>
      <c r="EC526" s="83"/>
      <c r="ED526" s="83"/>
      <c r="EE526" s="83"/>
      <c r="EF526" s="83"/>
      <c r="EG526" s="83"/>
      <c r="EH526" s="83"/>
      <c r="EI526" s="83"/>
      <c r="EJ526" s="83"/>
      <c r="EK526" s="2"/>
      <c r="EO526" s="2"/>
      <c r="ES526" s="58"/>
      <c r="ET526" s="58"/>
      <c r="EU526" s="58"/>
      <c r="EV526" s="58"/>
      <c r="EW526" s="58"/>
      <c r="EX526" s="58"/>
      <c r="EY526" s="58"/>
      <c r="EZ526" s="85"/>
    </row>
    <row r="527" spans="1:156">
      <c r="A527" s="95"/>
      <c r="B527" s="9"/>
      <c r="I527" s="54"/>
      <c r="J527" s="6"/>
      <c r="K527" s="6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90"/>
      <c r="AO527" s="91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91"/>
      <c r="CG527" s="6"/>
      <c r="CH527" s="91"/>
      <c r="CI527" s="91"/>
      <c r="CJ527" s="91"/>
      <c r="CK527" s="91"/>
      <c r="CL527" s="6"/>
      <c r="CM527" s="6"/>
      <c r="CN527" s="6"/>
      <c r="CO527" s="6"/>
      <c r="CP527" s="6"/>
      <c r="CQ527" s="6"/>
      <c r="CR527" s="6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8"/>
      <c r="DK527" s="8"/>
      <c r="DL527" s="8"/>
      <c r="DM527" s="8"/>
      <c r="DN527" s="55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83"/>
      <c r="EC527" s="83"/>
      <c r="ED527" s="83"/>
      <c r="EE527" s="83"/>
      <c r="EF527" s="83"/>
      <c r="EG527" s="83"/>
      <c r="EH527" s="83"/>
      <c r="EI527" s="83"/>
      <c r="EJ527" s="83"/>
      <c r="EK527" s="2"/>
      <c r="EO527" s="2"/>
      <c r="ES527" s="58"/>
      <c r="ET527" s="58"/>
      <c r="EU527" s="58"/>
      <c r="EV527" s="58"/>
      <c r="EW527" s="58"/>
      <c r="EX527" s="58"/>
      <c r="EY527" s="58"/>
      <c r="EZ527" s="85"/>
    </row>
    <row r="528" spans="1:156">
      <c r="A528" s="95"/>
      <c r="B528" s="9"/>
      <c r="I528" s="54"/>
      <c r="J528" s="6"/>
      <c r="K528" s="6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90"/>
      <c r="AO528" s="91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91"/>
      <c r="CG528" s="6"/>
      <c r="CH528" s="91"/>
      <c r="CI528" s="91"/>
      <c r="CJ528" s="91"/>
      <c r="CK528" s="91"/>
      <c r="CL528" s="6"/>
      <c r="CM528" s="6"/>
      <c r="CN528" s="6"/>
      <c r="CO528" s="6"/>
      <c r="CP528" s="6"/>
      <c r="CQ528" s="6"/>
      <c r="CR528" s="6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8"/>
      <c r="DK528" s="8"/>
      <c r="DL528" s="8"/>
      <c r="DM528" s="8"/>
      <c r="DN528" s="55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83"/>
      <c r="EC528" s="83"/>
      <c r="ED528" s="83"/>
      <c r="EE528" s="83"/>
      <c r="EF528" s="83"/>
      <c r="EG528" s="83"/>
      <c r="EH528" s="83"/>
      <c r="EI528" s="83"/>
      <c r="EJ528" s="83"/>
      <c r="EK528" s="2"/>
      <c r="EO528" s="2"/>
      <c r="ES528" s="58"/>
      <c r="ET528" s="58"/>
      <c r="EU528" s="58"/>
      <c r="EV528" s="58"/>
      <c r="EW528" s="58"/>
      <c r="EX528" s="58"/>
      <c r="EY528" s="58"/>
      <c r="EZ528" s="85"/>
    </row>
    <row r="529" spans="1:156">
      <c r="A529" s="95"/>
      <c r="B529" s="9"/>
      <c r="I529" s="54"/>
      <c r="J529" s="6"/>
      <c r="K529" s="6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90"/>
      <c r="AO529" s="91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91"/>
      <c r="CG529" s="6"/>
      <c r="CH529" s="91"/>
      <c r="CI529" s="91"/>
      <c r="CJ529" s="91"/>
      <c r="CK529" s="91"/>
      <c r="CL529" s="6"/>
      <c r="CM529" s="6"/>
      <c r="CN529" s="6"/>
      <c r="CO529" s="6"/>
      <c r="CP529" s="6"/>
      <c r="CQ529" s="6"/>
      <c r="CR529" s="6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8"/>
      <c r="DK529" s="8"/>
      <c r="DL529" s="8"/>
      <c r="DM529" s="8"/>
      <c r="DN529" s="55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83"/>
      <c r="EC529" s="83"/>
      <c r="ED529" s="83"/>
      <c r="EE529" s="83"/>
      <c r="EF529" s="83"/>
      <c r="EG529" s="83"/>
      <c r="EH529" s="83"/>
      <c r="EI529" s="83"/>
      <c r="EJ529" s="83"/>
      <c r="EK529" s="2"/>
      <c r="EO529" s="2"/>
      <c r="ES529" s="58"/>
      <c r="ET529" s="58"/>
      <c r="EU529" s="58"/>
      <c r="EV529" s="58"/>
      <c r="EW529" s="58"/>
      <c r="EX529" s="58"/>
      <c r="EY529" s="58"/>
      <c r="EZ529" s="85"/>
    </row>
    <row r="530" spans="1:156">
      <c r="A530" s="95"/>
      <c r="B530" s="9"/>
      <c r="I530" s="54"/>
      <c r="J530" s="6"/>
      <c r="K530" s="6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90"/>
      <c r="AO530" s="91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91"/>
      <c r="CG530" s="6"/>
      <c r="CH530" s="91"/>
      <c r="CI530" s="91"/>
      <c r="CJ530" s="91"/>
      <c r="CK530" s="91"/>
      <c r="CL530" s="6"/>
      <c r="CM530" s="6"/>
      <c r="CN530" s="6"/>
      <c r="CO530" s="6"/>
      <c r="CP530" s="6"/>
      <c r="CQ530" s="6"/>
      <c r="CR530" s="6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8"/>
      <c r="DK530" s="8"/>
      <c r="DL530" s="8"/>
      <c r="DM530" s="8"/>
      <c r="DN530" s="55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83"/>
      <c r="EC530" s="83"/>
      <c r="ED530" s="83"/>
      <c r="EE530" s="83"/>
      <c r="EF530" s="83"/>
      <c r="EG530" s="83"/>
      <c r="EH530" s="83"/>
      <c r="EI530" s="83"/>
      <c r="EJ530" s="83"/>
      <c r="EK530" s="2"/>
      <c r="EO530" s="2"/>
      <c r="ES530" s="58"/>
      <c r="ET530" s="58"/>
      <c r="EU530" s="58"/>
      <c r="EV530" s="58"/>
      <c r="EW530" s="58"/>
      <c r="EX530" s="58"/>
      <c r="EY530" s="58"/>
      <c r="EZ530" s="85"/>
    </row>
    <row r="531" spans="1:156">
      <c r="A531" s="95"/>
      <c r="B531" s="9"/>
      <c r="I531" s="54"/>
      <c r="J531" s="6"/>
      <c r="K531" s="6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90"/>
      <c r="AO531" s="91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91"/>
      <c r="CG531" s="6"/>
      <c r="CH531" s="91"/>
      <c r="CI531" s="91"/>
      <c r="CJ531" s="91"/>
      <c r="CK531" s="91"/>
      <c r="CL531" s="6"/>
      <c r="CM531" s="6"/>
      <c r="CN531" s="6"/>
      <c r="CO531" s="6"/>
      <c r="CP531" s="6"/>
      <c r="CQ531" s="6"/>
      <c r="CR531" s="6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8"/>
      <c r="DK531" s="8"/>
      <c r="DL531" s="8"/>
      <c r="DM531" s="8"/>
      <c r="DN531" s="55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83"/>
      <c r="EC531" s="83"/>
      <c r="ED531" s="83"/>
      <c r="EE531" s="83"/>
      <c r="EF531" s="83"/>
      <c r="EG531" s="83"/>
      <c r="EH531" s="83"/>
      <c r="EI531" s="83"/>
      <c r="EJ531" s="83"/>
      <c r="EK531" s="2"/>
      <c r="EO531" s="2"/>
      <c r="ES531" s="58"/>
      <c r="ET531" s="58"/>
      <c r="EU531" s="58"/>
      <c r="EV531" s="58"/>
      <c r="EW531" s="58"/>
      <c r="EX531" s="58"/>
      <c r="EY531" s="58"/>
      <c r="EZ531" s="85"/>
    </row>
    <row r="532" spans="1:156">
      <c r="A532" s="95"/>
      <c r="B532" s="9"/>
      <c r="I532" s="54"/>
      <c r="J532" s="6"/>
      <c r="K532" s="6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90"/>
      <c r="AO532" s="91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91"/>
      <c r="CG532" s="6"/>
      <c r="CH532" s="91"/>
      <c r="CI532" s="91"/>
      <c r="CJ532" s="91"/>
      <c r="CK532" s="91"/>
      <c r="CL532" s="6"/>
      <c r="CM532" s="6"/>
      <c r="CN532" s="6"/>
      <c r="CO532" s="6"/>
      <c r="CP532" s="6"/>
      <c r="CQ532" s="6"/>
      <c r="CR532" s="6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8"/>
      <c r="DK532" s="8"/>
      <c r="DL532" s="8"/>
      <c r="DM532" s="8"/>
      <c r="DN532" s="55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83"/>
      <c r="EC532" s="83"/>
      <c r="ED532" s="83"/>
      <c r="EE532" s="83"/>
      <c r="EF532" s="83"/>
      <c r="EG532" s="83"/>
      <c r="EH532" s="83"/>
      <c r="EI532" s="83"/>
      <c r="EJ532" s="83"/>
      <c r="EK532" s="2"/>
      <c r="EO532" s="2"/>
      <c r="ES532" s="58"/>
      <c r="ET532" s="58"/>
      <c r="EU532" s="58"/>
      <c r="EV532" s="58"/>
      <c r="EW532" s="58"/>
      <c r="EX532" s="58"/>
      <c r="EY532" s="58"/>
      <c r="EZ532" s="85"/>
    </row>
    <row r="533" spans="1:156">
      <c r="A533" s="95"/>
      <c r="B533" s="9"/>
      <c r="I533" s="54"/>
      <c r="J533" s="6"/>
      <c r="K533" s="6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90"/>
      <c r="AO533" s="91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91"/>
      <c r="CG533" s="6"/>
      <c r="CH533" s="91"/>
      <c r="CI533" s="91"/>
      <c r="CJ533" s="91"/>
      <c r="CK533" s="91"/>
      <c r="CL533" s="6"/>
      <c r="CM533" s="6"/>
      <c r="CN533" s="6"/>
      <c r="CO533" s="6"/>
      <c r="CP533" s="6"/>
      <c r="CQ533" s="6"/>
      <c r="CR533" s="6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8"/>
      <c r="DK533" s="8"/>
      <c r="DL533" s="8"/>
      <c r="DM533" s="8"/>
      <c r="DN533" s="55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83"/>
      <c r="EC533" s="83"/>
      <c r="ED533" s="83"/>
      <c r="EE533" s="83"/>
      <c r="EF533" s="83"/>
      <c r="EG533" s="83"/>
      <c r="EH533" s="83"/>
      <c r="EI533" s="83"/>
      <c r="EJ533" s="83"/>
      <c r="EK533" s="2"/>
      <c r="EO533" s="2"/>
      <c r="ES533" s="58"/>
      <c r="ET533" s="58"/>
      <c r="EU533" s="58"/>
      <c r="EV533" s="58"/>
      <c r="EW533" s="58"/>
      <c r="EX533" s="58"/>
      <c r="EY533" s="58"/>
      <c r="EZ533" s="85"/>
    </row>
    <row r="534" spans="1:156">
      <c r="A534" s="95"/>
      <c r="B534" s="9"/>
      <c r="I534" s="54"/>
      <c r="J534" s="6"/>
      <c r="K534" s="6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90"/>
      <c r="AO534" s="91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91"/>
      <c r="CG534" s="6"/>
      <c r="CH534" s="91"/>
      <c r="CI534" s="91"/>
      <c r="CJ534" s="91"/>
      <c r="CK534" s="91"/>
      <c r="CL534" s="6"/>
      <c r="CM534" s="6"/>
      <c r="CN534" s="6"/>
      <c r="CO534" s="6"/>
      <c r="CP534" s="6"/>
      <c r="CQ534" s="6"/>
      <c r="CR534" s="6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8"/>
      <c r="DK534" s="8"/>
      <c r="DL534" s="8"/>
      <c r="DM534" s="8"/>
      <c r="DN534" s="55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83"/>
      <c r="EC534" s="83"/>
      <c r="ED534" s="83"/>
      <c r="EE534" s="83"/>
      <c r="EF534" s="83"/>
      <c r="EG534" s="83"/>
      <c r="EH534" s="83"/>
      <c r="EI534" s="83"/>
      <c r="EJ534" s="83"/>
      <c r="EK534" s="2"/>
      <c r="EO534" s="2"/>
      <c r="ES534" s="58"/>
      <c r="ET534" s="58"/>
      <c r="EU534" s="58"/>
      <c r="EV534" s="58"/>
      <c r="EW534" s="58"/>
      <c r="EX534" s="58"/>
      <c r="EY534" s="58"/>
      <c r="EZ534" s="85"/>
    </row>
    <row r="535" spans="1:156">
      <c r="A535" s="95"/>
      <c r="B535" s="9"/>
      <c r="I535" s="54"/>
      <c r="J535" s="6"/>
      <c r="K535" s="6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90"/>
      <c r="AO535" s="91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91"/>
      <c r="CG535" s="6"/>
      <c r="CH535" s="91"/>
      <c r="CI535" s="91"/>
      <c r="CJ535" s="91"/>
      <c r="CK535" s="91"/>
      <c r="CL535" s="6"/>
      <c r="CM535" s="6"/>
      <c r="CN535" s="6"/>
      <c r="CO535" s="6"/>
      <c r="CP535" s="6"/>
      <c r="CQ535" s="6"/>
      <c r="CR535" s="6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8"/>
      <c r="DK535" s="8"/>
      <c r="DL535" s="8"/>
      <c r="DM535" s="8"/>
      <c r="DN535" s="55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83"/>
      <c r="EC535" s="83"/>
      <c r="ED535" s="83"/>
      <c r="EE535" s="83"/>
      <c r="EF535" s="83"/>
      <c r="EG535" s="83"/>
      <c r="EH535" s="83"/>
      <c r="EI535" s="83"/>
      <c r="EJ535" s="83"/>
      <c r="EK535" s="2"/>
      <c r="EO535" s="2"/>
      <c r="ES535" s="58"/>
      <c r="ET535" s="58"/>
      <c r="EU535" s="58"/>
      <c r="EV535" s="58"/>
      <c r="EW535" s="58"/>
      <c r="EX535" s="58"/>
      <c r="EY535" s="58"/>
      <c r="EZ535" s="85"/>
    </row>
    <row r="536" spans="1:156">
      <c r="A536" s="95"/>
      <c r="B536" s="9"/>
      <c r="I536" s="54"/>
      <c r="J536" s="6"/>
      <c r="K536" s="6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90"/>
      <c r="AO536" s="91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91"/>
      <c r="CG536" s="6"/>
      <c r="CH536" s="91"/>
      <c r="CI536" s="91"/>
      <c r="CJ536" s="91"/>
      <c r="CK536" s="91"/>
      <c r="CL536" s="6"/>
      <c r="CM536" s="6"/>
      <c r="CN536" s="6"/>
      <c r="CO536" s="6"/>
      <c r="CP536" s="6"/>
      <c r="CQ536" s="6"/>
      <c r="CR536" s="6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8"/>
      <c r="DK536" s="8"/>
      <c r="DL536" s="8"/>
      <c r="DM536" s="8"/>
      <c r="DN536" s="55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83"/>
      <c r="EC536" s="83"/>
      <c r="ED536" s="83"/>
      <c r="EE536" s="83"/>
      <c r="EF536" s="83"/>
      <c r="EG536" s="83"/>
      <c r="EH536" s="83"/>
      <c r="EI536" s="83"/>
      <c r="EJ536" s="83"/>
      <c r="EK536" s="2"/>
      <c r="EO536" s="2"/>
      <c r="ES536" s="58"/>
      <c r="ET536" s="58"/>
      <c r="EU536" s="58"/>
      <c r="EV536" s="58"/>
      <c r="EW536" s="58"/>
      <c r="EX536" s="58"/>
      <c r="EY536" s="58"/>
      <c r="EZ536" s="85"/>
    </row>
    <row r="537" spans="1:156">
      <c r="A537" s="95"/>
      <c r="B537" s="9"/>
      <c r="I537" s="54"/>
      <c r="J537" s="6"/>
      <c r="K537" s="6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90"/>
      <c r="AO537" s="91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91"/>
      <c r="CG537" s="6"/>
      <c r="CH537" s="91"/>
      <c r="CI537" s="91"/>
      <c r="CJ537" s="91"/>
      <c r="CK537" s="91"/>
      <c r="CL537" s="6"/>
      <c r="CM537" s="6"/>
      <c r="CN537" s="6"/>
      <c r="CO537" s="6"/>
      <c r="CP537" s="6"/>
      <c r="CQ537" s="6"/>
      <c r="CR537" s="6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8"/>
      <c r="DK537" s="8"/>
      <c r="DL537" s="8"/>
      <c r="DM537" s="8"/>
      <c r="DN537" s="55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83"/>
      <c r="EC537" s="83"/>
      <c r="ED537" s="83"/>
      <c r="EE537" s="83"/>
      <c r="EF537" s="83"/>
      <c r="EG537" s="83"/>
      <c r="EH537" s="83"/>
      <c r="EI537" s="83"/>
      <c r="EJ537" s="83"/>
      <c r="EK537" s="2"/>
      <c r="EO537" s="2"/>
      <c r="ES537" s="58"/>
      <c r="ET537" s="58"/>
      <c r="EU537" s="58"/>
      <c r="EV537" s="58"/>
      <c r="EW537" s="58"/>
      <c r="EX537" s="58"/>
      <c r="EY537" s="58"/>
      <c r="EZ537" s="85"/>
    </row>
    <row r="538" spans="1:156">
      <c r="A538" s="95"/>
      <c r="B538" s="9"/>
      <c r="I538" s="54"/>
      <c r="J538" s="6"/>
      <c r="K538" s="6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90"/>
      <c r="AO538" s="91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91"/>
      <c r="CG538" s="6"/>
      <c r="CH538" s="91"/>
      <c r="CI538" s="91"/>
      <c r="CJ538" s="91"/>
      <c r="CK538" s="91"/>
      <c r="CL538" s="6"/>
      <c r="CM538" s="6"/>
      <c r="CN538" s="6"/>
      <c r="CO538" s="6"/>
      <c r="CP538" s="6"/>
      <c r="CQ538" s="6"/>
      <c r="CR538" s="6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8"/>
      <c r="DK538" s="8"/>
      <c r="DL538" s="8"/>
      <c r="DM538" s="8"/>
      <c r="DN538" s="55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83"/>
      <c r="EC538" s="83"/>
      <c r="ED538" s="83"/>
      <c r="EE538" s="83"/>
      <c r="EF538" s="83"/>
      <c r="EG538" s="83"/>
      <c r="EH538" s="83"/>
      <c r="EI538" s="83"/>
      <c r="EJ538" s="83"/>
      <c r="EK538" s="2"/>
      <c r="EO538" s="2"/>
      <c r="ES538" s="58"/>
      <c r="ET538" s="58"/>
      <c r="EU538" s="58"/>
      <c r="EV538" s="58"/>
      <c r="EW538" s="58"/>
      <c r="EX538" s="58"/>
      <c r="EY538" s="58"/>
      <c r="EZ538" s="85"/>
    </row>
    <row r="539" spans="1:156">
      <c r="A539" s="95"/>
      <c r="B539" s="9"/>
      <c r="I539" s="54"/>
      <c r="J539" s="6"/>
      <c r="K539" s="6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90"/>
      <c r="AO539" s="91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91"/>
      <c r="CG539" s="6"/>
      <c r="CH539" s="91"/>
      <c r="CI539" s="91"/>
      <c r="CJ539" s="91"/>
      <c r="CK539" s="91"/>
      <c r="CL539" s="6"/>
      <c r="CM539" s="6"/>
      <c r="CN539" s="6"/>
      <c r="CO539" s="6"/>
      <c r="CP539" s="6"/>
      <c r="CQ539" s="6"/>
      <c r="CR539" s="6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8"/>
      <c r="DK539" s="8"/>
      <c r="DL539" s="8"/>
      <c r="DM539" s="8"/>
      <c r="DN539" s="55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83"/>
      <c r="EC539" s="83"/>
      <c r="ED539" s="83"/>
      <c r="EE539" s="83"/>
      <c r="EF539" s="83"/>
      <c r="EG539" s="83"/>
      <c r="EH539" s="83"/>
      <c r="EI539" s="83"/>
      <c r="EJ539" s="83"/>
      <c r="EK539" s="2"/>
      <c r="EO539" s="2"/>
      <c r="ES539" s="58"/>
      <c r="ET539" s="58"/>
      <c r="EU539" s="58"/>
      <c r="EV539" s="58"/>
      <c r="EW539" s="58"/>
      <c r="EX539" s="58"/>
      <c r="EY539" s="58"/>
      <c r="EZ539" s="85"/>
    </row>
    <row r="540" spans="1:156">
      <c r="A540" s="95"/>
      <c r="B540" s="9"/>
      <c r="I540" s="54"/>
      <c r="J540" s="6"/>
      <c r="K540" s="6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90"/>
      <c r="AO540" s="91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91"/>
      <c r="CG540" s="6"/>
      <c r="CH540" s="91"/>
      <c r="CI540" s="91"/>
      <c r="CJ540" s="91"/>
      <c r="CK540" s="91"/>
      <c r="CL540" s="6"/>
      <c r="CM540" s="6"/>
      <c r="CN540" s="6"/>
      <c r="CO540" s="6"/>
      <c r="CP540" s="6"/>
      <c r="CQ540" s="6"/>
      <c r="CR540" s="6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8"/>
      <c r="DK540" s="8"/>
      <c r="DL540" s="8"/>
      <c r="DM540" s="8"/>
      <c r="DN540" s="55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83"/>
      <c r="EC540" s="83"/>
      <c r="ED540" s="83"/>
      <c r="EE540" s="83"/>
      <c r="EF540" s="83"/>
      <c r="EG540" s="83"/>
      <c r="EH540" s="83"/>
      <c r="EI540" s="83"/>
      <c r="EJ540" s="83"/>
      <c r="EK540" s="2"/>
      <c r="EO540" s="2"/>
      <c r="ES540" s="58"/>
      <c r="ET540" s="58"/>
      <c r="EU540" s="58"/>
      <c r="EV540" s="58"/>
      <c r="EW540" s="58"/>
      <c r="EX540" s="58"/>
      <c r="EY540" s="58"/>
      <c r="EZ540" s="85"/>
    </row>
    <row r="541" spans="1:156">
      <c r="A541" s="95"/>
      <c r="B541" s="9"/>
      <c r="I541" s="54"/>
      <c r="J541" s="6"/>
      <c r="K541" s="6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90"/>
      <c r="AO541" s="91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91"/>
      <c r="CG541" s="6"/>
      <c r="CH541" s="91"/>
      <c r="CI541" s="91"/>
      <c r="CJ541" s="91"/>
      <c r="CK541" s="91"/>
      <c r="CL541" s="6"/>
      <c r="CM541" s="6"/>
      <c r="CN541" s="6"/>
      <c r="CO541" s="6"/>
      <c r="CP541" s="6"/>
      <c r="CQ541" s="6"/>
      <c r="CR541" s="6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8"/>
      <c r="DK541" s="8"/>
      <c r="DL541" s="8"/>
      <c r="DM541" s="8"/>
      <c r="DN541" s="55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83"/>
      <c r="EC541" s="83"/>
      <c r="ED541" s="83"/>
      <c r="EE541" s="83"/>
      <c r="EF541" s="83"/>
      <c r="EG541" s="83"/>
      <c r="EH541" s="83"/>
      <c r="EI541" s="83"/>
      <c r="EJ541" s="83"/>
      <c r="EK541" s="2"/>
      <c r="EO541" s="2"/>
      <c r="ES541" s="58"/>
      <c r="ET541" s="58"/>
      <c r="EU541" s="58"/>
      <c r="EV541" s="58"/>
      <c r="EW541" s="58"/>
      <c r="EX541" s="58"/>
      <c r="EY541" s="58"/>
      <c r="EZ541" s="85"/>
    </row>
    <row r="542" spans="1:156">
      <c r="A542" s="95"/>
      <c r="B542" s="9"/>
      <c r="I542" s="54"/>
      <c r="J542" s="6"/>
      <c r="K542" s="6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90"/>
      <c r="AO542" s="91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91"/>
      <c r="CG542" s="6"/>
      <c r="CH542" s="91"/>
      <c r="CI542" s="91"/>
      <c r="CJ542" s="91"/>
      <c r="CK542" s="91"/>
      <c r="CL542" s="6"/>
      <c r="CM542" s="6"/>
      <c r="CN542" s="6"/>
      <c r="CO542" s="6"/>
      <c r="CP542" s="6"/>
      <c r="CQ542" s="6"/>
      <c r="CR542" s="6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8"/>
      <c r="DK542" s="8"/>
      <c r="DL542" s="8"/>
      <c r="DM542" s="8"/>
      <c r="DN542" s="55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83"/>
      <c r="EC542" s="83"/>
      <c r="ED542" s="83"/>
      <c r="EE542" s="83"/>
      <c r="EF542" s="83"/>
      <c r="EG542" s="83"/>
      <c r="EH542" s="83"/>
      <c r="EI542" s="83"/>
      <c r="EJ542" s="83"/>
      <c r="EK542" s="2"/>
      <c r="EO542" s="2"/>
      <c r="ES542" s="58"/>
      <c r="ET542" s="58"/>
      <c r="EU542" s="58"/>
      <c r="EV542" s="58"/>
      <c r="EW542" s="58"/>
      <c r="EX542" s="58"/>
      <c r="EY542" s="58"/>
      <c r="EZ542" s="85"/>
    </row>
    <row r="543" spans="1:156">
      <c r="A543" s="95"/>
      <c r="B543" s="9"/>
      <c r="I543" s="54"/>
      <c r="J543" s="6"/>
      <c r="K543" s="6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90"/>
      <c r="AO543" s="91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91"/>
      <c r="CG543" s="6"/>
      <c r="CH543" s="91"/>
      <c r="CI543" s="91"/>
      <c r="CJ543" s="91"/>
      <c r="CK543" s="91"/>
      <c r="CL543" s="6"/>
      <c r="CM543" s="6"/>
      <c r="CN543" s="6"/>
      <c r="CO543" s="6"/>
      <c r="CP543" s="6"/>
      <c r="CQ543" s="6"/>
      <c r="CR543" s="6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8"/>
      <c r="DK543" s="8"/>
      <c r="DL543" s="8"/>
      <c r="DM543" s="8"/>
      <c r="DN543" s="55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83"/>
      <c r="EC543" s="83"/>
      <c r="ED543" s="83"/>
      <c r="EE543" s="83"/>
      <c r="EF543" s="83"/>
      <c r="EG543" s="83"/>
      <c r="EH543" s="83"/>
      <c r="EI543" s="83"/>
      <c r="EJ543" s="83"/>
      <c r="EK543" s="2"/>
      <c r="EO543" s="2"/>
      <c r="ES543" s="58"/>
      <c r="ET543" s="58"/>
      <c r="EU543" s="58"/>
      <c r="EV543" s="58"/>
      <c r="EW543" s="58"/>
      <c r="EX543" s="58"/>
      <c r="EY543" s="58"/>
      <c r="EZ543" s="85"/>
    </row>
    <row r="544" spans="1:156">
      <c r="A544" s="95"/>
      <c r="B544" s="9"/>
      <c r="I544" s="54"/>
      <c r="J544" s="6"/>
      <c r="K544" s="6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90"/>
      <c r="AO544" s="91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91"/>
      <c r="CG544" s="6"/>
      <c r="CH544" s="91"/>
      <c r="CI544" s="91"/>
      <c r="CJ544" s="91"/>
      <c r="CK544" s="91"/>
      <c r="CL544" s="6"/>
      <c r="CM544" s="6"/>
      <c r="CN544" s="6"/>
      <c r="CO544" s="6"/>
      <c r="CP544" s="6"/>
      <c r="CQ544" s="6"/>
      <c r="CR544" s="6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8"/>
      <c r="DK544" s="8"/>
      <c r="DL544" s="8"/>
      <c r="DM544" s="8"/>
      <c r="DN544" s="55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83"/>
      <c r="EC544" s="83"/>
      <c r="ED544" s="83"/>
      <c r="EE544" s="83"/>
      <c r="EF544" s="83"/>
      <c r="EG544" s="83"/>
      <c r="EH544" s="83"/>
      <c r="EI544" s="83"/>
      <c r="EJ544" s="83"/>
      <c r="EK544" s="2"/>
      <c r="EO544" s="2"/>
      <c r="ES544" s="58"/>
      <c r="ET544" s="58"/>
      <c r="EU544" s="58"/>
      <c r="EV544" s="58"/>
      <c r="EW544" s="58"/>
      <c r="EX544" s="58"/>
      <c r="EY544" s="58"/>
      <c r="EZ544" s="85"/>
    </row>
    <row r="545" spans="1:156">
      <c r="A545" s="95"/>
      <c r="B545" s="9"/>
      <c r="I545" s="54"/>
      <c r="J545" s="6"/>
      <c r="K545" s="6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90"/>
      <c r="AO545" s="91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91"/>
      <c r="CG545" s="6"/>
      <c r="CH545" s="91"/>
      <c r="CI545" s="91"/>
      <c r="CJ545" s="91"/>
      <c r="CK545" s="91"/>
      <c r="CL545" s="6"/>
      <c r="CM545" s="6"/>
      <c r="CN545" s="6"/>
      <c r="CO545" s="6"/>
      <c r="CP545" s="6"/>
      <c r="CQ545" s="6"/>
      <c r="CR545" s="6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8"/>
      <c r="DK545" s="8"/>
      <c r="DL545" s="8"/>
      <c r="DM545" s="8"/>
      <c r="DN545" s="55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83"/>
      <c r="EC545" s="83"/>
      <c r="ED545" s="83"/>
      <c r="EE545" s="83"/>
      <c r="EF545" s="83"/>
      <c r="EG545" s="83"/>
      <c r="EH545" s="83"/>
      <c r="EI545" s="83"/>
      <c r="EJ545" s="83"/>
      <c r="EK545" s="2"/>
      <c r="EO545" s="2"/>
      <c r="ES545" s="58"/>
      <c r="ET545" s="58"/>
      <c r="EU545" s="58"/>
      <c r="EV545" s="58"/>
      <c r="EW545" s="58"/>
      <c r="EX545" s="58"/>
      <c r="EY545" s="58"/>
      <c r="EZ545" s="85"/>
    </row>
    <row r="546" spans="1:156">
      <c r="A546" s="95"/>
      <c r="B546" s="9"/>
      <c r="I546" s="54"/>
      <c r="J546" s="6"/>
      <c r="K546" s="6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90"/>
      <c r="AO546" s="91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91"/>
      <c r="CG546" s="6"/>
      <c r="CH546" s="91"/>
      <c r="CI546" s="91"/>
      <c r="CJ546" s="91"/>
      <c r="CK546" s="91"/>
      <c r="CL546" s="6"/>
      <c r="CM546" s="6"/>
      <c r="CN546" s="6"/>
      <c r="CO546" s="6"/>
      <c r="CP546" s="6"/>
      <c r="CQ546" s="6"/>
      <c r="CR546" s="6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8"/>
      <c r="DK546" s="8"/>
      <c r="DL546" s="8"/>
      <c r="DM546" s="8"/>
      <c r="DN546" s="55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83"/>
      <c r="EC546" s="83"/>
      <c r="ED546" s="83"/>
      <c r="EE546" s="83"/>
      <c r="EF546" s="83"/>
      <c r="EG546" s="83"/>
      <c r="EH546" s="83"/>
      <c r="EI546" s="83"/>
      <c r="EJ546" s="83"/>
      <c r="EK546" s="2"/>
      <c r="EO546" s="2"/>
      <c r="ES546" s="58"/>
      <c r="ET546" s="58"/>
      <c r="EU546" s="58"/>
      <c r="EV546" s="58"/>
      <c r="EW546" s="58"/>
      <c r="EX546" s="58"/>
      <c r="EY546" s="58"/>
      <c r="EZ546" s="85"/>
    </row>
    <row r="547" spans="1:156">
      <c r="A547" s="95"/>
      <c r="B547" s="9"/>
      <c r="I547" s="54"/>
      <c r="J547" s="6"/>
      <c r="K547" s="6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90"/>
      <c r="AO547" s="91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91"/>
      <c r="CG547" s="6"/>
      <c r="CH547" s="91"/>
      <c r="CI547" s="91"/>
      <c r="CJ547" s="91"/>
      <c r="CK547" s="91"/>
      <c r="CL547" s="6"/>
      <c r="CM547" s="6"/>
      <c r="CN547" s="6"/>
      <c r="CO547" s="6"/>
      <c r="CP547" s="6"/>
      <c r="CQ547" s="6"/>
      <c r="CR547" s="6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8"/>
      <c r="DK547" s="8"/>
      <c r="DL547" s="8"/>
      <c r="DM547" s="8"/>
      <c r="DN547" s="55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83"/>
      <c r="EC547" s="83"/>
      <c r="ED547" s="83"/>
      <c r="EE547" s="83"/>
      <c r="EF547" s="83"/>
      <c r="EG547" s="83"/>
      <c r="EH547" s="83"/>
      <c r="EI547" s="83"/>
      <c r="EJ547" s="83"/>
      <c r="EK547" s="2"/>
      <c r="EO547" s="2"/>
      <c r="ES547" s="58"/>
      <c r="ET547" s="58"/>
      <c r="EU547" s="58"/>
      <c r="EV547" s="58"/>
      <c r="EW547" s="58"/>
      <c r="EX547" s="58"/>
      <c r="EY547" s="58"/>
      <c r="EZ547" s="85"/>
    </row>
    <row r="548" spans="1:156">
      <c r="A548" s="95"/>
      <c r="B548" s="9"/>
      <c r="I548" s="54"/>
      <c r="J548" s="6"/>
      <c r="K548" s="6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90"/>
      <c r="AO548" s="91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91"/>
      <c r="CG548" s="6"/>
      <c r="CH548" s="91"/>
      <c r="CI548" s="91"/>
      <c r="CJ548" s="91"/>
      <c r="CK548" s="91"/>
      <c r="CL548" s="6"/>
      <c r="CM548" s="6"/>
      <c r="CN548" s="6"/>
      <c r="CO548" s="6"/>
      <c r="CP548" s="6"/>
      <c r="CQ548" s="6"/>
      <c r="CR548" s="6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8"/>
      <c r="DK548" s="8"/>
      <c r="DL548" s="8"/>
      <c r="DM548" s="8"/>
      <c r="DN548" s="55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83"/>
      <c r="EC548" s="83"/>
      <c r="ED548" s="83"/>
      <c r="EE548" s="83"/>
      <c r="EF548" s="83"/>
      <c r="EG548" s="83"/>
      <c r="EH548" s="83"/>
      <c r="EI548" s="83"/>
      <c r="EJ548" s="83"/>
      <c r="EK548" s="2"/>
      <c r="EO548" s="2"/>
      <c r="ES548" s="58"/>
      <c r="ET548" s="58"/>
      <c r="EU548" s="58"/>
      <c r="EV548" s="58"/>
      <c r="EW548" s="58"/>
      <c r="EX548" s="58"/>
      <c r="EY548" s="58"/>
      <c r="EZ548" s="85"/>
    </row>
    <row r="549" spans="1:156">
      <c r="A549" s="95"/>
      <c r="B549" s="9"/>
      <c r="I549" s="54"/>
      <c r="J549" s="6"/>
      <c r="K549" s="6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90"/>
      <c r="AO549" s="91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91"/>
      <c r="CG549" s="6"/>
      <c r="CH549" s="91"/>
      <c r="CI549" s="91"/>
      <c r="CJ549" s="91"/>
      <c r="CK549" s="91"/>
      <c r="CL549" s="6"/>
      <c r="CM549" s="6"/>
      <c r="CN549" s="6"/>
      <c r="CO549" s="6"/>
      <c r="CP549" s="6"/>
      <c r="CQ549" s="6"/>
      <c r="CR549" s="6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8"/>
      <c r="DK549" s="8"/>
      <c r="DL549" s="8"/>
      <c r="DM549" s="8"/>
      <c r="DN549" s="55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83"/>
      <c r="EC549" s="83"/>
      <c r="ED549" s="83"/>
      <c r="EE549" s="83"/>
      <c r="EF549" s="83"/>
      <c r="EG549" s="83"/>
      <c r="EH549" s="83"/>
      <c r="EI549" s="83"/>
      <c r="EJ549" s="83"/>
      <c r="EK549" s="2"/>
      <c r="EO549" s="2"/>
      <c r="ES549" s="58"/>
      <c r="ET549" s="58"/>
      <c r="EU549" s="58"/>
      <c r="EV549" s="58"/>
      <c r="EW549" s="58"/>
      <c r="EX549" s="58"/>
      <c r="EY549" s="58"/>
      <c r="EZ549" s="85"/>
    </row>
    <row r="550" spans="1:156">
      <c r="A550" s="95"/>
      <c r="B550" s="9"/>
      <c r="I550" s="54"/>
      <c r="J550" s="6"/>
      <c r="K550" s="6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90"/>
      <c r="AO550" s="91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91"/>
      <c r="CG550" s="6"/>
      <c r="CH550" s="91"/>
      <c r="CI550" s="91"/>
      <c r="CJ550" s="91"/>
      <c r="CK550" s="91"/>
      <c r="CL550" s="6"/>
      <c r="CM550" s="6"/>
      <c r="CN550" s="6"/>
      <c r="CO550" s="6"/>
      <c r="CP550" s="6"/>
      <c r="CQ550" s="6"/>
      <c r="CR550" s="6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8"/>
      <c r="DK550" s="8"/>
      <c r="DL550" s="8"/>
      <c r="DM550" s="8"/>
      <c r="DN550" s="55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83"/>
      <c r="EC550" s="83"/>
      <c r="ED550" s="83"/>
      <c r="EE550" s="83"/>
      <c r="EF550" s="83"/>
      <c r="EG550" s="83"/>
      <c r="EH550" s="83"/>
      <c r="EI550" s="83"/>
      <c r="EJ550" s="83"/>
      <c r="EK550" s="2"/>
      <c r="EO550" s="2"/>
      <c r="ES550" s="58"/>
      <c r="ET550" s="58"/>
      <c r="EU550" s="58"/>
      <c r="EV550" s="58"/>
      <c r="EW550" s="58"/>
      <c r="EX550" s="58"/>
      <c r="EY550" s="58"/>
      <c r="EZ550" s="85"/>
    </row>
    <row r="551" spans="1:156">
      <c r="A551" s="95"/>
      <c r="B551" s="9"/>
      <c r="I551" s="54"/>
      <c r="J551" s="6"/>
      <c r="K551" s="6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90"/>
      <c r="AO551" s="91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91"/>
      <c r="CG551" s="6"/>
      <c r="CH551" s="91"/>
      <c r="CI551" s="91"/>
      <c r="CJ551" s="91"/>
      <c r="CK551" s="91"/>
      <c r="CL551" s="6"/>
      <c r="CM551" s="6"/>
      <c r="CN551" s="6"/>
      <c r="CO551" s="6"/>
      <c r="CP551" s="6"/>
      <c r="CQ551" s="6"/>
      <c r="CR551" s="6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8"/>
      <c r="DK551" s="8"/>
      <c r="DL551" s="8"/>
      <c r="DM551" s="8"/>
      <c r="DN551" s="55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83"/>
      <c r="EC551" s="83"/>
      <c r="ED551" s="83"/>
      <c r="EE551" s="83"/>
      <c r="EF551" s="83"/>
      <c r="EG551" s="83"/>
      <c r="EH551" s="83"/>
      <c r="EI551" s="83"/>
      <c r="EJ551" s="83"/>
      <c r="EK551" s="2"/>
      <c r="EO551" s="2"/>
      <c r="ES551" s="58"/>
      <c r="ET551" s="58"/>
      <c r="EU551" s="58"/>
      <c r="EV551" s="58"/>
      <c r="EW551" s="58"/>
      <c r="EX551" s="58"/>
      <c r="EY551" s="58"/>
      <c r="EZ551" s="85"/>
    </row>
    <row r="552" spans="1:156">
      <c r="A552" s="95"/>
      <c r="B552" s="9"/>
      <c r="I552" s="54"/>
      <c r="J552" s="6"/>
      <c r="K552" s="6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90"/>
      <c r="AO552" s="91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91"/>
      <c r="CG552" s="6"/>
      <c r="CH552" s="91"/>
      <c r="CI552" s="91"/>
      <c r="CJ552" s="91"/>
      <c r="CK552" s="91"/>
      <c r="CL552" s="6"/>
      <c r="CM552" s="6"/>
      <c r="CN552" s="6"/>
      <c r="CO552" s="6"/>
      <c r="CP552" s="6"/>
      <c r="CQ552" s="6"/>
      <c r="CR552" s="6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8"/>
      <c r="DK552" s="8"/>
      <c r="DL552" s="8"/>
      <c r="DM552" s="8"/>
      <c r="DN552" s="55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83"/>
      <c r="EC552" s="83"/>
      <c r="ED552" s="83"/>
      <c r="EE552" s="83"/>
      <c r="EF552" s="83"/>
      <c r="EG552" s="83"/>
      <c r="EH552" s="83"/>
      <c r="EI552" s="83"/>
      <c r="EJ552" s="83"/>
      <c r="EK552" s="2"/>
      <c r="EO552" s="2"/>
      <c r="ES552" s="58"/>
      <c r="ET552" s="58"/>
      <c r="EU552" s="58"/>
      <c r="EV552" s="58"/>
      <c r="EW552" s="58"/>
      <c r="EX552" s="58"/>
      <c r="EY552" s="58"/>
      <c r="EZ552" s="85"/>
    </row>
    <row r="553" spans="1:156">
      <c r="A553" s="95"/>
      <c r="B553" s="9"/>
      <c r="I553" s="54"/>
      <c r="J553" s="6"/>
      <c r="K553" s="6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90"/>
      <c r="AO553" s="91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91"/>
      <c r="CG553" s="6"/>
      <c r="CH553" s="91"/>
      <c r="CI553" s="91"/>
      <c r="CJ553" s="91"/>
      <c r="CK553" s="91"/>
      <c r="CL553" s="6"/>
      <c r="CM553" s="6"/>
      <c r="CN553" s="6"/>
      <c r="CO553" s="6"/>
      <c r="CP553" s="6"/>
      <c r="CQ553" s="6"/>
      <c r="CR553" s="6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8"/>
      <c r="DK553" s="8"/>
      <c r="DL553" s="8"/>
      <c r="DM553" s="8"/>
      <c r="DN553" s="55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83"/>
      <c r="EC553" s="83"/>
      <c r="ED553" s="83"/>
      <c r="EE553" s="83"/>
      <c r="EF553" s="83"/>
      <c r="EG553" s="83"/>
      <c r="EH553" s="83"/>
      <c r="EI553" s="83"/>
      <c r="EJ553" s="83"/>
      <c r="EK553" s="2"/>
      <c r="EO553" s="2"/>
      <c r="ES553" s="58"/>
      <c r="ET553" s="58"/>
      <c r="EU553" s="58"/>
      <c r="EV553" s="58"/>
      <c r="EW553" s="58"/>
      <c r="EX553" s="58"/>
      <c r="EY553" s="58"/>
      <c r="EZ553" s="85"/>
    </row>
    <row r="554" spans="1:156">
      <c r="A554" s="95"/>
      <c r="B554" s="9"/>
      <c r="I554" s="54"/>
      <c r="J554" s="6"/>
      <c r="K554" s="6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90"/>
      <c r="AO554" s="91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91"/>
      <c r="CG554" s="6"/>
      <c r="CH554" s="91"/>
      <c r="CI554" s="91"/>
      <c r="CJ554" s="91"/>
      <c r="CK554" s="91"/>
      <c r="CL554" s="6"/>
      <c r="CM554" s="6"/>
      <c r="CN554" s="6"/>
      <c r="CO554" s="6"/>
      <c r="CP554" s="6"/>
      <c r="CQ554" s="6"/>
      <c r="CR554" s="6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8"/>
      <c r="DK554" s="8"/>
      <c r="DL554" s="8"/>
      <c r="DM554" s="8"/>
      <c r="DN554" s="55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83"/>
      <c r="EC554" s="83"/>
      <c r="ED554" s="83"/>
      <c r="EE554" s="83"/>
      <c r="EF554" s="83"/>
      <c r="EG554" s="83"/>
      <c r="EH554" s="83"/>
      <c r="EI554" s="83"/>
      <c r="EJ554" s="83"/>
      <c r="EK554" s="2"/>
      <c r="EO554" s="2"/>
      <c r="ES554" s="58"/>
      <c r="ET554" s="58"/>
      <c r="EU554" s="58"/>
      <c r="EV554" s="58"/>
      <c r="EW554" s="58"/>
      <c r="EX554" s="58"/>
      <c r="EY554" s="58"/>
      <c r="EZ554" s="85"/>
    </row>
    <row r="555" spans="1:156">
      <c r="A555" s="95"/>
      <c r="B555" s="9"/>
      <c r="I555" s="54"/>
      <c r="J555" s="6"/>
      <c r="K555" s="6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90"/>
      <c r="AO555" s="91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91"/>
      <c r="CG555" s="6"/>
      <c r="CH555" s="91"/>
      <c r="CI555" s="91"/>
      <c r="CJ555" s="91"/>
      <c r="CK555" s="91"/>
      <c r="CL555" s="6"/>
      <c r="CM555" s="6"/>
      <c r="CN555" s="6"/>
      <c r="CO555" s="6"/>
      <c r="CP555" s="6"/>
      <c r="CQ555" s="6"/>
      <c r="CR555" s="6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8"/>
      <c r="DK555" s="8"/>
      <c r="DL555" s="8"/>
      <c r="DM555" s="8"/>
      <c r="DN555" s="55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83"/>
      <c r="EC555" s="83"/>
      <c r="ED555" s="83"/>
      <c r="EE555" s="83"/>
      <c r="EF555" s="83"/>
      <c r="EG555" s="83"/>
      <c r="EH555" s="83"/>
      <c r="EI555" s="83"/>
      <c r="EJ555" s="83"/>
      <c r="EK555" s="2"/>
      <c r="EO555" s="2"/>
      <c r="ES555" s="58"/>
      <c r="ET555" s="58"/>
      <c r="EU555" s="58"/>
      <c r="EV555" s="58"/>
      <c r="EW555" s="58"/>
      <c r="EX555" s="58"/>
      <c r="EY555" s="58"/>
      <c r="EZ555" s="85"/>
    </row>
    <row r="556" spans="1:156">
      <c r="A556" s="95"/>
      <c r="B556" s="9"/>
      <c r="I556" s="54"/>
      <c r="J556" s="6"/>
      <c r="K556" s="6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90"/>
      <c r="AO556" s="91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91"/>
      <c r="CG556" s="6"/>
      <c r="CH556" s="91"/>
      <c r="CI556" s="91"/>
      <c r="CJ556" s="91"/>
      <c r="CK556" s="91"/>
      <c r="CL556" s="6"/>
      <c r="CM556" s="6"/>
      <c r="CN556" s="6"/>
      <c r="CO556" s="6"/>
      <c r="CP556" s="6"/>
      <c r="CQ556" s="6"/>
      <c r="CR556" s="6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8"/>
      <c r="DK556" s="8"/>
      <c r="DL556" s="8"/>
      <c r="DM556" s="8"/>
      <c r="DN556" s="55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83"/>
      <c r="EC556" s="83"/>
      <c r="ED556" s="83"/>
      <c r="EE556" s="83"/>
      <c r="EF556" s="83"/>
      <c r="EG556" s="83"/>
      <c r="EH556" s="83"/>
      <c r="EI556" s="83"/>
      <c r="EJ556" s="83"/>
      <c r="EK556" s="2"/>
      <c r="EO556" s="2"/>
      <c r="ES556" s="58"/>
      <c r="ET556" s="58"/>
      <c r="EU556" s="58"/>
      <c r="EV556" s="58"/>
      <c r="EW556" s="58"/>
      <c r="EX556" s="58"/>
      <c r="EY556" s="58"/>
      <c r="EZ556" s="85"/>
    </row>
    <row r="557" spans="1:156">
      <c r="A557" s="95"/>
      <c r="B557" s="9"/>
      <c r="I557" s="54"/>
      <c r="J557" s="6"/>
      <c r="K557" s="6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90"/>
      <c r="AO557" s="91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91"/>
      <c r="CG557" s="6"/>
      <c r="CH557" s="91"/>
      <c r="CI557" s="91"/>
      <c r="CJ557" s="91"/>
      <c r="CK557" s="91"/>
      <c r="CL557" s="6"/>
      <c r="CM557" s="6"/>
      <c r="CN557" s="6"/>
      <c r="CO557" s="6"/>
      <c r="CP557" s="6"/>
      <c r="CQ557" s="6"/>
      <c r="CR557" s="6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8"/>
      <c r="DK557" s="8"/>
      <c r="DL557" s="8"/>
      <c r="DM557" s="8"/>
      <c r="DN557" s="55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83"/>
      <c r="EC557" s="83"/>
      <c r="ED557" s="83"/>
      <c r="EE557" s="83"/>
      <c r="EF557" s="83"/>
      <c r="EG557" s="83"/>
      <c r="EH557" s="83"/>
      <c r="EI557" s="83"/>
      <c r="EJ557" s="83"/>
      <c r="EK557" s="2"/>
      <c r="EO557" s="2"/>
      <c r="ES557" s="58"/>
      <c r="ET557" s="58"/>
      <c r="EU557" s="58"/>
      <c r="EV557" s="58"/>
      <c r="EW557" s="58"/>
      <c r="EX557" s="58"/>
      <c r="EY557" s="58"/>
      <c r="EZ557" s="85"/>
    </row>
    <row r="558" spans="1:156">
      <c r="A558" s="95"/>
      <c r="B558" s="9"/>
      <c r="I558" s="54"/>
      <c r="J558" s="6"/>
      <c r="K558" s="6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90"/>
      <c r="AO558" s="91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91"/>
      <c r="CG558" s="6"/>
      <c r="CH558" s="91"/>
      <c r="CI558" s="91"/>
      <c r="CJ558" s="91"/>
      <c r="CK558" s="91"/>
      <c r="CL558" s="6"/>
      <c r="CM558" s="6"/>
      <c r="CN558" s="6"/>
      <c r="CO558" s="6"/>
      <c r="CP558" s="6"/>
      <c r="CQ558" s="6"/>
      <c r="CR558" s="6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8"/>
      <c r="DK558" s="8"/>
      <c r="DL558" s="8"/>
      <c r="DM558" s="8"/>
      <c r="DN558" s="55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83"/>
      <c r="EC558" s="83"/>
      <c r="ED558" s="83"/>
      <c r="EE558" s="83"/>
      <c r="EF558" s="83"/>
      <c r="EG558" s="83"/>
      <c r="EH558" s="83"/>
      <c r="EI558" s="83"/>
      <c r="EJ558" s="83"/>
      <c r="EK558" s="2"/>
      <c r="EO558" s="2"/>
      <c r="ES558" s="58"/>
      <c r="ET558" s="58"/>
      <c r="EU558" s="58"/>
      <c r="EV558" s="58"/>
      <c r="EW558" s="58"/>
      <c r="EX558" s="58"/>
      <c r="EY558" s="58"/>
      <c r="EZ558" s="85"/>
    </row>
    <row r="559" spans="1:156">
      <c r="A559" s="95"/>
      <c r="B559" s="9"/>
      <c r="I559" s="54"/>
      <c r="J559" s="6"/>
      <c r="K559" s="6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90"/>
      <c r="AO559" s="91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91"/>
      <c r="CG559" s="6"/>
      <c r="CH559" s="91"/>
      <c r="CI559" s="91"/>
      <c r="CJ559" s="91"/>
      <c r="CK559" s="91"/>
      <c r="CL559" s="6"/>
      <c r="CM559" s="6"/>
      <c r="CN559" s="6"/>
      <c r="CO559" s="6"/>
      <c r="CP559" s="6"/>
      <c r="CQ559" s="6"/>
      <c r="CR559" s="6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8"/>
      <c r="DK559" s="8"/>
      <c r="DL559" s="8"/>
      <c r="DM559" s="8"/>
      <c r="DN559" s="55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83"/>
      <c r="EC559" s="83"/>
      <c r="ED559" s="83"/>
      <c r="EE559" s="83"/>
      <c r="EF559" s="83"/>
      <c r="EG559" s="83"/>
      <c r="EH559" s="83"/>
      <c r="EI559" s="83"/>
      <c r="EJ559" s="83"/>
      <c r="EK559" s="2"/>
      <c r="EO559" s="2"/>
      <c r="ES559" s="58"/>
      <c r="ET559" s="58"/>
      <c r="EU559" s="58"/>
      <c r="EV559" s="58"/>
      <c r="EW559" s="58"/>
      <c r="EX559" s="58"/>
      <c r="EY559" s="58"/>
      <c r="EZ559" s="85"/>
    </row>
    <row r="560" spans="1:156">
      <c r="A560" s="95"/>
      <c r="B560" s="9"/>
      <c r="I560" s="54"/>
      <c r="J560" s="6"/>
      <c r="K560" s="6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90"/>
      <c r="AO560" s="91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91"/>
      <c r="CG560" s="6"/>
      <c r="CH560" s="91"/>
      <c r="CI560" s="91"/>
      <c r="CJ560" s="91"/>
      <c r="CK560" s="91"/>
      <c r="CL560" s="6"/>
      <c r="CM560" s="6"/>
      <c r="CN560" s="6"/>
      <c r="CO560" s="6"/>
      <c r="CP560" s="6"/>
      <c r="CQ560" s="6"/>
      <c r="CR560" s="6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8"/>
      <c r="DK560" s="8"/>
      <c r="DL560" s="8"/>
      <c r="DM560" s="8"/>
      <c r="DN560" s="55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83"/>
      <c r="EC560" s="83"/>
      <c r="ED560" s="83"/>
      <c r="EE560" s="83"/>
      <c r="EF560" s="83"/>
      <c r="EG560" s="83"/>
      <c r="EH560" s="83"/>
      <c r="EI560" s="83"/>
      <c r="EJ560" s="83"/>
      <c r="EK560" s="2"/>
      <c r="EO560" s="2"/>
      <c r="ES560" s="58"/>
      <c r="ET560" s="58"/>
      <c r="EU560" s="58"/>
      <c r="EV560" s="58"/>
      <c r="EW560" s="58"/>
      <c r="EX560" s="58"/>
      <c r="EY560" s="58"/>
      <c r="EZ560" s="85"/>
    </row>
    <row r="561" spans="1:156">
      <c r="A561" s="95"/>
      <c r="B561" s="9"/>
      <c r="I561" s="54"/>
      <c r="J561" s="6"/>
      <c r="K561" s="6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90"/>
      <c r="AO561" s="91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91"/>
      <c r="CG561" s="6"/>
      <c r="CH561" s="91"/>
      <c r="CI561" s="91"/>
      <c r="CJ561" s="91"/>
      <c r="CK561" s="91"/>
      <c r="CL561" s="6"/>
      <c r="CM561" s="6"/>
      <c r="CN561" s="6"/>
      <c r="CO561" s="6"/>
      <c r="CP561" s="6"/>
      <c r="CQ561" s="6"/>
      <c r="CR561" s="6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8"/>
      <c r="DK561" s="8"/>
      <c r="DL561" s="8"/>
      <c r="DM561" s="8"/>
      <c r="DN561" s="55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83"/>
      <c r="EC561" s="83"/>
      <c r="ED561" s="83"/>
      <c r="EE561" s="83"/>
      <c r="EF561" s="83"/>
      <c r="EG561" s="83"/>
      <c r="EH561" s="83"/>
      <c r="EI561" s="83"/>
      <c r="EJ561" s="83"/>
      <c r="EK561" s="2"/>
      <c r="EO561" s="2"/>
      <c r="ES561" s="58"/>
      <c r="ET561" s="58"/>
      <c r="EU561" s="58"/>
      <c r="EV561" s="58"/>
      <c r="EW561" s="58"/>
      <c r="EX561" s="58"/>
      <c r="EY561" s="58"/>
      <c r="EZ561" s="85"/>
    </row>
    <row r="562" spans="1:156">
      <c r="A562" s="95"/>
      <c r="B562" s="9"/>
      <c r="I562" s="54"/>
      <c r="J562" s="6"/>
      <c r="K562" s="6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90"/>
      <c r="AO562" s="91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91"/>
      <c r="CG562" s="6"/>
      <c r="CH562" s="91"/>
      <c r="CI562" s="91"/>
      <c r="CJ562" s="91"/>
      <c r="CK562" s="91"/>
      <c r="CL562" s="6"/>
      <c r="CM562" s="6"/>
      <c r="CN562" s="6"/>
      <c r="CO562" s="6"/>
      <c r="CP562" s="6"/>
      <c r="CQ562" s="6"/>
      <c r="CR562" s="6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8"/>
      <c r="DK562" s="8"/>
      <c r="DL562" s="8"/>
      <c r="DM562" s="8"/>
      <c r="DN562" s="55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83"/>
      <c r="EC562" s="83"/>
      <c r="ED562" s="83"/>
      <c r="EE562" s="83"/>
      <c r="EF562" s="83"/>
      <c r="EG562" s="83"/>
      <c r="EH562" s="83"/>
      <c r="EI562" s="83"/>
      <c r="EJ562" s="83"/>
      <c r="EK562" s="2"/>
      <c r="EO562" s="2"/>
      <c r="ES562" s="58"/>
      <c r="ET562" s="58"/>
      <c r="EU562" s="58"/>
      <c r="EV562" s="58"/>
      <c r="EW562" s="58"/>
      <c r="EX562" s="58"/>
      <c r="EY562" s="58"/>
      <c r="EZ562" s="85"/>
    </row>
    <row r="563" spans="1:156">
      <c r="A563" s="95"/>
      <c r="B563" s="9"/>
      <c r="I563" s="54"/>
      <c r="J563" s="6"/>
      <c r="K563" s="6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90"/>
      <c r="AO563" s="91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91"/>
      <c r="CG563" s="6"/>
      <c r="CH563" s="91"/>
      <c r="CI563" s="91"/>
      <c r="CJ563" s="91"/>
      <c r="CK563" s="91"/>
      <c r="CL563" s="6"/>
      <c r="CM563" s="6"/>
      <c r="CN563" s="6"/>
      <c r="CO563" s="6"/>
      <c r="CP563" s="6"/>
      <c r="CQ563" s="6"/>
      <c r="CR563" s="6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8"/>
      <c r="DK563" s="8"/>
      <c r="DL563" s="8"/>
      <c r="DM563" s="8"/>
      <c r="DN563" s="55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83"/>
      <c r="EC563" s="83"/>
      <c r="ED563" s="83"/>
      <c r="EE563" s="83"/>
      <c r="EF563" s="83"/>
      <c r="EG563" s="83"/>
      <c r="EH563" s="83"/>
      <c r="EI563" s="83"/>
      <c r="EJ563" s="83"/>
      <c r="EK563" s="2"/>
      <c r="EO563" s="2"/>
      <c r="ES563" s="58"/>
      <c r="ET563" s="58"/>
      <c r="EU563" s="58"/>
      <c r="EV563" s="58"/>
      <c r="EW563" s="58"/>
      <c r="EX563" s="58"/>
      <c r="EY563" s="58"/>
      <c r="EZ563" s="85"/>
    </row>
    <row r="564" spans="1:156">
      <c r="A564" s="95"/>
      <c r="B564" s="9"/>
      <c r="I564" s="54"/>
      <c r="J564" s="6"/>
      <c r="K564" s="6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90"/>
      <c r="AO564" s="91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91"/>
      <c r="CG564" s="6"/>
      <c r="CH564" s="91"/>
      <c r="CI564" s="91"/>
      <c r="CJ564" s="91"/>
      <c r="CK564" s="91"/>
      <c r="CL564" s="6"/>
      <c r="CM564" s="6"/>
      <c r="CN564" s="6"/>
      <c r="CO564" s="6"/>
      <c r="CP564" s="6"/>
      <c r="CQ564" s="6"/>
      <c r="CR564" s="6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8"/>
      <c r="DK564" s="8"/>
      <c r="DL564" s="8"/>
      <c r="DM564" s="8"/>
      <c r="DN564" s="55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83"/>
      <c r="EC564" s="83"/>
      <c r="ED564" s="83"/>
      <c r="EE564" s="83"/>
      <c r="EF564" s="83"/>
      <c r="EG564" s="83"/>
      <c r="EH564" s="83"/>
      <c r="EI564" s="83"/>
      <c r="EJ564" s="83"/>
      <c r="EK564" s="2"/>
      <c r="EO564" s="2"/>
      <c r="ES564" s="58"/>
      <c r="ET564" s="58"/>
      <c r="EU564" s="58"/>
      <c r="EV564" s="58"/>
      <c r="EW564" s="58"/>
      <c r="EX564" s="58"/>
      <c r="EY564" s="58"/>
      <c r="EZ564" s="85"/>
    </row>
    <row r="565" spans="1:156">
      <c r="A565" s="95"/>
      <c r="B565" s="9"/>
      <c r="I565" s="54"/>
      <c r="J565" s="6"/>
      <c r="K565" s="6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90"/>
      <c r="AO565" s="91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91"/>
      <c r="CG565" s="6"/>
      <c r="CH565" s="91"/>
      <c r="CI565" s="91"/>
      <c r="CJ565" s="91"/>
      <c r="CK565" s="91"/>
      <c r="CL565" s="6"/>
      <c r="CM565" s="6"/>
      <c r="CN565" s="6"/>
      <c r="CO565" s="6"/>
      <c r="CP565" s="6"/>
      <c r="CQ565" s="6"/>
      <c r="CR565" s="6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8"/>
      <c r="DK565" s="8"/>
      <c r="DL565" s="8"/>
      <c r="DM565" s="8"/>
      <c r="DN565" s="55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83"/>
      <c r="EC565" s="83"/>
      <c r="ED565" s="83"/>
      <c r="EE565" s="83"/>
      <c r="EF565" s="83"/>
      <c r="EG565" s="83"/>
      <c r="EH565" s="83"/>
      <c r="EI565" s="83"/>
      <c r="EJ565" s="83"/>
      <c r="EK565" s="2"/>
      <c r="EO565" s="2"/>
      <c r="ES565" s="58"/>
      <c r="ET565" s="58"/>
      <c r="EU565" s="58"/>
      <c r="EV565" s="58"/>
      <c r="EW565" s="58"/>
      <c r="EX565" s="58"/>
      <c r="EY565" s="58"/>
      <c r="EZ565" s="85"/>
    </row>
    <row r="566" spans="1:156">
      <c r="A566" s="95"/>
      <c r="B566" s="9"/>
      <c r="I566" s="54"/>
      <c r="J566" s="6"/>
      <c r="K566" s="6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90"/>
      <c r="AO566" s="91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91"/>
      <c r="CG566" s="6"/>
      <c r="CH566" s="91"/>
      <c r="CI566" s="91"/>
      <c r="CJ566" s="91"/>
      <c r="CK566" s="91"/>
      <c r="CL566" s="6"/>
      <c r="CM566" s="6"/>
      <c r="CN566" s="6"/>
      <c r="CO566" s="6"/>
      <c r="CP566" s="6"/>
      <c r="CQ566" s="6"/>
      <c r="CR566" s="6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8"/>
      <c r="DK566" s="8"/>
      <c r="DL566" s="8"/>
      <c r="DM566" s="8"/>
      <c r="DN566" s="55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83"/>
      <c r="EC566" s="83"/>
      <c r="ED566" s="83"/>
      <c r="EE566" s="83"/>
      <c r="EF566" s="83"/>
      <c r="EG566" s="83"/>
      <c r="EH566" s="83"/>
      <c r="EI566" s="83"/>
      <c r="EJ566" s="83"/>
      <c r="EK566" s="2"/>
      <c r="EO566" s="2"/>
      <c r="ES566" s="58"/>
      <c r="ET566" s="58"/>
      <c r="EU566" s="58"/>
      <c r="EV566" s="58"/>
      <c r="EW566" s="58"/>
      <c r="EX566" s="58"/>
      <c r="EY566" s="58"/>
      <c r="EZ566" s="85"/>
    </row>
    <row r="567" spans="1:156">
      <c r="A567" s="95"/>
      <c r="B567" s="9"/>
      <c r="I567" s="54"/>
      <c r="J567" s="6"/>
      <c r="K567" s="6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90"/>
      <c r="AO567" s="91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91"/>
      <c r="CG567" s="6"/>
      <c r="CH567" s="91"/>
      <c r="CI567" s="91"/>
      <c r="CJ567" s="91"/>
      <c r="CK567" s="91"/>
      <c r="CL567" s="6"/>
      <c r="CM567" s="6"/>
      <c r="CN567" s="6"/>
      <c r="CO567" s="6"/>
      <c r="CP567" s="6"/>
      <c r="CQ567" s="6"/>
      <c r="CR567" s="6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8"/>
      <c r="DK567" s="8"/>
      <c r="DL567" s="8"/>
      <c r="DM567" s="8"/>
      <c r="DN567" s="55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83"/>
      <c r="EC567" s="83"/>
      <c r="ED567" s="83"/>
      <c r="EE567" s="83"/>
      <c r="EF567" s="83"/>
      <c r="EG567" s="83"/>
      <c r="EH567" s="83"/>
      <c r="EI567" s="83"/>
      <c r="EJ567" s="83"/>
      <c r="EK567" s="2"/>
      <c r="EO567" s="2"/>
      <c r="ES567" s="58"/>
      <c r="ET567" s="58"/>
      <c r="EU567" s="58"/>
      <c r="EV567" s="58"/>
      <c r="EW567" s="58"/>
      <c r="EX567" s="58"/>
      <c r="EY567" s="58"/>
      <c r="EZ567" s="85"/>
    </row>
    <row r="568" spans="1:156">
      <c r="A568" s="95"/>
      <c r="B568" s="9"/>
      <c r="I568" s="54"/>
      <c r="J568" s="6"/>
      <c r="K568" s="6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90"/>
      <c r="AO568" s="91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91"/>
      <c r="CG568" s="6"/>
      <c r="CH568" s="91"/>
      <c r="CI568" s="91"/>
      <c r="CJ568" s="91"/>
      <c r="CK568" s="91"/>
      <c r="CL568" s="6"/>
      <c r="CM568" s="6"/>
      <c r="CN568" s="6"/>
      <c r="CO568" s="6"/>
      <c r="CP568" s="6"/>
      <c r="CQ568" s="6"/>
      <c r="CR568" s="6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8"/>
      <c r="DK568" s="8"/>
      <c r="DL568" s="8"/>
      <c r="DM568" s="8"/>
      <c r="DN568" s="55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83"/>
      <c r="EC568" s="83"/>
      <c r="ED568" s="83"/>
      <c r="EE568" s="83"/>
      <c r="EF568" s="83"/>
      <c r="EG568" s="83"/>
      <c r="EH568" s="83"/>
      <c r="EI568" s="83"/>
      <c r="EJ568" s="83"/>
      <c r="EK568" s="2"/>
      <c r="EO568" s="2"/>
      <c r="ES568" s="58"/>
      <c r="ET568" s="58"/>
      <c r="EU568" s="58"/>
      <c r="EV568" s="58"/>
      <c r="EW568" s="58"/>
      <c r="EX568" s="58"/>
      <c r="EY568" s="58"/>
      <c r="EZ568" s="85"/>
    </row>
    <row r="569" spans="1:156">
      <c r="A569" s="95"/>
      <c r="B569" s="9"/>
      <c r="I569" s="54"/>
      <c r="J569" s="6"/>
      <c r="K569" s="6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90"/>
      <c r="AO569" s="91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91"/>
      <c r="CG569" s="6"/>
      <c r="CH569" s="91"/>
      <c r="CI569" s="91"/>
      <c r="CJ569" s="91"/>
      <c r="CK569" s="91"/>
      <c r="CL569" s="6"/>
      <c r="CM569" s="6"/>
      <c r="CN569" s="6"/>
      <c r="CO569" s="6"/>
      <c r="CP569" s="6"/>
      <c r="CQ569" s="6"/>
      <c r="CR569" s="6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8"/>
      <c r="DK569" s="8"/>
      <c r="DL569" s="8"/>
      <c r="DM569" s="8"/>
      <c r="DN569" s="55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83"/>
      <c r="EC569" s="83"/>
      <c r="ED569" s="83"/>
      <c r="EE569" s="83"/>
      <c r="EF569" s="83"/>
      <c r="EG569" s="83"/>
      <c r="EH569" s="83"/>
      <c r="EI569" s="83"/>
      <c r="EJ569" s="83"/>
      <c r="EK569" s="2"/>
      <c r="EO569" s="2"/>
      <c r="ES569" s="58"/>
      <c r="ET569" s="58"/>
      <c r="EU569" s="58"/>
      <c r="EV569" s="58"/>
      <c r="EW569" s="58"/>
      <c r="EX569" s="58"/>
      <c r="EY569" s="58"/>
      <c r="EZ569" s="85"/>
    </row>
    <row r="570" spans="1:156">
      <c r="A570" s="95"/>
      <c r="B570" s="9"/>
      <c r="I570" s="54"/>
      <c r="J570" s="6"/>
      <c r="K570" s="6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90"/>
      <c r="AO570" s="91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91"/>
      <c r="CG570" s="6"/>
      <c r="CH570" s="91"/>
      <c r="CI570" s="91"/>
      <c r="CJ570" s="91"/>
      <c r="CK570" s="91"/>
      <c r="CL570" s="6"/>
      <c r="CM570" s="6"/>
      <c r="CN570" s="6"/>
      <c r="CO570" s="6"/>
      <c r="CP570" s="6"/>
      <c r="CQ570" s="6"/>
      <c r="CR570" s="6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8"/>
      <c r="DK570" s="8"/>
      <c r="DL570" s="8"/>
      <c r="DM570" s="8"/>
      <c r="DN570" s="55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83"/>
      <c r="EC570" s="83"/>
      <c r="ED570" s="83"/>
      <c r="EE570" s="83"/>
      <c r="EF570" s="83"/>
      <c r="EG570" s="83"/>
      <c r="EH570" s="83"/>
      <c r="EI570" s="83"/>
      <c r="EJ570" s="83"/>
      <c r="EK570" s="2"/>
      <c r="EO570" s="2"/>
      <c r="ES570" s="58"/>
      <c r="ET570" s="58"/>
      <c r="EU570" s="58"/>
      <c r="EV570" s="58"/>
      <c r="EW570" s="58"/>
      <c r="EX570" s="58"/>
      <c r="EY570" s="58"/>
      <c r="EZ570" s="85"/>
    </row>
    <row r="571" spans="1:156">
      <c r="A571" s="95"/>
      <c r="B571" s="9"/>
      <c r="I571" s="54"/>
      <c r="J571" s="6"/>
      <c r="K571" s="6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90"/>
      <c r="AO571" s="91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91"/>
      <c r="CG571" s="6"/>
      <c r="CH571" s="91"/>
      <c r="CI571" s="91"/>
      <c r="CJ571" s="91"/>
      <c r="CK571" s="91"/>
      <c r="CL571" s="6"/>
      <c r="CM571" s="6"/>
      <c r="CN571" s="6"/>
      <c r="CO571" s="6"/>
      <c r="CP571" s="6"/>
      <c r="CQ571" s="6"/>
      <c r="CR571" s="6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8"/>
      <c r="DK571" s="8"/>
      <c r="DL571" s="8"/>
      <c r="DM571" s="8"/>
      <c r="DN571" s="55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83"/>
      <c r="EC571" s="83"/>
      <c r="ED571" s="83"/>
      <c r="EE571" s="83"/>
      <c r="EF571" s="83"/>
      <c r="EG571" s="83"/>
      <c r="EH571" s="83"/>
      <c r="EI571" s="83"/>
      <c r="EJ571" s="83"/>
      <c r="EK571" s="2"/>
      <c r="EO571" s="2"/>
      <c r="ES571" s="58"/>
      <c r="ET571" s="58"/>
      <c r="EU571" s="58"/>
      <c r="EV571" s="58"/>
      <c r="EW571" s="58"/>
      <c r="EX571" s="58"/>
      <c r="EY571" s="58"/>
      <c r="EZ571" s="85"/>
    </row>
    <row r="572" spans="1:156">
      <c r="A572" s="95"/>
      <c r="B572" s="9"/>
      <c r="I572" s="54"/>
      <c r="J572" s="6"/>
      <c r="K572" s="6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90"/>
      <c r="AO572" s="91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91"/>
      <c r="CG572" s="6"/>
      <c r="CH572" s="91"/>
      <c r="CI572" s="91"/>
      <c r="CJ572" s="91"/>
      <c r="CK572" s="91"/>
      <c r="CL572" s="6"/>
      <c r="CM572" s="6"/>
      <c r="CN572" s="6"/>
      <c r="CO572" s="6"/>
      <c r="CP572" s="6"/>
      <c r="CQ572" s="6"/>
      <c r="CR572" s="6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8"/>
      <c r="DK572" s="8"/>
      <c r="DL572" s="8"/>
      <c r="DM572" s="8"/>
      <c r="DN572" s="55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83"/>
      <c r="EC572" s="83"/>
      <c r="ED572" s="83"/>
      <c r="EE572" s="83"/>
      <c r="EF572" s="83"/>
      <c r="EG572" s="83"/>
      <c r="EH572" s="83"/>
      <c r="EI572" s="83"/>
      <c r="EJ572" s="83"/>
      <c r="EK572" s="2"/>
      <c r="EO572" s="2"/>
      <c r="ES572" s="58"/>
      <c r="ET572" s="58"/>
      <c r="EU572" s="58"/>
      <c r="EV572" s="58"/>
      <c r="EW572" s="58"/>
      <c r="EX572" s="58"/>
      <c r="EY572" s="58"/>
      <c r="EZ572" s="85"/>
    </row>
    <row r="573" spans="1:156">
      <c r="A573" s="95"/>
      <c r="B573" s="9"/>
      <c r="I573" s="54"/>
      <c r="J573" s="6"/>
      <c r="K573" s="6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90"/>
      <c r="AO573" s="91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91"/>
      <c r="CG573" s="6"/>
      <c r="CH573" s="91"/>
      <c r="CI573" s="91"/>
      <c r="CJ573" s="91"/>
      <c r="CK573" s="91"/>
      <c r="CL573" s="6"/>
      <c r="CM573" s="6"/>
      <c r="CN573" s="6"/>
      <c r="CO573" s="6"/>
      <c r="CP573" s="6"/>
      <c r="CQ573" s="6"/>
      <c r="CR573" s="6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8"/>
      <c r="DK573" s="8"/>
      <c r="DL573" s="8"/>
      <c r="DM573" s="8"/>
      <c r="DN573" s="55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83"/>
      <c r="EC573" s="83"/>
      <c r="ED573" s="83"/>
      <c r="EE573" s="83"/>
      <c r="EF573" s="83"/>
      <c r="EG573" s="83"/>
      <c r="EH573" s="83"/>
      <c r="EI573" s="83"/>
      <c r="EJ573" s="83"/>
      <c r="EK573" s="2"/>
      <c r="EO573" s="2"/>
      <c r="ES573" s="58"/>
      <c r="ET573" s="58"/>
      <c r="EU573" s="58"/>
      <c r="EV573" s="58"/>
      <c r="EW573" s="58"/>
      <c r="EX573" s="58"/>
      <c r="EY573" s="58"/>
      <c r="EZ573" s="85"/>
    </row>
    <row r="574" spans="1:156">
      <c r="A574" s="95"/>
      <c r="B574" s="9"/>
      <c r="I574" s="54"/>
      <c r="J574" s="6"/>
      <c r="K574" s="6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90"/>
      <c r="AO574" s="91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91"/>
      <c r="CG574" s="6"/>
      <c r="CH574" s="91"/>
      <c r="CI574" s="91"/>
      <c r="CJ574" s="91"/>
      <c r="CK574" s="91"/>
      <c r="CL574" s="6"/>
      <c r="CM574" s="6"/>
      <c r="CN574" s="6"/>
      <c r="CO574" s="6"/>
      <c r="CP574" s="6"/>
      <c r="CQ574" s="6"/>
      <c r="CR574" s="6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8"/>
      <c r="DK574" s="8"/>
      <c r="DL574" s="8"/>
      <c r="DM574" s="8"/>
      <c r="DN574" s="55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83"/>
      <c r="EC574" s="83"/>
      <c r="ED574" s="83"/>
      <c r="EE574" s="83"/>
      <c r="EF574" s="83"/>
      <c r="EG574" s="83"/>
      <c r="EH574" s="83"/>
      <c r="EI574" s="83"/>
      <c r="EJ574" s="83"/>
      <c r="EK574" s="2"/>
      <c r="EO574" s="2"/>
      <c r="ES574" s="58"/>
      <c r="ET574" s="58"/>
      <c r="EU574" s="58"/>
      <c r="EV574" s="58"/>
      <c r="EW574" s="58"/>
      <c r="EX574" s="58"/>
      <c r="EY574" s="58"/>
      <c r="EZ574" s="85"/>
    </row>
    <row r="575" spans="1:156">
      <c r="A575" s="95"/>
      <c r="B575" s="9"/>
      <c r="I575" s="54"/>
      <c r="J575" s="6"/>
      <c r="K575" s="6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90"/>
      <c r="AO575" s="91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91"/>
      <c r="CG575" s="6"/>
      <c r="CH575" s="91"/>
      <c r="CI575" s="91"/>
      <c r="CJ575" s="91"/>
      <c r="CK575" s="91"/>
      <c r="CL575" s="6"/>
      <c r="CM575" s="6"/>
      <c r="CN575" s="6"/>
      <c r="CO575" s="6"/>
      <c r="CP575" s="6"/>
      <c r="CQ575" s="6"/>
      <c r="CR575" s="6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8"/>
      <c r="DK575" s="8"/>
      <c r="DL575" s="8"/>
      <c r="DM575" s="8"/>
      <c r="DN575" s="55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83"/>
      <c r="EC575" s="83"/>
      <c r="ED575" s="83"/>
      <c r="EE575" s="83"/>
      <c r="EF575" s="83"/>
      <c r="EG575" s="83"/>
      <c r="EH575" s="83"/>
      <c r="EI575" s="83"/>
      <c r="EJ575" s="83"/>
      <c r="EK575" s="2"/>
      <c r="EO575" s="2"/>
      <c r="ES575" s="58"/>
      <c r="ET575" s="58"/>
      <c r="EU575" s="58"/>
      <c r="EV575" s="58"/>
      <c r="EW575" s="58"/>
      <c r="EX575" s="58"/>
      <c r="EY575" s="58"/>
      <c r="EZ575" s="85"/>
    </row>
    <row r="576" spans="1:156">
      <c r="A576" s="95"/>
      <c r="B576" s="9"/>
      <c r="I576" s="54"/>
      <c r="J576" s="6"/>
      <c r="K576" s="6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90"/>
      <c r="AO576" s="91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91"/>
      <c r="CG576" s="6"/>
      <c r="CH576" s="91"/>
      <c r="CI576" s="91"/>
      <c r="CJ576" s="91"/>
      <c r="CK576" s="91"/>
      <c r="CL576" s="6"/>
      <c r="CM576" s="6"/>
      <c r="CN576" s="6"/>
      <c r="CO576" s="6"/>
      <c r="CP576" s="6"/>
      <c r="CQ576" s="6"/>
      <c r="CR576" s="6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8"/>
      <c r="DK576" s="8"/>
      <c r="DL576" s="8"/>
      <c r="DM576" s="8"/>
      <c r="DN576" s="55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83"/>
      <c r="EC576" s="83"/>
      <c r="ED576" s="83"/>
      <c r="EE576" s="83"/>
      <c r="EF576" s="83"/>
      <c r="EG576" s="83"/>
      <c r="EH576" s="83"/>
      <c r="EI576" s="83"/>
      <c r="EJ576" s="83"/>
      <c r="EK576" s="2"/>
      <c r="EO576" s="2"/>
      <c r="ES576" s="58"/>
      <c r="ET576" s="58"/>
      <c r="EU576" s="58"/>
      <c r="EV576" s="58"/>
      <c r="EW576" s="58"/>
      <c r="EX576" s="58"/>
      <c r="EY576" s="58"/>
      <c r="EZ576" s="85"/>
    </row>
    <row r="577" spans="1:156">
      <c r="A577" s="95"/>
      <c r="B577" s="9"/>
      <c r="I577" s="54"/>
      <c r="J577" s="6"/>
      <c r="K577" s="6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90"/>
      <c r="AO577" s="91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91"/>
      <c r="CG577" s="6"/>
      <c r="CH577" s="91"/>
      <c r="CI577" s="91"/>
      <c r="CJ577" s="91"/>
      <c r="CK577" s="91"/>
      <c r="CL577" s="6"/>
      <c r="CM577" s="6"/>
      <c r="CN577" s="6"/>
      <c r="CO577" s="6"/>
      <c r="CP577" s="6"/>
      <c r="CQ577" s="6"/>
      <c r="CR577" s="6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8"/>
      <c r="DK577" s="8"/>
      <c r="DL577" s="8"/>
      <c r="DM577" s="8"/>
      <c r="DN577" s="55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83"/>
      <c r="EC577" s="83"/>
      <c r="ED577" s="83"/>
      <c r="EE577" s="83"/>
      <c r="EF577" s="83"/>
      <c r="EG577" s="83"/>
      <c r="EH577" s="83"/>
      <c r="EI577" s="83"/>
      <c r="EJ577" s="83"/>
      <c r="EK577" s="2"/>
      <c r="EO577" s="2"/>
      <c r="ES577" s="58"/>
      <c r="ET577" s="58"/>
      <c r="EU577" s="58"/>
      <c r="EV577" s="58"/>
      <c r="EW577" s="58"/>
      <c r="EX577" s="58"/>
      <c r="EY577" s="58"/>
      <c r="EZ577" s="85"/>
    </row>
    <row r="578" spans="1:156">
      <c r="A578" s="95"/>
      <c r="B578" s="9"/>
      <c r="I578" s="54"/>
      <c r="J578" s="6"/>
      <c r="K578" s="6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90"/>
      <c r="AO578" s="91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91"/>
      <c r="CG578" s="6"/>
      <c r="CH578" s="91"/>
      <c r="CI578" s="91"/>
      <c r="CJ578" s="91"/>
      <c r="CK578" s="91"/>
      <c r="CL578" s="6"/>
      <c r="CM578" s="6"/>
      <c r="CN578" s="6"/>
      <c r="CO578" s="6"/>
      <c r="CP578" s="6"/>
      <c r="CQ578" s="6"/>
      <c r="CR578" s="6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8"/>
      <c r="DK578" s="8"/>
      <c r="DL578" s="8"/>
      <c r="DM578" s="8"/>
      <c r="DN578" s="55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83"/>
      <c r="EC578" s="83"/>
      <c r="ED578" s="83"/>
      <c r="EE578" s="83"/>
      <c r="EF578" s="83"/>
      <c r="EG578" s="83"/>
      <c r="EH578" s="83"/>
      <c r="EI578" s="83"/>
      <c r="EJ578" s="83"/>
      <c r="EK578" s="2"/>
      <c r="EO578" s="2"/>
      <c r="ES578" s="58"/>
      <c r="ET578" s="58"/>
      <c r="EU578" s="58"/>
      <c r="EV578" s="58"/>
      <c r="EW578" s="58"/>
      <c r="EX578" s="58"/>
      <c r="EY578" s="58"/>
      <c r="EZ578" s="85"/>
    </row>
    <row r="579" spans="1:156">
      <c r="A579" s="95"/>
      <c r="B579" s="9"/>
      <c r="I579" s="54"/>
      <c r="J579" s="6"/>
      <c r="K579" s="6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90"/>
      <c r="AO579" s="91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91"/>
      <c r="CG579" s="6"/>
      <c r="CH579" s="91"/>
      <c r="CI579" s="91"/>
      <c r="CJ579" s="91"/>
      <c r="CK579" s="91"/>
      <c r="CL579" s="6"/>
      <c r="CM579" s="6"/>
      <c r="CN579" s="6"/>
      <c r="CO579" s="6"/>
      <c r="CP579" s="6"/>
      <c r="CQ579" s="6"/>
      <c r="CR579" s="6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8"/>
      <c r="DK579" s="8"/>
      <c r="DL579" s="8"/>
      <c r="DM579" s="8"/>
      <c r="DN579" s="55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83"/>
      <c r="EC579" s="83"/>
      <c r="ED579" s="83"/>
      <c r="EE579" s="83"/>
      <c r="EF579" s="83"/>
      <c r="EG579" s="83"/>
      <c r="EH579" s="83"/>
      <c r="EI579" s="83"/>
      <c r="EJ579" s="83"/>
      <c r="EK579" s="2"/>
      <c r="EO579" s="2"/>
      <c r="ES579" s="58"/>
      <c r="ET579" s="58"/>
      <c r="EU579" s="58"/>
      <c r="EV579" s="58"/>
      <c r="EW579" s="58"/>
      <c r="EX579" s="58"/>
      <c r="EY579" s="58"/>
      <c r="EZ579" s="85"/>
    </row>
    <row r="580" spans="1:156">
      <c r="A580" s="95"/>
      <c r="B580" s="9"/>
      <c r="I580" s="54"/>
      <c r="J580" s="6"/>
      <c r="K580" s="6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90"/>
      <c r="AO580" s="91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91"/>
      <c r="CG580" s="6"/>
      <c r="CH580" s="91"/>
      <c r="CI580" s="91"/>
      <c r="CJ580" s="91"/>
      <c r="CK580" s="91"/>
      <c r="CL580" s="6"/>
      <c r="CM580" s="6"/>
      <c r="CN580" s="6"/>
      <c r="CO580" s="6"/>
      <c r="CP580" s="6"/>
      <c r="CQ580" s="6"/>
      <c r="CR580" s="6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8"/>
      <c r="DK580" s="8"/>
      <c r="DL580" s="8"/>
      <c r="DM580" s="8"/>
      <c r="DN580" s="55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83"/>
      <c r="EC580" s="83"/>
      <c r="ED580" s="83"/>
      <c r="EE580" s="83"/>
      <c r="EF580" s="83"/>
      <c r="EG580" s="83"/>
      <c r="EH580" s="83"/>
      <c r="EI580" s="83"/>
      <c r="EJ580" s="83"/>
      <c r="EK580" s="2"/>
      <c r="EO580" s="2"/>
      <c r="ES580" s="58"/>
      <c r="ET580" s="58"/>
      <c r="EU580" s="58"/>
      <c r="EV580" s="58"/>
      <c r="EW580" s="58"/>
      <c r="EX580" s="58"/>
      <c r="EY580" s="58"/>
      <c r="EZ580" s="85"/>
    </row>
    <row r="581" spans="1:156">
      <c r="A581" s="95"/>
      <c r="B581" s="9"/>
      <c r="I581" s="54"/>
      <c r="J581" s="6"/>
      <c r="K581" s="6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90"/>
      <c r="AO581" s="91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91"/>
      <c r="CG581" s="6"/>
      <c r="CH581" s="91"/>
      <c r="CI581" s="91"/>
      <c r="CJ581" s="91"/>
      <c r="CK581" s="91"/>
      <c r="CL581" s="6"/>
      <c r="CM581" s="6"/>
      <c r="CN581" s="6"/>
      <c r="CO581" s="6"/>
      <c r="CP581" s="6"/>
      <c r="CQ581" s="6"/>
      <c r="CR581" s="6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8"/>
      <c r="DK581" s="8"/>
      <c r="DL581" s="8"/>
      <c r="DM581" s="8"/>
      <c r="DN581" s="55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83"/>
      <c r="EC581" s="83"/>
      <c r="ED581" s="83"/>
      <c r="EE581" s="83"/>
      <c r="EF581" s="83"/>
      <c r="EG581" s="83"/>
      <c r="EH581" s="83"/>
      <c r="EI581" s="83"/>
      <c r="EJ581" s="83"/>
      <c r="EK581" s="2"/>
      <c r="EO581" s="2"/>
      <c r="ES581" s="58"/>
      <c r="ET581" s="58"/>
      <c r="EU581" s="58"/>
      <c r="EV581" s="58"/>
      <c r="EW581" s="58"/>
      <c r="EX581" s="58"/>
      <c r="EY581" s="58"/>
      <c r="EZ581" s="85"/>
    </row>
    <row r="582" spans="1:156">
      <c r="A582" s="95"/>
      <c r="B582" s="9"/>
      <c r="I582" s="54"/>
      <c r="J582" s="6"/>
      <c r="K582" s="6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90"/>
      <c r="AO582" s="91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91"/>
      <c r="CG582" s="6"/>
      <c r="CH582" s="91"/>
      <c r="CI582" s="91"/>
      <c r="CJ582" s="91"/>
      <c r="CK582" s="91"/>
      <c r="CL582" s="6"/>
      <c r="CM582" s="6"/>
      <c r="CN582" s="6"/>
      <c r="CO582" s="6"/>
      <c r="CP582" s="6"/>
      <c r="CQ582" s="6"/>
      <c r="CR582" s="6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8"/>
      <c r="DK582" s="8"/>
      <c r="DL582" s="8"/>
      <c r="DM582" s="8"/>
      <c r="DN582" s="55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83"/>
      <c r="EC582" s="83"/>
      <c r="ED582" s="83"/>
      <c r="EE582" s="83"/>
      <c r="EF582" s="83"/>
      <c r="EG582" s="83"/>
      <c r="EH582" s="83"/>
      <c r="EI582" s="83"/>
      <c r="EJ582" s="83"/>
      <c r="EK582" s="2"/>
      <c r="EO582" s="2"/>
      <c r="ES582" s="58"/>
      <c r="ET582" s="58"/>
      <c r="EU582" s="58"/>
      <c r="EV582" s="58"/>
      <c r="EW582" s="58"/>
      <c r="EX582" s="58"/>
      <c r="EY582" s="58"/>
      <c r="EZ582" s="85"/>
    </row>
    <row r="583" spans="1:156">
      <c r="A583" s="95"/>
      <c r="B583" s="9"/>
      <c r="I583" s="54"/>
      <c r="J583" s="6"/>
      <c r="K583" s="6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90"/>
      <c r="AO583" s="91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91"/>
      <c r="CG583" s="6"/>
      <c r="CH583" s="91"/>
      <c r="CI583" s="91"/>
      <c r="CJ583" s="91"/>
      <c r="CK583" s="91"/>
      <c r="CL583" s="6"/>
      <c r="CM583" s="6"/>
      <c r="CN583" s="6"/>
      <c r="CO583" s="6"/>
      <c r="CP583" s="6"/>
      <c r="CQ583" s="6"/>
      <c r="CR583" s="6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8"/>
      <c r="DK583" s="8"/>
      <c r="DL583" s="8"/>
      <c r="DM583" s="8"/>
      <c r="DN583" s="55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83"/>
      <c r="EC583" s="83"/>
      <c r="ED583" s="83"/>
      <c r="EE583" s="83"/>
      <c r="EF583" s="83"/>
      <c r="EG583" s="83"/>
      <c r="EH583" s="83"/>
      <c r="EI583" s="83"/>
      <c r="EJ583" s="83"/>
      <c r="EK583" s="2"/>
      <c r="EO583" s="2"/>
      <c r="ES583" s="58"/>
      <c r="ET583" s="58"/>
      <c r="EU583" s="58"/>
      <c r="EV583" s="58"/>
      <c r="EW583" s="58"/>
      <c r="EX583" s="58"/>
      <c r="EY583" s="58"/>
      <c r="EZ583" s="85"/>
    </row>
    <row r="584" spans="1:156">
      <c r="A584" s="95"/>
      <c r="B584" s="9"/>
      <c r="I584" s="54"/>
      <c r="J584" s="6"/>
      <c r="K584" s="6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90"/>
      <c r="AO584" s="91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91"/>
      <c r="CG584" s="6"/>
      <c r="CH584" s="91"/>
      <c r="CI584" s="91"/>
      <c r="CJ584" s="91"/>
      <c r="CK584" s="91"/>
      <c r="CL584" s="6"/>
      <c r="CM584" s="6"/>
      <c r="CN584" s="6"/>
      <c r="CO584" s="6"/>
      <c r="CP584" s="6"/>
      <c r="CQ584" s="6"/>
      <c r="CR584" s="6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8"/>
      <c r="DK584" s="8"/>
      <c r="DL584" s="8"/>
      <c r="DM584" s="8"/>
      <c r="DN584" s="55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83"/>
      <c r="EC584" s="83"/>
      <c r="ED584" s="83"/>
      <c r="EE584" s="83"/>
      <c r="EF584" s="83"/>
      <c r="EG584" s="83"/>
      <c r="EH584" s="83"/>
      <c r="EI584" s="83"/>
      <c r="EJ584" s="83"/>
      <c r="EK584" s="2"/>
      <c r="EO584" s="2"/>
      <c r="ES584" s="58"/>
      <c r="ET584" s="58"/>
      <c r="EU584" s="58"/>
      <c r="EV584" s="58"/>
      <c r="EW584" s="58"/>
      <c r="EX584" s="58"/>
      <c r="EY584" s="58"/>
      <c r="EZ584" s="85"/>
    </row>
    <row r="585" spans="1:156">
      <c r="A585" s="95"/>
      <c r="B585" s="9"/>
      <c r="I585" s="54"/>
      <c r="J585" s="6"/>
      <c r="K585" s="6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90"/>
      <c r="AO585" s="91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91"/>
      <c r="CG585" s="6"/>
      <c r="CH585" s="91"/>
      <c r="CI585" s="91"/>
      <c r="CJ585" s="91"/>
      <c r="CK585" s="91"/>
      <c r="CL585" s="6"/>
      <c r="CM585" s="6"/>
      <c r="CN585" s="6"/>
      <c r="CO585" s="6"/>
      <c r="CP585" s="6"/>
      <c r="CQ585" s="6"/>
      <c r="CR585" s="6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8"/>
      <c r="DK585" s="8"/>
      <c r="DL585" s="8"/>
      <c r="DM585" s="8"/>
      <c r="DN585" s="55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83"/>
      <c r="EC585" s="83"/>
      <c r="ED585" s="83"/>
      <c r="EE585" s="83"/>
      <c r="EF585" s="83"/>
      <c r="EG585" s="83"/>
      <c r="EH585" s="83"/>
      <c r="EI585" s="83"/>
      <c r="EJ585" s="83"/>
      <c r="EK585" s="2"/>
      <c r="EO585" s="2"/>
      <c r="ES585" s="58"/>
      <c r="ET585" s="58"/>
      <c r="EU585" s="58"/>
      <c r="EV585" s="58"/>
      <c r="EW585" s="58"/>
      <c r="EX585" s="58"/>
      <c r="EY585" s="58"/>
      <c r="EZ585" s="85"/>
    </row>
    <row r="586" spans="1:156">
      <c r="A586" s="95"/>
      <c r="B586" s="9"/>
      <c r="I586" s="54"/>
      <c r="J586" s="6"/>
      <c r="K586" s="6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90"/>
      <c r="AO586" s="91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91"/>
      <c r="CG586" s="6"/>
      <c r="CH586" s="91"/>
      <c r="CI586" s="91"/>
      <c r="CJ586" s="91"/>
      <c r="CK586" s="91"/>
      <c r="CL586" s="6"/>
      <c r="CM586" s="6"/>
      <c r="CN586" s="6"/>
      <c r="CO586" s="6"/>
      <c r="CP586" s="6"/>
      <c r="CQ586" s="6"/>
      <c r="CR586" s="6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8"/>
      <c r="DK586" s="8"/>
      <c r="DL586" s="8"/>
      <c r="DM586" s="8"/>
      <c r="DN586" s="55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83"/>
      <c r="EC586" s="83"/>
      <c r="ED586" s="83"/>
      <c r="EE586" s="83"/>
      <c r="EF586" s="83"/>
      <c r="EG586" s="83"/>
      <c r="EH586" s="83"/>
      <c r="EI586" s="83"/>
      <c r="EJ586" s="83"/>
      <c r="EK586" s="2"/>
      <c r="EO586" s="2"/>
      <c r="ES586" s="58"/>
      <c r="ET586" s="58"/>
      <c r="EU586" s="58"/>
      <c r="EV586" s="58"/>
      <c r="EW586" s="58"/>
      <c r="EX586" s="58"/>
      <c r="EY586" s="58"/>
      <c r="EZ586" s="85"/>
    </row>
    <row r="587" spans="1:156">
      <c r="A587" s="95"/>
      <c r="B587" s="9"/>
      <c r="I587" s="54"/>
      <c r="J587" s="6"/>
      <c r="K587" s="6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90"/>
      <c r="AO587" s="91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91"/>
      <c r="CG587" s="6"/>
      <c r="CH587" s="91"/>
      <c r="CI587" s="91"/>
      <c r="CJ587" s="91"/>
      <c r="CK587" s="91"/>
      <c r="CL587" s="6"/>
      <c r="CM587" s="6"/>
      <c r="CN587" s="6"/>
      <c r="CO587" s="6"/>
      <c r="CP587" s="6"/>
      <c r="CQ587" s="6"/>
      <c r="CR587" s="6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8"/>
      <c r="DK587" s="8"/>
      <c r="DL587" s="8"/>
      <c r="DM587" s="8"/>
      <c r="DN587" s="55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83"/>
      <c r="EC587" s="83"/>
      <c r="ED587" s="83"/>
      <c r="EE587" s="83"/>
      <c r="EF587" s="83"/>
      <c r="EG587" s="83"/>
      <c r="EH587" s="83"/>
      <c r="EI587" s="83"/>
      <c r="EJ587" s="83"/>
      <c r="EK587" s="2"/>
      <c r="EO587" s="2"/>
      <c r="ES587" s="58"/>
      <c r="ET587" s="58"/>
      <c r="EU587" s="58"/>
      <c r="EV587" s="58"/>
      <c r="EW587" s="58"/>
      <c r="EX587" s="58"/>
      <c r="EY587" s="58"/>
      <c r="EZ587" s="85"/>
    </row>
    <row r="588" spans="1:156">
      <c r="A588" s="95"/>
      <c r="B588" s="9"/>
      <c r="I588" s="54"/>
      <c r="J588" s="6"/>
      <c r="K588" s="6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90"/>
      <c r="AO588" s="91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91"/>
      <c r="CG588" s="6"/>
      <c r="CH588" s="91"/>
      <c r="CI588" s="91"/>
      <c r="CJ588" s="91"/>
      <c r="CK588" s="91"/>
      <c r="CL588" s="6"/>
      <c r="CM588" s="6"/>
      <c r="CN588" s="6"/>
      <c r="CO588" s="6"/>
      <c r="CP588" s="6"/>
      <c r="CQ588" s="6"/>
      <c r="CR588" s="6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8"/>
      <c r="DK588" s="8"/>
      <c r="DL588" s="8"/>
      <c r="DM588" s="8"/>
      <c r="DN588" s="55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83"/>
      <c r="EC588" s="83"/>
      <c r="ED588" s="83"/>
      <c r="EE588" s="83"/>
      <c r="EF588" s="83"/>
      <c r="EG588" s="83"/>
      <c r="EH588" s="83"/>
      <c r="EI588" s="83"/>
      <c r="EJ588" s="83"/>
      <c r="EK588" s="2"/>
      <c r="EO588" s="2"/>
      <c r="ES588" s="58"/>
      <c r="ET588" s="58"/>
      <c r="EU588" s="58"/>
      <c r="EV588" s="58"/>
      <c r="EW588" s="58"/>
      <c r="EX588" s="58"/>
      <c r="EY588" s="58"/>
      <c r="EZ588" s="85"/>
    </row>
    <row r="589" spans="1:156">
      <c r="A589" s="95"/>
      <c r="B589" s="9"/>
      <c r="I589" s="54"/>
      <c r="J589" s="6"/>
      <c r="K589" s="6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90"/>
      <c r="AO589" s="91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91"/>
      <c r="CG589" s="6"/>
      <c r="CH589" s="91"/>
      <c r="CI589" s="91"/>
      <c r="CJ589" s="91"/>
      <c r="CK589" s="91"/>
      <c r="CL589" s="6"/>
      <c r="CM589" s="6"/>
      <c r="CN589" s="6"/>
      <c r="CO589" s="6"/>
      <c r="CP589" s="6"/>
      <c r="CQ589" s="6"/>
      <c r="CR589" s="6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8"/>
      <c r="DK589" s="8"/>
      <c r="DL589" s="8"/>
      <c r="DM589" s="8"/>
      <c r="DN589" s="55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83"/>
      <c r="EC589" s="83"/>
      <c r="ED589" s="83"/>
      <c r="EE589" s="83"/>
      <c r="EF589" s="83"/>
      <c r="EG589" s="83"/>
      <c r="EH589" s="83"/>
      <c r="EI589" s="83"/>
      <c r="EJ589" s="83"/>
      <c r="EK589" s="2"/>
      <c r="EO589" s="2"/>
      <c r="ES589" s="58"/>
      <c r="ET589" s="58"/>
      <c r="EU589" s="58"/>
      <c r="EV589" s="58"/>
      <c r="EW589" s="58"/>
      <c r="EX589" s="58"/>
      <c r="EY589" s="58"/>
      <c r="EZ589" s="85"/>
    </row>
    <row r="590" spans="1:156">
      <c r="A590" s="95"/>
      <c r="B590" s="9"/>
      <c r="I590" s="54"/>
      <c r="J590" s="6"/>
      <c r="K590" s="6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90"/>
      <c r="AO590" s="91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91"/>
      <c r="CG590" s="6"/>
      <c r="CH590" s="91"/>
      <c r="CI590" s="91"/>
      <c r="CJ590" s="91"/>
      <c r="CK590" s="91"/>
      <c r="CL590" s="6"/>
      <c r="CM590" s="6"/>
      <c r="CN590" s="6"/>
      <c r="CO590" s="6"/>
      <c r="CP590" s="6"/>
      <c r="CQ590" s="6"/>
      <c r="CR590" s="6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8"/>
      <c r="DK590" s="8"/>
      <c r="DL590" s="8"/>
      <c r="DM590" s="8"/>
      <c r="DN590" s="55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83"/>
      <c r="EC590" s="83"/>
      <c r="ED590" s="83"/>
      <c r="EE590" s="83"/>
      <c r="EF590" s="83"/>
      <c r="EG590" s="83"/>
      <c r="EH590" s="83"/>
      <c r="EI590" s="83"/>
      <c r="EJ590" s="83"/>
      <c r="EK590" s="2"/>
      <c r="EO590" s="2"/>
      <c r="ES590" s="58"/>
      <c r="ET590" s="58"/>
      <c r="EU590" s="58"/>
      <c r="EV590" s="58"/>
      <c r="EW590" s="58"/>
      <c r="EX590" s="58"/>
      <c r="EY590" s="58"/>
      <c r="EZ590" s="85"/>
    </row>
    <row r="591" spans="1:156">
      <c r="A591" s="95"/>
      <c r="B591" s="9"/>
      <c r="I591" s="54"/>
      <c r="J591" s="6"/>
      <c r="K591" s="6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90"/>
      <c r="AO591" s="91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91"/>
      <c r="CG591" s="6"/>
      <c r="CH591" s="91"/>
      <c r="CI591" s="91"/>
      <c r="CJ591" s="91"/>
      <c r="CK591" s="91"/>
      <c r="CL591" s="6"/>
      <c r="CM591" s="6"/>
      <c r="CN591" s="6"/>
      <c r="CO591" s="6"/>
      <c r="CP591" s="6"/>
      <c r="CQ591" s="6"/>
      <c r="CR591" s="6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8"/>
      <c r="DK591" s="8"/>
      <c r="DL591" s="8"/>
      <c r="DM591" s="8"/>
      <c r="DN591" s="55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83"/>
      <c r="EC591" s="83"/>
      <c r="ED591" s="83"/>
      <c r="EE591" s="83"/>
      <c r="EF591" s="83"/>
      <c r="EG591" s="83"/>
      <c r="EH591" s="83"/>
      <c r="EI591" s="83"/>
      <c r="EJ591" s="83"/>
      <c r="EK591" s="2"/>
      <c r="EO591" s="2"/>
      <c r="ES591" s="58"/>
      <c r="ET591" s="58"/>
      <c r="EU591" s="58"/>
      <c r="EV591" s="58"/>
      <c r="EW591" s="58"/>
      <c r="EX591" s="58"/>
      <c r="EY591" s="58"/>
      <c r="EZ591" s="85"/>
    </row>
    <row r="592" spans="1:156">
      <c r="A592" s="95"/>
      <c r="B592" s="9"/>
      <c r="I592" s="54"/>
      <c r="J592" s="6"/>
      <c r="K592" s="6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90"/>
      <c r="AO592" s="91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91"/>
      <c r="CG592" s="6"/>
      <c r="CH592" s="91"/>
      <c r="CI592" s="91"/>
      <c r="CJ592" s="91"/>
      <c r="CK592" s="91"/>
      <c r="CL592" s="6"/>
      <c r="CM592" s="6"/>
      <c r="CN592" s="6"/>
      <c r="CO592" s="6"/>
      <c r="CP592" s="6"/>
      <c r="CQ592" s="6"/>
      <c r="CR592" s="6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8"/>
      <c r="DK592" s="8"/>
      <c r="DL592" s="8"/>
      <c r="DM592" s="8"/>
      <c r="DN592" s="55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83"/>
      <c r="EC592" s="83"/>
      <c r="ED592" s="83"/>
      <c r="EE592" s="83"/>
      <c r="EF592" s="83"/>
      <c r="EG592" s="83"/>
      <c r="EH592" s="83"/>
      <c r="EI592" s="83"/>
      <c r="EJ592" s="83"/>
      <c r="EK592" s="2"/>
      <c r="EO592" s="2"/>
      <c r="ES592" s="58"/>
      <c r="ET592" s="58"/>
      <c r="EU592" s="58"/>
      <c r="EV592" s="58"/>
      <c r="EW592" s="58"/>
      <c r="EX592" s="58"/>
      <c r="EY592" s="58"/>
      <c r="EZ592" s="85"/>
    </row>
    <row r="593" spans="1:156">
      <c r="A593" s="95"/>
      <c r="B593" s="9"/>
      <c r="I593" s="54"/>
      <c r="J593" s="6"/>
      <c r="K593" s="6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90"/>
      <c r="AO593" s="91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91"/>
      <c r="CG593" s="6"/>
      <c r="CH593" s="91"/>
      <c r="CI593" s="91"/>
      <c r="CJ593" s="91"/>
      <c r="CK593" s="91"/>
      <c r="CL593" s="6"/>
      <c r="CM593" s="6"/>
      <c r="CN593" s="6"/>
      <c r="CO593" s="6"/>
      <c r="CP593" s="6"/>
      <c r="CQ593" s="6"/>
      <c r="CR593" s="6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8"/>
      <c r="DK593" s="8"/>
      <c r="DL593" s="8"/>
      <c r="DM593" s="8"/>
      <c r="DN593" s="55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83"/>
      <c r="EC593" s="83"/>
      <c r="ED593" s="83"/>
      <c r="EE593" s="83"/>
      <c r="EF593" s="83"/>
      <c r="EG593" s="83"/>
      <c r="EH593" s="83"/>
      <c r="EI593" s="83"/>
      <c r="EJ593" s="83"/>
      <c r="EK593" s="2"/>
      <c r="EO593" s="2"/>
      <c r="ES593" s="58"/>
      <c r="ET593" s="58"/>
      <c r="EU593" s="58"/>
      <c r="EV593" s="58"/>
      <c r="EW593" s="58"/>
      <c r="EX593" s="58"/>
      <c r="EY593" s="58"/>
      <c r="EZ593" s="85"/>
    </row>
    <row r="594" spans="1:156">
      <c r="A594" s="95"/>
      <c r="B594" s="9"/>
      <c r="I594" s="54"/>
      <c r="J594" s="6"/>
      <c r="K594" s="6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90"/>
      <c r="AO594" s="91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91"/>
      <c r="CG594" s="6"/>
      <c r="CH594" s="91"/>
      <c r="CI594" s="91"/>
      <c r="CJ594" s="91"/>
      <c r="CK594" s="91"/>
      <c r="CL594" s="6"/>
      <c r="CM594" s="6"/>
      <c r="CN594" s="6"/>
      <c r="CO594" s="6"/>
      <c r="CP594" s="6"/>
      <c r="CQ594" s="6"/>
      <c r="CR594" s="6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8"/>
      <c r="DK594" s="8"/>
      <c r="DL594" s="8"/>
      <c r="DM594" s="8"/>
      <c r="DN594" s="55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83"/>
      <c r="EC594" s="83"/>
      <c r="ED594" s="83"/>
      <c r="EE594" s="83"/>
      <c r="EF594" s="83"/>
      <c r="EG594" s="83"/>
      <c r="EH594" s="83"/>
      <c r="EI594" s="83"/>
      <c r="EJ594" s="83"/>
      <c r="EK594" s="2"/>
      <c r="EO594" s="2"/>
      <c r="ES594" s="58"/>
      <c r="ET594" s="58"/>
      <c r="EU594" s="58"/>
      <c r="EV594" s="58"/>
      <c r="EW594" s="58"/>
      <c r="EX594" s="58"/>
      <c r="EY594" s="58"/>
      <c r="EZ594" s="85"/>
    </row>
    <row r="595" spans="1:156">
      <c r="A595" s="95"/>
      <c r="B595" s="9"/>
      <c r="I595" s="54"/>
      <c r="J595" s="6"/>
      <c r="K595" s="6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90"/>
      <c r="AO595" s="91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91"/>
      <c r="CG595" s="6"/>
      <c r="CH595" s="91"/>
      <c r="CI595" s="91"/>
      <c r="CJ595" s="91"/>
      <c r="CK595" s="91"/>
      <c r="CL595" s="6"/>
      <c r="CM595" s="6"/>
      <c r="CN595" s="6"/>
      <c r="CO595" s="6"/>
      <c r="CP595" s="6"/>
      <c r="CQ595" s="6"/>
      <c r="CR595" s="6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8"/>
      <c r="DK595" s="8"/>
      <c r="DL595" s="8"/>
      <c r="DM595" s="8"/>
      <c r="DN595" s="55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83"/>
      <c r="EC595" s="83"/>
      <c r="ED595" s="83"/>
      <c r="EE595" s="83"/>
      <c r="EF595" s="83"/>
      <c r="EG595" s="83"/>
      <c r="EH595" s="83"/>
      <c r="EI595" s="83"/>
      <c r="EJ595" s="83"/>
      <c r="EK595" s="2"/>
      <c r="EO595" s="2"/>
      <c r="ES595" s="58"/>
      <c r="ET595" s="58"/>
      <c r="EU595" s="58"/>
      <c r="EV595" s="58"/>
      <c r="EW595" s="58"/>
      <c r="EX595" s="58"/>
      <c r="EY595" s="58"/>
      <c r="EZ595" s="85"/>
    </row>
    <row r="596" spans="1:156">
      <c r="A596" s="95"/>
      <c r="B596" s="9"/>
      <c r="I596" s="54"/>
      <c r="J596" s="6"/>
      <c r="K596" s="6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90"/>
      <c r="AO596" s="91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91"/>
      <c r="CG596" s="6"/>
      <c r="CH596" s="91"/>
      <c r="CI596" s="91"/>
      <c r="CJ596" s="91"/>
      <c r="CK596" s="91"/>
      <c r="CL596" s="6"/>
      <c r="CM596" s="6"/>
      <c r="CN596" s="6"/>
      <c r="CO596" s="6"/>
      <c r="CP596" s="6"/>
      <c r="CQ596" s="6"/>
      <c r="CR596" s="6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8"/>
      <c r="DK596" s="8"/>
      <c r="DL596" s="8"/>
      <c r="DM596" s="8"/>
      <c r="DN596" s="55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83"/>
      <c r="EC596" s="83"/>
      <c r="ED596" s="83"/>
      <c r="EE596" s="83"/>
      <c r="EF596" s="83"/>
      <c r="EG596" s="83"/>
      <c r="EH596" s="83"/>
      <c r="EI596" s="83"/>
      <c r="EJ596" s="83"/>
      <c r="EK596" s="2"/>
      <c r="EO596" s="2"/>
      <c r="ES596" s="58"/>
      <c r="ET596" s="58"/>
      <c r="EU596" s="58"/>
      <c r="EV596" s="58"/>
      <c r="EW596" s="58"/>
      <c r="EX596" s="58"/>
      <c r="EY596" s="58"/>
      <c r="EZ596" s="85"/>
    </row>
    <row r="597" spans="1:156">
      <c r="A597" s="95"/>
      <c r="B597" s="9"/>
      <c r="I597" s="54"/>
      <c r="J597" s="6"/>
      <c r="K597" s="6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90"/>
      <c r="AO597" s="91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91"/>
      <c r="CG597" s="6"/>
      <c r="CH597" s="91"/>
      <c r="CI597" s="91"/>
      <c r="CJ597" s="91"/>
      <c r="CK597" s="91"/>
      <c r="CL597" s="6"/>
      <c r="CM597" s="6"/>
      <c r="CN597" s="6"/>
      <c r="CO597" s="6"/>
      <c r="CP597" s="6"/>
      <c r="CQ597" s="6"/>
      <c r="CR597" s="6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8"/>
      <c r="DK597" s="8"/>
      <c r="DL597" s="8"/>
      <c r="DM597" s="8"/>
      <c r="DN597" s="55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83"/>
      <c r="EC597" s="83"/>
      <c r="ED597" s="83"/>
      <c r="EE597" s="83"/>
      <c r="EF597" s="83"/>
      <c r="EG597" s="83"/>
      <c r="EH597" s="83"/>
      <c r="EI597" s="83"/>
      <c r="EJ597" s="83"/>
      <c r="EK597" s="2"/>
      <c r="EO597" s="2"/>
      <c r="ES597" s="58"/>
      <c r="ET597" s="58"/>
      <c r="EU597" s="58"/>
      <c r="EV597" s="58"/>
      <c r="EW597" s="58"/>
      <c r="EX597" s="58"/>
      <c r="EY597" s="58"/>
      <c r="EZ597" s="85"/>
    </row>
    <row r="598" spans="1:156">
      <c r="A598" s="95"/>
      <c r="B598" s="9"/>
      <c r="I598" s="54"/>
      <c r="J598" s="6"/>
      <c r="K598" s="6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90"/>
      <c r="AO598" s="91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91"/>
      <c r="CG598" s="6"/>
      <c r="CH598" s="91"/>
      <c r="CI598" s="91"/>
      <c r="CJ598" s="91"/>
      <c r="CK598" s="91"/>
      <c r="CL598" s="6"/>
      <c r="CM598" s="6"/>
      <c r="CN598" s="6"/>
      <c r="CO598" s="6"/>
      <c r="CP598" s="6"/>
      <c r="CQ598" s="6"/>
      <c r="CR598" s="6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8"/>
      <c r="DK598" s="8"/>
      <c r="DL598" s="8"/>
      <c r="DM598" s="8"/>
      <c r="DN598" s="55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83"/>
      <c r="EC598" s="83"/>
      <c r="ED598" s="83"/>
      <c r="EE598" s="83"/>
      <c r="EF598" s="83"/>
      <c r="EG598" s="83"/>
      <c r="EH598" s="83"/>
      <c r="EI598" s="83"/>
      <c r="EJ598" s="83"/>
      <c r="EK598" s="2"/>
      <c r="EO598" s="2"/>
      <c r="ES598" s="58"/>
      <c r="ET598" s="58"/>
      <c r="EU598" s="58"/>
      <c r="EV598" s="58"/>
      <c r="EW598" s="58"/>
      <c r="EX598" s="58"/>
      <c r="EY598" s="58"/>
      <c r="EZ598" s="85"/>
    </row>
    <row r="599" spans="1:156">
      <c r="A599" s="95"/>
      <c r="B599" s="9"/>
      <c r="I599" s="54"/>
      <c r="J599" s="6"/>
      <c r="K599" s="6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90"/>
      <c r="AO599" s="91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91"/>
      <c r="CG599" s="6"/>
      <c r="CH599" s="91"/>
      <c r="CI599" s="91"/>
      <c r="CJ599" s="91"/>
      <c r="CK599" s="91"/>
      <c r="CL599" s="6"/>
      <c r="CM599" s="6"/>
      <c r="CN599" s="6"/>
      <c r="CO599" s="6"/>
      <c r="CP599" s="6"/>
      <c r="CQ599" s="6"/>
      <c r="CR599" s="6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8"/>
      <c r="DK599" s="8"/>
      <c r="DL599" s="8"/>
      <c r="DM599" s="8"/>
      <c r="DN599" s="55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83"/>
      <c r="EC599" s="83"/>
      <c r="ED599" s="83"/>
      <c r="EE599" s="83"/>
      <c r="EF599" s="83"/>
      <c r="EG599" s="83"/>
      <c r="EH599" s="83"/>
      <c r="EI599" s="83"/>
      <c r="EJ599" s="83"/>
      <c r="EK599" s="2"/>
      <c r="EO599" s="2"/>
      <c r="ES599" s="58"/>
      <c r="ET599" s="58"/>
      <c r="EU599" s="58"/>
      <c r="EV599" s="58"/>
      <c r="EW599" s="58"/>
      <c r="EX599" s="58"/>
      <c r="EY599" s="58"/>
      <c r="EZ599" s="85"/>
    </row>
    <row r="600" spans="1:156">
      <c r="A600" s="95"/>
      <c r="B600" s="9"/>
      <c r="I600" s="54"/>
      <c r="J600" s="6"/>
      <c r="K600" s="6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90"/>
      <c r="AO600" s="91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91"/>
      <c r="CG600" s="6"/>
      <c r="CH600" s="91"/>
      <c r="CI600" s="91"/>
      <c r="CJ600" s="91"/>
      <c r="CK600" s="91"/>
      <c r="CL600" s="6"/>
      <c r="CM600" s="6"/>
      <c r="CN600" s="6"/>
      <c r="CO600" s="6"/>
      <c r="CP600" s="6"/>
      <c r="CQ600" s="6"/>
      <c r="CR600" s="6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8"/>
      <c r="DK600" s="8"/>
      <c r="DL600" s="8"/>
      <c r="DM600" s="8"/>
      <c r="DN600" s="55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83"/>
      <c r="EC600" s="83"/>
      <c r="ED600" s="83"/>
      <c r="EE600" s="83"/>
      <c r="EF600" s="83"/>
      <c r="EG600" s="83"/>
      <c r="EH600" s="83"/>
      <c r="EI600" s="83"/>
      <c r="EJ600" s="83"/>
      <c r="EK600" s="2"/>
      <c r="EO600" s="2"/>
      <c r="ES600" s="58"/>
      <c r="ET600" s="58"/>
      <c r="EU600" s="58"/>
      <c r="EV600" s="58"/>
      <c r="EW600" s="58"/>
      <c r="EX600" s="58"/>
      <c r="EY600" s="58"/>
      <c r="EZ600" s="85"/>
    </row>
    <row r="601" spans="1:156">
      <c r="A601" s="95"/>
      <c r="B601" s="9"/>
      <c r="I601" s="54"/>
      <c r="J601" s="6"/>
      <c r="K601" s="6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90"/>
      <c r="AO601" s="91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91"/>
      <c r="CG601" s="6"/>
      <c r="CH601" s="91"/>
      <c r="CI601" s="91"/>
      <c r="CJ601" s="91"/>
      <c r="CK601" s="91"/>
      <c r="CL601" s="6"/>
      <c r="CM601" s="6"/>
      <c r="CN601" s="6"/>
      <c r="CO601" s="6"/>
      <c r="CP601" s="6"/>
      <c r="CQ601" s="6"/>
      <c r="CR601" s="6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8"/>
      <c r="DK601" s="8"/>
      <c r="DL601" s="8"/>
      <c r="DM601" s="8"/>
      <c r="DN601" s="55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83"/>
      <c r="EC601" s="83"/>
      <c r="ED601" s="83"/>
      <c r="EE601" s="83"/>
      <c r="EF601" s="83"/>
      <c r="EG601" s="83"/>
      <c r="EH601" s="83"/>
      <c r="EI601" s="83"/>
      <c r="EJ601" s="83"/>
      <c r="EK601" s="2"/>
      <c r="EO601" s="2"/>
      <c r="ES601" s="58"/>
      <c r="ET601" s="58"/>
      <c r="EU601" s="58"/>
      <c r="EV601" s="58"/>
      <c r="EW601" s="58"/>
      <c r="EX601" s="58"/>
      <c r="EY601" s="58"/>
      <c r="EZ601" s="85"/>
    </row>
    <row r="602" spans="1:156">
      <c r="A602" s="95"/>
      <c r="B602" s="9"/>
      <c r="I602" s="54"/>
      <c r="J602" s="6"/>
      <c r="K602" s="6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90"/>
      <c r="AO602" s="91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91"/>
      <c r="CG602" s="6"/>
      <c r="CH602" s="91"/>
      <c r="CI602" s="91"/>
      <c r="CJ602" s="91"/>
      <c r="CK602" s="91"/>
      <c r="CL602" s="6"/>
      <c r="CM602" s="6"/>
      <c r="CN602" s="6"/>
      <c r="CO602" s="6"/>
      <c r="CP602" s="6"/>
      <c r="CQ602" s="6"/>
      <c r="CR602" s="6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8"/>
      <c r="DK602" s="8"/>
      <c r="DL602" s="8"/>
      <c r="DM602" s="8"/>
      <c r="DN602" s="55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83"/>
      <c r="EC602" s="83"/>
      <c r="ED602" s="83"/>
      <c r="EE602" s="83"/>
      <c r="EF602" s="83"/>
      <c r="EG602" s="83"/>
      <c r="EH602" s="83"/>
      <c r="EI602" s="83"/>
      <c r="EJ602" s="83"/>
      <c r="EK602" s="2"/>
      <c r="EO602" s="2"/>
      <c r="ES602" s="58"/>
      <c r="ET602" s="58"/>
      <c r="EU602" s="58"/>
      <c r="EV602" s="58"/>
      <c r="EW602" s="58"/>
      <c r="EX602" s="58"/>
      <c r="EY602" s="58"/>
      <c r="EZ602" s="85"/>
    </row>
    <row r="603" spans="1:156">
      <c r="A603" s="95"/>
      <c r="B603" s="9"/>
      <c r="I603" s="54"/>
      <c r="J603" s="6"/>
      <c r="K603" s="6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90"/>
      <c r="AO603" s="91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91"/>
      <c r="CG603" s="6"/>
      <c r="CH603" s="91"/>
      <c r="CI603" s="91"/>
      <c r="CJ603" s="91"/>
      <c r="CK603" s="91"/>
      <c r="CL603" s="6"/>
      <c r="CM603" s="6"/>
      <c r="CN603" s="6"/>
      <c r="CO603" s="6"/>
      <c r="CP603" s="6"/>
      <c r="CQ603" s="6"/>
      <c r="CR603" s="6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8"/>
      <c r="DK603" s="8"/>
      <c r="DL603" s="8"/>
      <c r="DM603" s="8"/>
      <c r="DN603" s="55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83"/>
      <c r="EC603" s="83"/>
      <c r="ED603" s="83"/>
      <c r="EE603" s="83"/>
      <c r="EF603" s="83"/>
      <c r="EG603" s="83"/>
      <c r="EH603" s="83"/>
      <c r="EI603" s="83"/>
      <c r="EJ603" s="83"/>
      <c r="EK603" s="2"/>
      <c r="EO603" s="2"/>
      <c r="ES603" s="58"/>
      <c r="ET603" s="58"/>
      <c r="EU603" s="58"/>
      <c r="EV603" s="58"/>
      <c r="EW603" s="58"/>
      <c r="EX603" s="58"/>
      <c r="EY603" s="58"/>
      <c r="EZ603" s="85"/>
    </row>
    <row r="604" spans="1:156">
      <c r="A604" s="95"/>
      <c r="B604" s="9"/>
      <c r="I604" s="54"/>
      <c r="J604" s="6"/>
      <c r="K604" s="6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90"/>
      <c r="AO604" s="91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91"/>
      <c r="CG604" s="6"/>
      <c r="CH604" s="91"/>
      <c r="CI604" s="91"/>
      <c r="CJ604" s="91"/>
      <c r="CK604" s="91"/>
      <c r="CL604" s="6"/>
      <c r="CM604" s="6"/>
      <c r="CN604" s="6"/>
      <c r="CO604" s="6"/>
      <c r="CP604" s="6"/>
      <c r="CQ604" s="6"/>
      <c r="CR604" s="6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8"/>
      <c r="DK604" s="8"/>
      <c r="DL604" s="8"/>
      <c r="DM604" s="8"/>
      <c r="DN604" s="55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83"/>
      <c r="EC604" s="83"/>
      <c r="ED604" s="83"/>
      <c r="EE604" s="83"/>
      <c r="EF604" s="83"/>
      <c r="EG604" s="83"/>
      <c r="EH604" s="83"/>
      <c r="EI604" s="83"/>
      <c r="EJ604" s="83"/>
      <c r="EK604" s="2"/>
      <c r="EO604" s="2"/>
      <c r="ES604" s="58"/>
      <c r="ET604" s="58"/>
      <c r="EU604" s="58"/>
      <c r="EV604" s="58"/>
      <c r="EW604" s="58"/>
      <c r="EX604" s="58"/>
      <c r="EY604" s="58"/>
      <c r="EZ604" s="85"/>
    </row>
    <row r="605" spans="1:156">
      <c r="A605" s="95"/>
      <c r="B605" s="9"/>
      <c r="I605" s="54"/>
      <c r="J605" s="6"/>
      <c r="K605" s="6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90"/>
      <c r="AO605" s="91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91"/>
      <c r="CG605" s="6"/>
      <c r="CH605" s="91"/>
      <c r="CI605" s="91"/>
      <c r="CJ605" s="91"/>
      <c r="CK605" s="91"/>
      <c r="CL605" s="6"/>
      <c r="CM605" s="6"/>
      <c r="CN605" s="6"/>
      <c r="CO605" s="6"/>
      <c r="CP605" s="6"/>
      <c r="CQ605" s="6"/>
      <c r="CR605" s="6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8"/>
      <c r="DK605" s="8"/>
      <c r="DL605" s="8"/>
      <c r="DM605" s="8"/>
      <c r="DN605" s="55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83"/>
      <c r="EC605" s="83"/>
      <c r="ED605" s="83"/>
      <c r="EE605" s="83"/>
      <c r="EF605" s="83"/>
      <c r="EG605" s="83"/>
      <c r="EH605" s="83"/>
      <c r="EI605" s="83"/>
      <c r="EJ605" s="83"/>
      <c r="EK605" s="2"/>
      <c r="EO605" s="2"/>
      <c r="ES605" s="58"/>
      <c r="ET605" s="58"/>
      <c r="EU605" s="58"/>
      <c r="EV605" s="58"/>
      <c r="EW605" s="58"/>
      <c r="EX605" s="58"/>
      <c r="EY605" s="58"/>
      <c r="EZ605" s="85"/>
    </row>
    <row r="606" spans="1:156">
      <c r="A606" s="95"/>
      <c r="B606" s="9"/>
      <c r="I606" s="54"/>
      <c r="J606" s="6"/>
      <c r="K606" s="6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90"/>
      <c r="AO606" s="91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91"/>
      <c r="CG606" s="6"/>
      <c r="CH606" s="91"/>
      <c r="CI606" s="91"/>
      <c r="CJ606" s="91"/>
      <c r="CK606" s="91"/>
      <c r="CL606" s="6"/>
      <c r="CM606" s="6"/>
      <c r="CN606" s="6"/>
      <c r="CO606" s="6"/>
      <c r="CP606" s="6"/>
      <c r="CQ606" s="6"/>
      <c r="CR606" s="6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8"/>
      <c r="DK606" s="8"/>
      <c r="DL606" s="8"/>
      <c r="DM606" s="8"/>
      <c r="DN606" s="55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83"/>
      <c r="EC606" s="83"/>
      <c r="ED606" s="83"/>
      <c r="EE606" s="83"/>
      <c r="EF606" s="83"/>
      <c r="EG606" s="83"/>
      <c r="EH606" s="83"/>
      <c r="EI606" s="83"/>
      <c r="EJ606" s="83"/>
      <c r="EK606" s="2"/>
      <c r="EO606" s="2"/>
      <c r="ES606" s="58"/>
      <c r="ET606" s="58"/>
      <c r="EU606" s="58"/>
      <c r="EV606" s="58"/>
      <c r="EW606" s="58"/>
      <c r="EX606" s="58"/>
      <c r="EY606" s="58"/>
      <c r="EZ606" s="85"/>
    </row>
    <row r="607" spans="1:156">
      <c r="A607" s="95"/>
      <c r="B607" s="9"/>
      <c r="I607" s="54"/>
      <c r="J607" s="6"/>
      <c r="K607" s="6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90"/>
      <c r="AO607" s="91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91"/>
      <c r="CG607" s="6"/>
      <c r="CH607" s="91"/>
      <c r="CI607" s="91"/>
      <c r="CJ607" s="91"/>
      <c r="CK607" s="91"/>
      <c r="CL607" s="6"/>
      <c r="CM607" s="6"/>
      <c r="CN607" s="6"/>
      <c r="CO607" s="6"/>
      <c r="CP607" s="6"/>
      <c r="CQ607" s="6"/>
      <c r="CR607" s="6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8"/>
      <c r="DK607" s="8"/>
      <c r="DL607" s="8"/>
      <c r="DM607" s="8"/>
      <c r="DN607" s="55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83"/>
      <c r="EC607" s="83"/>
      <c r="ED607" s="83"/>
      <c r="EE607" s="83"/>
      <c r="EF607" s="83"/>
      <c r="EG607" s="83"/>
      <c r="EH607" s="83"/>
      <c r="EI607" s="83"/>
      <c r="EJ607" s="83"/>
      <c r="EK607" s="2"/>
      <c r="EO607" s="2"/>
      <c r="ES607" s="58"/>
      <c r="ET607" s="58"/>
      <c r="EU607" s="58"/>
      <c r="EV607" s="58"/>
      <c r="EW607" s="58"/>
      <c r="EX607" s="58"/>
      <c r="EY607" s="58"/>
      <c r="EZ607" s="85"/>
    </row>
    <row r="608" spans="1:156">
      <c r="A608" s="95"/>
      <c r="B608" s="9"/>
      <c r="I608" s="54"/>
      <c r="J608" s="6"/>
      <c r="K608" s="6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90"/>
      <c r="AO608" s="91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91"/>
      <c r="CG608" s="6"/>
      <c r="CH608" s="91"/>
      <c r="CI608" s="91"/>
      <c r="CJ608" s="91"/>
      <c r="CK608" s="91"/>
      <c r="CL608" s="6"/>
      <c r="CM608" s="6"/>
      <c r="CN608" s="6"/>
      <c r="CO608" s="6"/>
      <c r="CP608" s="6"/>
      <c r="CQ608" s="6"/>
      <c r="CR608" s="6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8"/>
      <c r="DK608" s="8"/>
      <c r="DL608" s="8"/>
      <c r="DM608" s="8"/>
      <c r="DN608" s="55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83"/>
      <c r="EC608" s="83"/>
      <c r="ED608" s="83"/>
      <c r="EE608" s="83"/>
      <c r="EF608" s="83"/>
      <c r="EG608" s="83"/>
      <c r="EH608" s="83"/>
      <c r="EI608" s="83"/>
      <c r="EJ608" s="83"/>
      <c r="EK608" s="2"/>
      <c r="EO608" s="2"/>
      <c r="ES608" s="58"/>
      <c r="ET608" s="58"/>
      <c r="EU608" s="58"/>
      <c r="EV608" s="58"/>
      <c r="EW608" s="58"/>
      <c r="EX608" s="58"/>
      <c r="EY608" s="58"/>
      <c r="EZ608" s="85"/>
    </row>
    <row r="609" spans="1:156">
      <c r="A609" s="95"/>
      <c r="B609" s="9"/>
      <c r="I609" s="54"/>
      <c r="J609" s="6"/>
      <c r="K609" s="6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90"/>
      <c r="AO609" s="91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91"/>
      <c r="CG609" s="6"/>
      <c r="CH609" s="91"/>
      <c r="CI609" s="91"/>
      <c r="CJ609" s="91"/>
      <c r="CK609" s="91"/>
      <c r="CL609" s="6"/>
      <c r="CM609" s="6"/>
      <c r="CN609" s="6"/>
      <c r="CO609" s="6"/>
      <c r="CP609" s="6"/>
      <c r="CQ609" s="6"/>
      <c r="CR609" s="6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8"/>
      <c r="DK609" s="8"/>
      <c r="DL609" s="8"/>
      <c r="DM609" s="8"/>
      <c r="DN609" s="55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83"/>
      <c r="EC609" s="83"/>
      <c r="ED609" s="83"/>
      <c r="EE609" s="83"/>
      <c r="EF609" s="83"/>
      <c r="EG609" s="83"/>
      <c r="EH609" s="83"/>
      <c r="EI609" s="83"/>
      <c r="EJ609" s="83"/>
      <c r="EK609" s="2"/>
      <c r="EO609" s="2"/>
      <c r="ES609" s="58"/>
      <c r="ET609" s="58"/>
      <c r="EU609" s="58"/>
      <c r="EV609" s="58"/>
      <c r="EW609" s="58"/>
      <c r="EX609" s="58"/>
      <c r="EY609" s="58"/>
      <c r="EZ609" s="85"/>
    </row>
    <row r="610" spans="1:156">
      <c r="A610" s="95"/>
      <c r="B610" s="9"/>
      <c r="I610" s="54"/>
      <c r="J610" s="6"/>
      <c r="K610" s="6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90"/>
      <c r="AO610" s="91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91"/>
      <c r="CG610" s="6"/>
      <c r="CH610" s="91"/>
      <c r="CI610" s="91"/>
      <c r="CJ610" s="91"/>
      <c r="CK610" s="91"/>
      <c r="CL610" s="6"/>
      <c r="CM610" s="6"/>
      <c r="CN610" s="6"/>
      <c r="CO610" s="6"/>
      <c r="CP610" s="6"/>
      <c r="CQ610" s="6"/>
      <c r="CR610" s="6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8"/>
      <c r="DK610" s="8"/>
      <c r="DL610" s="8"/>
      <c r="DM610" s="8"/>
      <c r="DN610" s="55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83"/>
      <c r="EC610" s="83"/>
      <c r="ED610" s="83"/>
      <c r="EE610" s="83"/>
      <c r="EF610" s="83"/>
      <c r="EG610" s="83"/>
      <c r="EH610" s="83"/>
      <c r="EI610" s="83"/>
      <c r="EJ610" s="83"/>
      <c r="EK610" s="2"/>
      <c r="EO610" s="2"/>
      <c r="ES610" s="58"/>
      <c r="ET610" s="58"/>
      <c r="EU610" s="58"/>
      <c r="EV610" s="58"/>
      <c r="EW610" s="58"/>
      <c r="EX610" s="58"/>
      <c r="EY610" s="58"/>
      <c r="EZ610" s="85"/>
    </row>
    <row r="611" spans="1:156">
      <c r="A611" s="95"/>
      <c r="B611" s="9"/>
      <c r="I611" s="54"/>
      <c r="J611" s="6"/>
      <c r="K611" s="6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90"/>
      <c r="AO611" s="91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91"/>
      <c r="CG611" s="6"/>
      <c r="CH611" s="91"/>
      <c r="CI611" s="91"/>
      <c r="CJ611" s="91"/>
      <c r="CK611" s="91"/>
      <c r="CL611" s="6"/>
      <c r="CM611" s="6"/>
      <c r="CN611" s="6"/>
      <c r="CO611" s="6"/>
      <c r="CP611" s="6"/>
      <c r="CQ611" s="6"/>
      <c r="CR611" s="6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8"/>
      <c r="DK611" s="8"/>
      <c r="DL611" s="8"/>
      <c r="DM611" s="8"/>
      <c r="DN611" s="55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83"/>
      <c r="EC611" s="83"/>
      <c r="ED611" s="83"/>
      <c r="EE611" s="83"/>
      <c r="EF611" s="83"/>
      <c r="EG611" s="83"/>
      <c r="EH611" s="83"/>
      <c r="EI611" s="83"/>
      <c r="EJ611" s="83"/>
      <c r="EK611" s="2"/>
      <c r="EO611" s="2"/>
      <c r="ES611" s="58"/>
      <c r="ET611" s="58"/>
      <c r="EU611" s="58"/>
      <c r="EV611" s="58"/>
      <c r="EW611" s="58"/>
      <c r="EX611" s="58"/>
      <c r="EY611" s="58"/>
      <c r="EZ611" s="85"/>
    </row>
    <row r="612" spans="1:156">
      <c r="A612" s="95"/>
      <c r="B612" s="9"/>
      <c r="I612" s="54"/>
      <c r="J612" s="6"/>
      <c r="K612" s="6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90"/>
      <c r="AO612" s="91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91"/>
      <c r="CG612" s="6"/>
      <c r="CH612" s="91"/>
      <c r="CI612" s="91"/>
      <c r="CJ612" s="91"/>
      <c r="CK612" s="91"/>
      <c r="CL612" s="6"/>
      <c r="CM612" s="6"/>
      <c r="CN612" s="6"/>
      <c r="CO612" s="6"/>
      <c r="CP612" s="6"/>
      <c r="CQ612" s="6"/>
      <c r="CR612" s="6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8"/>
      <c r="DK612" s="8"/>
      <c r="DL612" s="8"/>
      <c r="DM612" s="8"/>
      <c r="DN612" s="55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83"/>
      <c r="EC612" s="83"/>
      <c r="ED612" s="83"/>
      <c r="EE612" s="83"/>
      <c r="EF612" s="83"/>
      <c r="EG612" s="83"/>
      <c r="EH612" s="83"/>
      <c r="EI612" s="83"/>
      <c r="EJ612" s="83"/>
      <c r="EK612" s="2"/>
      <c r="EO612" s="2"/>
      <c r="ES612" s="58"/>
      <c r="ET612" s="58"/>
      <c r="EU612" s="58"/>
      <c r="EV612" s="58"/>
      <c r="EW612" s="58"/>
      <c r="EX612" s="58"/>
      <c r="EY612" s="58"/>
      <c r="EZ612" s="85"/>
    </row>
    <row r="613" spans="1:156">
      <c r="A613" s="95"/>
      <c r="B613" s="9"/>
      <c r="I613" s="54"/>
      <c r="J613" s="6"/>
      <c r="K613" s="6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90"/>
      <c r="AO613" s="91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91"/>
      <c r="CG613" s="6"/>
      <c r="CH613" s="91"/>
      <c r="CI613" s="91"/>
      <c r="CJ613" s="91"/>
      <c r="CK613" s="91"/>
      <c r="CL613" s="6"/>
      <c r="CM613" s="6"/>
      <c r="CN613" s="6"/>
      <c r="CO613" s="6"/>
      <c r="CP613" s="6"/>
      <c r="CQ613" s="6"/>
      <c r="CR613" s="6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8"/>
      <c r="DK613" s="8"/>
      <c r="DL613" s="8"/>
      <c r="DM613" s="8"/>
      <c r="DN613" s="55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83"/>
      <c r="EC613" s="83"/>
      <c r="ED613" s="83"/>
      <c r="EE613" s="83"/>
      <c r="EF613" s="83"/>
      <c r="EG613" s="83"/>
      <c r="EH613" s="83"/>
      <c r="EI613" s="83"/>
      <c r="EJ613" s="83"/>
      <c r="EK613" s="2"/>
      <c r="EO613" s="2"/>
      <c r="ES613" s="58"/>
      <c r="ET613" s="58"/>
      <c r="EU613" s="58"/>
      <c r="EV613" s="58"/>
      <c r="EW613" s="58"/>
      <c r="EX613" s="58"/>
      <c r="EY613" s="58"/>
      <c r="EZ613" s="85"/>
    </row>
    <row r="614" spans="1:156">
      <c r="A614" s="95"/>
      <c r="B614" s="9"/>
      <c r="I614" s="54"/>
      <c r="J614" s="6"/>
      <c r="K614" s="6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90"/>
      <c r="AO614" s="91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91"/>
      <c r="CG614" s="6"/>
      <c r="CH614" s="91"/>
      <c r="CI614" s="91"/>
      <c r="CJ614" s="91"/>
      <c r="CK614" s="91"/>
      <c r="CL614" s="6"/>
      <c r="CM614" s="6"/>
      <c r="CN614" s="6"/>
      <c r="CO614" s="6"/>
      <c r="CP614" s="6"/>
      <c r="CQ614" s="6"/>
      <c r="CR614" s="6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8"/>
      <c r="DK614" s="8"/>
      <c r="DL614" s="8"/>
      <c r="DM614" s="8"/>
      <c r="DN614" s="55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83"/>
      <c r="EC614" s="83"/>
      <c r="ED614" s="83"/>
      <c r="EE614" s="83"/>
      <c r="EF614" s="83"/>
      <c r="EG614" s="83"/>
      <c r="EH614" s="83"/>
      <c r="EI614" s="83"/>
      <c r="EJ614" s="83"/>
      <c r="EK614" s="2"/>
      <c r="EO614" s="2"/>
      <c r="ES614" s="58"/>
      <c r="ET614" s="58"/>
      <c r="EU614" s="58"/>
      <c r="EV614" s="58"/>
      <c r="EW614" s="58"/>
      <c r="EX614" s="58"/>
      <c r="EY614" s="58"/>
      <c r="EZ614" s="85"/>
    </row>
    <row r="615" spans="1:156">
      <c r="A615" s="95"/>
      <c r="B615" s="9"/>
      <c r="I615" s="54"/>
      <c r="J615" s="6"/>
      <c r="K615" s="6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90"/>
      <c r="AO615" s="91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91"/>
      <c r="CG615" s="6"/>
      <c r="CH615" s="91"/>
      <c r="CI615" s="91"/>
      <c r="CJ615" s="91"/>
      <c r="CK615" s="91"/>
      <c r="CL615" s="6"/>
      <c r="CM615" s="6"/>
      <c r="CN615" s="6"/>
      <c r="CO615" s="6"/>
      <c r="CP615" s="6"/>
      <c r="CQ615" s="6"/>
      <c r="CR615" s="6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8"/>
      <c r="DK615" s="8"/>
      <c r="DL615" s="8"/>
      <c r="DM615" s="8"/>
      <c r="DN615" s="55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83"/>
      <c r="EC615" s="83"/>
      <c r="ED615" s="83"/>
      <c r="EE615" s="83"/>
      <c r="EF615" s="83"/>
      <c r="EG615" s="83"/>
      <c r="EH615" s="83"/>
      <c r="EI615" s="83"/>
      <c r="EJ615" s="83"/>
      <c r="EK615" s="2"/>
      <c r="EO615" s="2"/>
      <c r="ES615" s="58"/>
      <c r="ET615" s="58"/>
      <c r="EU615" s="58"/>
      <c r="EV615" s="58"/>
      <c r="EW615" s="58"/>
      <c r="EX615" s="58"/>
      <c r="EY615" s="58"/>
      <c r="EZ615" s="85"/>
    </row>
    <row r="616" spans="1:156">
      <c r="A616" s="95"/>
      <c r="B616" s="9"/>
      <c r="I616" s="54"/>
      <c r="J616" s="6"/>
      <c r="K616" s="6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90"/>
      <c r="AO616" s="91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91"/>
      <c r="CG616" s="6"/>
      <c r="CH616" s="91"/>
      <c r="CI616" s="91"/>
      <c r="CJ616" s="91"/>
      <c r="CK616" s="91"/>
      <c r="CL616" s="6"/>
      <c r="CM616" s="6"/>
      <c r="CN616" s="6"/>
      <c r="CO616" s="6"/>
      <c r="CP616" s="6"/>
      <c r="CQ616" s="6"/>
      <c r="CR616" s="6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8"/>
      <c r="DK616" s="8"/>
      <c r="DL616" s="8"/>
      <c r="DM616" s="8"/>
      <c r="DN616" s="55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83"/>
      <c r="EC616" s="83"/>
      <c r="ED616" s="83"/>
      <c r="EE616" s="83"/>
      <c r="EF616" s="83"/>
      <c r="EG616" s="83"/>
      <c r="EH616" s="83"/>
      <c r="EI616" s="83"/>
      <c r="EJ616" s="83"/>
      <c r="EK616" s="2"/>
      <c r="EO616" s="2"/>
      <c r="ES616" s="58"/>
      <c r="ET616" s="58"/>
      <c r="EU616" s="58"/>
      <c r="EV616" s="58"/>
      <c r="EW616" s="58"/>
      <c r="EX616" s="58"/>
      <c r="EY616" s="58"/>
      <c r="EZ616" s="85"/>
    </row>
    <row r="617" spans="1:156">
      <c r="A617" s="95"/>
      <c r="B617" s="9"/>
      <c r="I617" s="54"/>
      <c r="J617" s="6"/>
      <c r="K617" s="6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90"/>
      <c r="AO617" s="91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91"/>
      <c r="CG617" s="6"/>
      <c r="CH617" s="91"/>
      <c r="CI617" s="91"/>
      <c r="CJ617" s="91"/>
      <c r="CK617" s="91"/>
      <c r="CL617" s="6"/>
      <c r="CM617" s="6"/>
      <c r="CN617" s="6"/>
      <c r="CO617" s="6"/>
      <c r="CP617" s="6"/>
      <c r="CQ617" s="6"/>
      <c r="CR617" s="6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8"/>
      <c r="DK617" s="8"/>
      <c r="DL617" s="8"/>
      <c r="DM617" s="8"/>
      <c r="DN617" s="55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83"/>
      <c r="EC617" s="83"/>
      <c r="ED617" s="83"/>
      <c r="EE617" s="83"/>
      <c r="EF617" s="83"/>
      <c r="EG617" s="83"/>
      <c r="EH617" s="83"/>
      <c r="EI617" s="83"/>
      <c r="EJ617" s="83"/>
      <c r="EK617" s="2"/>
      <c r="EO617" s="2"/>
      <c r="ES617" s="58"/>
      <c r="ET617" s="58"/>
      <c r="EU617" s="58"/>
      <c r="EV617" s="58"/>
      <c r="EW617" s="58"/>
      <c r="EX617" s="58"/>
      <c r="EY617" s="58"/>
      <c r="EZ617" s="85"/>
    </row>
    <row r="618" spans="1:156">
      <c r="A618" s="95"/>
      <c r="B618" s="9"/>
      <c r="I618" s="54"/>
      <c r="J618" s="6"/>
      <c r="K618" s="6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90"/>
      <c r="AO618" s="91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91"/>
      <c r="CG618" s="6"/>
      <c r="CH618" s="91"/>
      <c r="CI618" s="91"/>
      <c r="CJ618" s="91"/>
      <c r="CK618" s="91"/>
      <c r="CL618" s="6"/>
      <c r="CM618" s="6"/>
      <c r="CN618" s="6"/>
      <c r="CO618" s="6"/>
      <c r="CP618" s="6"/>
      <c r="CQ618" s="6"/>
      <c r="CR618" s="6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8"/>
      <c r="DK618" s="8"/>
      <c r="DL618" s="8"/>
      <c r="DM618" s="8"/>
      <c r="DN618" s="55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83"/>
      <c r="EC618" s="83"/>
      <c r="ED618" s="83"/>
      <c r="EE618" s="83"/>
      <c r="EF618" s="83"/>
      <c r="EG618" s="83"/>
      <c r="EH618" s="83"/>
      <c r="EI618" s="83"/>
      <c r="EJ618" s="83"/>
      <c r="EK618" s="2"/>
      <c r="EO618" s="2"/>
      <c r="ES618" s="58"/>
      <c r="ET618" s="58"/>
      <c r="EU618" s="58"/>
      <c r="EV618" s="58"/>
      <c r="EW618" s="58"/>
      <c r="EX618" s="58"/>
      <c r="EY618" s="58"/>
      <c r="EZ618" s="85"/>
    </row>
    <row r="619" spans="1:156">
      <c r="A619" s="95"/>
      <c r="B619" s="9"/>
      <c r="I619" s="54"/>
      <c r="J619" s="6"/>
      <c r="K619" s="6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90"/>
      <c r="AO619" s="91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91"/>
      <c r="CG619" s="6"/>
      <c r="CH619" s="91"/>
      <c r="CI619" s="91"/>
      <c r="CJ619" s="91"/>
      <c r="CK619" s="91"/>
      <c r="CL619" s="6"/>
      <c r="CM619" s="6"/>
      <c r="CN619" s="6"/>
      <c r="CO619" s="6"/>
      <c r="CP619" s="6"/>
      <c r="CQ619" s="6"/>
      <c r="CR619" s="6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8"/>
      <c r="DK619" s="8"/>
      <c r="DL619" s="8"/>
      <c r="DM619" s="8"/>
      <c r="DN619" s="55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83"/>
      <c r="EC619" s="83"/>
      <c r="ED619" s="83"/>
      <c r="EE619" s="83"/>
      <c r="EF619" s="83"/>
      <c r="EG619" s="83"/>
      <c r="EH619" s="83"/>
      <c r="EI619" s="83"/>
      <c r="EJ619" s="83"/>
      <c r="EK619" s="2"/>
      <c r="EO619" s="2"/>
      <c r="ES619" s="58"/>
      <c r="ET619" s="58"/>
      <c r="EU619" s="58"/>
      <c r="EV619" s="58"/>
      <c r="EW619" s="58"/>
      <c r="EX619" s="58"/>
      <c r="EY619" s="58"/>
      <c r="EZ619" s="85"/>
    </row>
    <row r="620" spans="1:156">
      <c r="A620" s="95"/>
      <c r="B620" s="9"/>
      <c r="I620" s="54"/>
      <c r="J620" s="6"/>
      <c r="K620" s="6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90"/>
      <c r="AO620" s="91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91"/>
      <c r="CG620" s="6"/>
      <c r="CH620" s="91"/>
      <c r="CI620" s="91"/>
      <c r="CJ620" s="91"/>
      <c r="CK620" s="91"/>
      <c r="CL620" s="6"/>
      <c r="CM620" s="6"/>
      <c r="CN620" s="6"/>
      <c r="CO620" s="6"/>
      <c r="CP620" s="6"/>
      <c r="CQ620" s="6"/>
      <c r="CR620" s="6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8"/>
      <c r="DK620" s="8"/>
      <c r="DL620" s="8"/>
      <c r="DM620" s="8"/>
      <c r="DN620" s="55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83"/>
      <c r="EC620" s="83"/>
      <c r="ED620" s="83"/>
      <c r="EE620" s="83"/>
      <c r="EF620" s="83"/>
      <c r="EG620" s="83"/>
      <c r="EH620" s="83"/>
      <c r="EI620" s="83"/>
      <c r="EJ620" s="83"/>
      <c r="EK620" s="2"/>
      <c r="EO620" s="2"/>
      <c r="ES620" s="58"/>
      <c r="ET620" s="58"/>
      <c r="EU620" s="58"/>
      <c r="EV620" s="58"/>
      <c r="EW620" s="58"/>
      <c r="EX620" s="58"/>
      <c r="EY620" s="58"/>
      <c r="EZ620" s="85"/>
    </row>
    <row r="621" spans="1:156">
      <c r="A621" s="95"/>
      <c r="B621" s="9"/>
      <c r="I621" s="54"/>
      <c r="J621" s="6"/>
      <c r="K621" s="6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90"/>
      <c r="AO621" s="91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91"/>
      <c r="CG621" s="6"/>
      <c r="CH621" s="91"/>
      <c r="CI621" s="91"/>
      <c r="CJ621" s="91"/>
      <c r="CK621" s="91"/>
      <c r="CL621" s="6"/>
      <c r="CM621" s="6"/>
      <c r="CN621" s="6"/>
      <c r="CO621" s="6"/>
      <c r="CP621" s="6"/>
      <c r="CQ621" s="6"/>
      <c r="CR621" s="6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8"/>
      <c r="DK621" s="8"/>
      <c r="DL621" s="8"/>
      <c r="DM621" s="8"/>
      <c r="DN621" s="55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83"/>
      <c r="EC621" s="83"/>
      <c r="ED621" s="83"/>
      <c r="EE621" s="83"/>
      <c r="EF621" s="83"/>
      <c r="EG621" s="83"/>
      <c r="EH621" s="83"/>
      <c r="EI621" s="83"/>
      <c r="EJ621" s="83"/>
      <c r="EK621" s="2"/>
      <c r="EO621" s="2"/>
      <c r="ES621" s="58"/>
      <c r="ET621" s="58"/>
      <c r="EU621" s="58"/>
      <c r="EV621" s="58"/>
      <c r="EW621" s="58"/>
      <c r="EX621" s="58"/>
      <c r="EY621" s="58"/>
      <c r="EZ621" s="85"/>
    </row>
    <row r="622" spans="1:156">
      <c r="A622" s="95"/>
      <c r="B622" s="9"/>
      <c r="I622" s="54"/>
      <c r="J622" s="6"/>
      <c r="K622" s="6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90"/>
      <c r="AO622" s="91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91"/>
      <c r="CG622" s="6"/>
      <c r="CH622" s="91"/>
      <c r="CI622" s="91"/>
      <c r="CJ622" s="91"/>
      <c r="CK622" s="91"/>
      <c r="CL622" s="6"/>
      <c r="CM622" s="6"/>
      <c r="CN622" s="6"/>
      <c r="CO622" s="6"/>
      <c r="CP622" s="6"/>
      <c r="CQ622" s="6"/>
      <c r="CR622" s="6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8"/>
      <c r="DK622" s="8"/>
      <c r="DL622" s="8"/>
      <c r="DM622" s="8"/>
      <c r="DN622" s="55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83"/>
      <c r="EC622" s="83"/>
      <c r="ED622" s="83"/>
      <c r="EE622" s="83"/>
      <c r="EF622" s="83"/>
      <c r="EG622" s="83"/>
      <c r="EH622" s="83"/>
      <c r="EI622" s="83"/>
      <c r="EJ622" s="83"/>
      <c r="EK622" s="2"/>
      <c r="EO622" s="2"/>
      <c r="ES622" s="58"/>
      <c r="ET622" s="58"/>
      <c r="EU622" s="58"/>
      <c r="EV622" s="58"/>
      <c r="EW622" s="58"/>
      <c r="EX622" s="58"/>
      <c r="EY622" s="58"/>
      <c r="EZ622" s="85"/>
    </row>
    <row r="623" spans="1:156">
      <c r="A623" s="95"/>
      <c r="B623" s="9"/>
      <c r="I623" s="54"/>
      <c r="J623" s="6"/>
      <c r="K623" s="6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90"/>
      <c r="AO623" s="91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91"/>
      <c r="CG623" s="6"/>
      <c r="CH623" s="91"/>
      <c r="CI623" s="91"/>
      <c r="CJ623" s="91"/>
      <c r="CK623" s="91"/>
      <c r="CL623" s="6"/>
      <c r="CM623" s="6"/>
      <c r="CN623" s="6"/>
      <c r="CO623" s="6"/>
      <c r="CP623" s="6"/>
      <c r="CQ623" s="6"/>
      <c r="CR623" s="6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8"/>
      <c r="DK623" s="8"/>
      <c r="DL623" s="8"/>
      <c r="DM623" s="8"/>
      <c r="DN623" s="55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83"/>
      <c r="EC623" s="83"/>
      <c r="ED623" s="83"/>
      <c r="EE623" s="83"/>
      <c r="EF623" s="83"/>
      <c r="EG623" s="83"/>
      <c r="EH623" s="83"/>
      <c r="EI623" s="83"/>
      <c r="EJ623" s="83"/>
      <c r="EK623" s="2"/>
      <c r="EO623" s="2"/>
      <c r="ES623" s="58"/>
      <c r="ET623" s="58"/>
      <c r="EU623" s="58"/>
      <c r="EV623" s="58"/>
      <c r="EW623" s="58"/>
      <c r="EX623" s="58"/>
      <c r="EY623" s="58"/>
      <c r="EZ623" s="85"/>
    </row>
    <row r="624" spans="1:156">
      <c r="A624" s="95"/>
      <c r="B624" s="9"/>
      <c r="I624" s="54"/>
      <c r="J624" s="6"/>
      <c r="K624" s="6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90"/>
      <c r="AO624" s="91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91"/>
      <c r="CG624" s="6"/>
      <c r="CH624" s="91"/>
      <c r="CI624" s="91"/>
      <c r="CJ624" s="91"/>
      <c r="CK624" s="91"/>
      <c r="CL624" s="6"/>
      <c r="CM624" s="6"/>
      <c r="CN624" s="6"/>
      <c r="CO624" s="6"/>
      <c r="CP624" s="6"/>
      <c r="CQ624" s="6"/>
      <c r="CR624" s="6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8"/>
      <c r="DK624" s="8"/>
      <c r="DL624" s="8"/>
      <c r="DM624" s="8"/>
      <c r="DN624" s="55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83"/>
      <c r="EC624" s="83"/>
      <c r="ED624" s="83"/>
      <c r="EE624" s="83"/>
      <c r="EF624" s="83"/>
      <c r="EG624" s="83"/>
      <c r="EH624" s="83"/>
      <c r="EI624" s="83"/>
      <c r="EJ624" s="83"/>
      <c r="EK624" s="2"/>
      <c r="EO624" s="2"/>
      <c r="ES624" s="58"/>
      <c r="ET624" s="58"/>
      <c r="EU624" s="58"/>
      <c r="EV624" s="58"/>
      <c r="EW624" s="58"/>
      <c r="EX624" s="58"/>
      <c r="EY624" s="58"/>
      <c r="EZ624" s="85"/>
    </row>
    <row r="625" spans="1:156">
      <c r="A625" s="95"/>
      <c r="B625" s="9"/>
      <c r="I625" s="54"/>
      <c r="J625" s="6"/>
      <c r="K625" s="6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90"/>
      <c r="AO625" s="91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91"/>
      <c r="CG625" s="6"/>
      <c r="CH625" s="91"/>
      <c r="CI625" s="91"/>
      <c r="CJ625" s="91"/>
      <c r="CK625" s="91"/>
      <c r="CL625" s="6"/>
      <c r="CM625" s="6"/>
      <c r="CN625" s="6"/>
      <c r="CO625" s="6"/>
      <c r="CP625" s="6"/>
      <c r="CQ625" s="6"/>
      <c r="CR625" s="6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8"/>
      <c r="DK625" s="8"/>
      <c r="DL625" s="8"/>
      <c r="DM625" s="8"/>
      <c r="DN625" s="55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83"/>
      <c r="EC625" s="83"/>
      <c r="ED625" s="83"/>
      <c r="EE625" s="83"/>
      <c r="EF625" s="83"/>
      <c r="EG625" s="83"/>
      <c r="EH625" s="83"/>
      <c r="EI625" s="83"/>
      <c r="EJ625" s="83"/>
      <c r="EK625" s="2"/>
      <c r="EO625" s="2"/>
      <c r="ES625" s="58"/>
      <c r="ET625" s="58"/>
      <c r="EU625" s="58"/>
      <c r="EV625" s="58"/>
      <c r="EW625" s="58"/>
      <c r="EX625" s="58"/>
      <c r="EY625" s="58"/>
      <c r="EZ625" s="85"/>
    </row>
    <row r="626" spans="1:156">
      <c r="A626" s="95"/>
      <c r="B626" s="9"/>
      <c r="I626" s="54"/>
      <c r="J626" s="6"/>
      <c r="K626" s="6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90"/>
      <c r="AO626" s="91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91"/>
      <c r="CG626" s="6"/>
      <c r="CH626" s="91"/>
      <c r="CI626" s="91"/>
      <c r="CJ626" s="91"/>
      <c r="CK626" s="91"/>
      <c r="CL626" s="6"/>
      <c r="CM626" s="6"/>
      <c r="CN626" s="6"/>
      <c r="CO626" s="6"/>
      <c r="CP626" s="6"/>
      <c r="CQ626" s="6"/>
      <c r="CR626" s="6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8"/>
      <c r="DK626" s="8"/>
      <c r="DL626" s="8"/>
      <c r="DM626" s="8"/>
      <c r="DN626" s="55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83"/>
      <c r="EC626" s="83"/>
      <c r="ED626" s="83"/>
      <c r="EE626" s="83"/>
      <c r="EF626" s="83"/>
      <c r="EG626" s="83"/>
      <c r="EH626" s="83"/>
      <c r="EI626" s="83"/>
      <c r="EJ626" s="83"/>
      <c r="EK626" s="2"/>
      <c r="EO626" s="2"/>
      <c r="ES626" s="58"/>
      <c r="ET626" s="58"/>
      <c r="EU626" s="58"/>
      <c r="EV626" s="58"/>
      <c r="EW626" s="58"/>
      <c r="EX626" s="58"/>
      <c r="EY626" s="58"/>
      <c r="EZ626" s="85"/>
    </row>
    <row r="627" spans="1:156">
      <c r="A627" s="95"/>
      <c r="B627" s="9"/>
      <c r="I627" s="54"/>
      <c r="J627" s="6"/>
      <c r="K627" s="6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90"/>
      <c r="AO627" s="91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91"/>
      <c r="CG627" s="6"/>
      <c r="CH627" s="91"/>
      <c r="CI627" s="91"/>
      <c r="CJ627" s="91"/>
      <c r="CK627" s="91"/>
      <c r="CL627" s="6"/>
      <c r="CM627" s="6"/>
      <c r="CN627" s="6"/>
      <c r="CO627" s="6"/>
      <c r="CP627" s="6"/>
      <c r="CQ627" s="6"/>
      <c r="CR627" s="6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8"/>
      <c r="DK627" s="8"/>
      <c r="DL627" s="8"/>
      <c r="DM627" s="8"/>
      <c r="DN627" s="55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83"/>
      <c r="EC627" s="83"/>
      <c r="ED627" s="83"/>
      <c r="EE627" s="83"/>
      <c r="EF627" s="83"/>
      <c r="EG627" s="83"/>
      <c r="EH627" s="83"/>
      <c r="EI627" s="83"/>
      <c r="EJ627" s="83"/>
      <c r="EK627" s="2"/>
      <c r="EO627" s="2"/>
      <c r="ES627" s="58"/>
      <c r="ET627" s="58"/>
      <c r="EU627" s="58"/>
      <c r="EV627" s="58"/>
      <c r="EW627" s="58"/>
      <c r="EX627" s="58"/>
      <c r="EY627" s="58"/>
      <c r="EZ627" s="85"/>
    </row>
    <row r="628" spans="1:156">
      <c r="A628" s="95"/>
      <c r="B628" s="9"/>
      <c r="I628" s="54"/>
      <c r="J628" s="6"/>
      <c r="K628" s="6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90"/>
      <c r="AO628" s="91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91"/>
      <c r="CG628" s="6"/>
      <c r="CH628" s="91"/>
      <c r="CI628" s="91"/>
      <c r="CJ628" s="91"/>
      <c r="CK628" s="91"/>
      <c r="CL628" s="6"/>
      <c r="CM628" s="6"/>
      <c r="CN628" s="6"/>
      <c r="CO628" s="6"/>
      <c r="CP628" s="6"/>
      <c r="CQ628" s="6"/>
      <c r="CR628" s="6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8"/>
      <c r="DK628" s="8"/>
      <c r="DL628" s="8"/>
      <c r="DM628" s="8"/>
      <c r="DN628" s="55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83"/>
      <c r="EC628" s="83"/>
      <c r="ED628" s="83"/>
      <c r="EE628" s="83"/>
      <c r="EF628" s="83"/>
      <c r="EG628" s="83"/>
      <c r="EH628" s="83"/>
      <c r="EI628" s="83"/>
      <c r="EJ628" s="83"/>
      <c r="EK628" s="2"/>
      <c r="EO628" s="2"/>
      <c r="ES628" s="58"/>
      <c r="ET628" s="58"/>
      <c r="EU628" s="58"/>
      <c r="EV628" s="58"/>
      <c r="EW628" s="58"/>
      <c r="EX628" s="58"/>
      <c r="EY628" s="58"/>
      <c r="EZ628" s="85"/>
    </row>
    <row r="629" spans="1:156">
      <c r="A629" s="95"/>
      <c r="B629" s="9"/>
      <c r="I629" s="54"/>
      <c r="J629" s="6"/>
      <c r="K629" s="6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90"/>
      <c r="AO629" s="91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91"/>
      <c r="CG629" s="6"/>
      <c r="CH629" s="91"/>
      <c r="CI629" s="91"/>
      <c r="CJ629" s="91"/>
      <c r="CK629" s="91"/>
      <c r="CL629" s="6"/>
      <c r="CM629" s="6"/>
      <c r="CN629" s="6"/>
      <c r="CO629" s="6"/>
      <c r="CP629" s="6"/>
      <c r="CQ629" s="6"/>
      <c r="CR629" s="6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8"/>
      <c r="DK629" s="8"/>
      <c r="DL629" s="8"/>
      <c r="DM629" s="8"/>
      <c r="DN629" s="55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83"/>
      <c r="EC629" s="83"/>
      <c r="ED629" s="83"/>
      <c r="EE629" s="83"/>
      <c r="EF629" s="83"/>
      <c r="EG629" s="83"/>
      <c r="EH629" s="83"/>
      <c r="EI629" s="83"/>
      <c r="EJ629" s="83"/>
      <c r="EK629" s="2"/>
      <c r="EO629" s="2"/>
      <c r="ES629" s="58"/>
      <c r="ET629" s="58"/>
      <c r="EU629" s="58"/>
      <c r="EV629" s="58"/>
      <c r="EW629" s="58"/>
      <c r="EX629" s="58"/>
      <c r="EY629" s="58"/>
      <c r="EZ629" s="85"/>
    </row>
    <row r="630" spans="1:156">
      <c r="A630" s="95"/>
      <c r="B630" s="9"/>
      <c r="I630" s="54"/>
      <c r="J630" s="6"/>
      <c r="K630" s="6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90"/>
      <c r="AO630" s="91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91"/>
      <c r="CG630" s="6"/>
      <c r="CH630" s="91"/>
      <c r="CI630" s="91"/>
      <c r="CJ630" s="91"/>
      <c r="CK630" s="91"/>
      <c r="CL630" s="6"/>
      <c r="CM630" s="6"/>
      <c r="CN630" s="6"/>
      <c r="CO630" s="6"/>
      <c r="CP630" s="6"/>
      <c r="CQ630" s="6"/>
      <c r="CR630" s="6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8"/>
      <c r="DK630" s="8"/>
      <c r="DL630" s="8"/>
      <c r="DM630" s="8"/>
      <c r="DN630" s="55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83"/>
      <c r="EC630" s="83"/>
      <c r="ED630" s="83"/>
      <c r="EE630" s="83"/>
      <c r="EF630" s="83"/>
      <c r="EG630" s="83"/>
      <c r="EH630" s="83"/>
      <c r="EI630" s="83"/>
      <c r="EJ630" s="83"/>
      <c r="EK630" s="2"/>
      <c r="EO630" s="2"/>
      <c r="ES630" s="58"/>
      <c r="ET630" s="58"/>
      <c r="EU630" s="58"/>
      <c r="EV630" s="58"/>
      <c r="EW630" s="58"/>
      <c r="EX630" s="58"/>
      <c r="EY630" s="58"/>
      <c r="EZ630" s="85"/>
    </row>
    <row r="631" spans="1:156">
      <c r="A631" s="95"/>
      <c r="B631" s="9"/>
      <c r="I631" s="54"/>
      <c r="J631" s="6"/>
      <c r="K631" s="6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90"/>
      <c r="AO631" s="91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91"/>
      <c r="CG631" s="6"/>
      <c r="CH631" s="91"/>
      <c r="CI631" s="91"/>
      <c r="CJ631" s="91"/>
      <c r="CK631" s="91"/>
      <c r="CL631" s="6"/>
      <c r="CM631" s="6"/>
      <c r="CN631" s="6"/>
      <c r="CO631" s="6"/>
      <c r="CP631" s="6"/>
      <c r="CQ631" s="6"/>
      <c r="CR631" s="6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8"/>
      <c r="DK631" s="8"/>
      <c r="DL631" s="8"/>
      <c r="DM631" s="8"/>
      <c r="DN631" s="55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83"/>
      <c r="EC631" s="83"/>
      <c r="ED631" s="83"/>
      <c r="EE631" s="83"/>
      <c r="EF631" s="83"/>
      <c r="EG631" s="83"/>
      <c r="EH631" s="83"/>
      <c r="EI631" s="83"/>
      <c r="EJ631" s="83"/>
      <c r="EK631" s="2"/>
      <c r="EO631" s="2"/>
      <c r="ES631" s="58"/>
      <c r="ET631" s="58"/>
      <c r="EU631" s="58"/>
      <c r="EV631" s="58"/>
      <c r="EW631" s="58"/>
      <c r="EX631" s="58"/>
      <c r="EY631" s="58"/>
      <c r="EZ631" s="85"/>
    </row>
    <row r="632" spans="1:156">
      <c r="A632" s="95"/>
      <c r="B632" s="9"/>
      <c r="I632" s="54"/>
      <c r="J632" s="6"/>
      <c r="K632" s="6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90"/>
      <c r="AO632" s="91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91"/>
      <c r="CG632" s="6"/>
      <c r="CH632" s="91"/>
      <c r="CI632" s="91"/>
      <c r="CJ632" s="91"/>
      <c r="CK632" s="91"/>
      <c r="CL632" s="6"/>
      <c r="CM632" s="6"/>
      <c r="CN632" s="6"/>
      <c r="CO632" s="6"/>
      <c r="CP632" s="6"/>
      <c r="CQ632" s="6"/>
      <c r="CR632" s="6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8"/>
      <c r="DK632" s="8"/>
      <c r="DL632" s="8"/>
      <c r="DM632" s="8"/>
      <c r="DN632" s="55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83"/>
      <c r="EC632" s="83"/>
      <c r="ED632" s="83"/>
      <c r="EE632" s="83"/>
      <c r="EF632" s="83"/>
      <c r="EG632" s="83"/>
      <c r="EH632" s="83"/>
      <c r="EI632" s="83"/>
      <c r="EJ632" s="83"/>
      <c r="EK632" s="2"/>
      <c r="EO632" s="2"/>
      <c r="ES632" s="58"/>
      <c r="ET632" s="58"/>
      <c r="EU632" s="58"/>
      <c r="EV632" s="58"/>
      <c r="EW632" s="58"/>
      <c r="EX632" s="58"/>
      <c r="EY632" s="58"/>
      <c r="EZ632" s="85"/>
    </row>
    <row r="633" spans="1:156">
      <c r="A633" s="95"/>
      <c r="B633" s="9"/>
      <c r="I633" s="54"/>
      <c r="J633" s="6"/>
      <c r="K633" s="6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90"/>
      <c r="AO633" s="91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91"/>
      <c r="CG633" s="6"/>
      <c r="CH633" s="91"/>
      <c r="CI633" s="91"/>
      <c r="CJ633" s="91"/>
      <c r="CK633" s="91"/>
      <c r="CL633" s="6"/>
      <c r="CM633" s="6"/>
      <c r="CN633" s="6"/>
      <c r="CO633" s="6"/>
      <c r="CP633" s="6"/>
      <c r="CQ633" s="6"/>
      <c r="CR633" s="6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8"/>
      <c r="DK633" s="8"/>
      <c r="DL633" s="8"/>
      <c r="DM633" s="8"/>
      <c r="DN633" s="55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83"/>
      <c r="EC633" s="83"/>
      <c r="ED633" s="83"/>
      <c r="EE633" s="83"/>
      <c r="EF633" s="83"/>
      <c r="EG633" s="83"/>
      <c r="EH633" s="83"/>
      <c r="EI633" s="83"/>
      <c r="EJ633" s="83"/>
      <c r="EK633" s="2"/>
      <c r="EO633" s="2"/>
      <c r="ES633" s="58"/>
      <c r="ET633" s="58"/>
      <c r="EU633" s="58"/>
      <c r="EV633" s="58"/>
      <c r="EW633" s="58"/>
      <c r="EX633" s="58"/>
      <c r="EY633" s="58"/>
      <c r="EZ633" s="85"/>
    </row>
    <row r="634" spans="1:156">
      <c r="A634" s="95"/>
      <c r="B634" s="9"/>
      <c r="I634" s="54"/>
      <c r="J634" s="6"/>
      <c r="K634" s="6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90"/>
      <c r="AO634" s="91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91"/>
      <c r="CG634" s="6"/>
      <c r="CH634" s="91"/>
      <c r="CI634" s="91"/>
      <c r="CJ634" s="91"/>
      <c r="CK634" s="91"/>
      <c r="CL634" s="6"/>
      <c r="CM634" s="6"/>
      <c r="CN634" s="6"/>
      <c r="CO634" s="6"/>
      <c r="CP634" s="6"/>
      <c r="CQ634" s="6"/>
      <c r="CR634" s="6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8"/>
      <c r="DK634" s="8"/>
      <c r="DL634" s="8"/>
      <c r="DM634" s="8"/>
      <c r="DN634" s="55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83"/>
      <c r="EC634" s="83"/>
      <c r="ED634" s="83"/>
      <c r="EE634" s="83"/>
      <c r="EF634" s="83"/>
      <c r="EG634" s="83"/>
      <c r="EH634" s="83"/>
      <c r="EI634" s="83"/>
      <c r="EJ634" s="83"/>
      <c r="EK634" s="2"/>
      <c r="EO634" s="2"/>
      <c r="ES634" s="58"/>
      <c r="ET634" s="58"/>
      <c r="EU634" s="58"/>
      <c r="EV634" s="58"/>
      <c r="EW634" s="58"/>
      <c r="EX634" s="58"/>
      <c r="EY634" s="58"/>
      <c r="EZ634" s="85"/>
    </row>
    <row r="635" spans="1:156">
      <c r="A635" s="95"/>
      <c r="B635" s="9"/>
      <c r="I635" s="54"/>
      <c r="J635" s="6"/>
      <c r="K635" s="6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90"/>
      <c r="AO635" s="91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91"/>
      <c r="CG635" s="6"/>
      <c r="CH635" s="91"/>
      <c r="CI635" s="91"/>
      <c r="CJ635" s="91"/>
      <c r="CK635" s="91"/>
      <c r="CL635" s="6"/>
      <c r="CM635" s="6"/>
      <c r="CN635" s="6"/>
      <c r="CO635" s="6"/>
      <c r="CP635" s="6"/>
      <c r="CQ635" s="6"/>
      <c r="CR635" s="6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8"/>
      <c r="DK635" s="8"/>
      <c r="DL635" s="8"/>
      <c r="DM635" s="8"/>
      <c r="DN635" s="55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83"/>
      <c r="EC635" s="83"/>
      <c r="ED635" s="83"/>
      <c r="EE635" s="83"/>
      <c r="EF635" s="83"/>
      <c r="EG635" s="83"/>
      <c r="EH635" s="83"/>
      <c r="EI635" s="83"/>
      <c r="EJ635" s="83"/>
      <c r="EK635" s="2"/>
      <c r="EO635" s="2"/>
      <c r="ES635" s="58"/>
      <c r="ET635" s="58"/>
      <c r="EU635" s="58"/>
      <c r="EV635" s="58"/>
      <c r="EW635" s="58"/>
      <c r="EX635" s="58"/>
      <c r="EY635" s="58"/>
      <c r="EZ635" s="85"/>
    </row>
    <row r="636" spans="1:156">
      <c r="A636" s="95"/>
      <c r="B636" s="9"/>
      <c r="I636" s="54"/>
      <c r="J636" s="6"/>
      <c r="K636" s="6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90"/>
      <c r="AO636" s="91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91"/>
      <c r="CG636" s="6"/>
      <c r="CH636" s="91"/>
      <c r="CI636" s="91"/>
      <c r="CJ636" s="91"/>
      <c r="CK636" s="91"/>
      <c r="CL636" s="6"/>
      <c r="CM636" s="6"/>
      <c r="CN636" s="6"/>
      <c r="CO636" s="6"/>
      <c r="CP636" s="6"/>
      <c r="CQ636" s="6"/>
      <c r="CR636" s="6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8"/>
      <c r="DK636" s="8"/>
      <c r="DL636" s="8"/>
      <c r="DM636" s="8"/>
      <c r="DN636" s="55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83"/>
      <c r="EC636" s="83"/>
      <c r="ED636" s="83"/>
      <c r="EE636" s="83"/>
      <c r="EF636" s="83"/>
      <c r="EG636" s="83"/>
      <c r="EH636" s="83"/>
      <c r="EI636" s="83"/>
      <c r="EJ636" s="83"/>
      <c r="EK636" s="2"/>
      <c r="EO636" s="2"/>
      <c r="ES636" s="58"/>
      <c r="ET636" s="58"/>
      <c r="EU636" s="58"/>
      <c r="EV636" s="58"/>
      <c r="EW636" s="58"/>
      <c r="EX636" s="58"/>
      <c r="EY636" s="58"/>
      <c r="EZ636" s="85"/>
    </row>
    <row r="637" spans="1:156">
      <c r="A637" s="95"/>
      <c r="B637" s="9"/>
      <c r="I637" s="54"/>
      <c r="J637" s="6"/>
      <c r="K637" s="6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90"/>
      <c r="AO637" s="91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91"/>
      <c r="CG637" s="6"/>
      <c r="CH637" s="91"/>
      <c r="CI637" s="91"/>
      <c r="CJ637" s="91"/>
      <c r="CK637" s="91"/>
      <c r="CL637" s="6"/>
      <c r="CM637" s="6"/>
      <c r="CN637" s="6"/>
      <c r="CO637" s="6"/>
      <c r="CP637" s="6"/>
      <c r="CQ637" s="6"/>
      <c r="CR637" s="6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8"/>
      <c r="DK637" s="8"/>
      <c r="DL637" s="8"/>
      <c r="DM637" s="8"/>
      <c r="DN637" s="55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83"/>
      <c r="EC637" s="83"/>
      <c r="ED637" s="83"/>
      <c r="EE637" s="83"/>
      <c r="EF637" s="83"/>
      <c r="EG637" s="83"/>
      <c r="EH637" s="83"/>
      <c r="EI637" s="83"/>
      <c r="EJ637" s="83"/>
      <c r="EK637" s="2"/>
      <c r="EO637" s="2"/>
      <c r="ES637" s="58"/>
      <c r="ET637" s="58"/>
      <c r="EU637" s="58"/>
      <c r="EV637" s="58"/>
      <c r="EW637" s="58"/>
      <c r="EX637" s="58"/>
      <c r="EY637" s="58"/>
      <c r="EZ637" s="85"/>
    </row>
    <row r="638" spans="1:156">
      <c r="A638" s="95"/>
      <c r="B638" s="9"/>
      <c r="I638" s="54"/>
      <c r="J638" s="6"/>
      <c r="K638" s="6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90"/>
      <c r="AO638" s="91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91"/>
      <c r="CG638" s="6"/>
      <c r="CH638" s="91"/>
      <c r="CI638" s="91"/>
      <c r="CJ638" s="91"/>
      <c r="CK638" s="91"/>
      <c r="CL638" s="6"/>
      <c r="CM638" s="6"/>
      <c r="CN638" s="6"/>
      <c r="CO638" s="6"/>
      <c r="CP638" s="6"/>
      <c r="CQ638" s="6"/>
      <c r="CR638" s="6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8"/>
      <c r="DK638" s="8"/>
      <c r="DL638" s="8"/>
      <c r="DM638" s="8"/>
      <c r="DN638" s="55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83"/>
      <c r="EC638" s="83"/>
      <c r="ED638" s="83"/>
      <c r="EE638" s="83"/>
      <c r="EF638" s="83"/>
      <c r="EG638" s="83"/>
      <c r="EH638" s="83"/>
      <c r="EI638" s="83"/>
      <c r="EJ638" s="83"/>
      <c r="EK638" s="2"/>
      <c r="EO638" s="2"/>
      <c r="ES638" s="58"/>
      <c r="ET638" s="58"/>
      <c r="EU638" s="58"/>
      <c r="EV638" s="58"/>
      <c r="EW638" s="58"/>
      <c r="EX638" s="58"/>
      <c r="EY638" s="58"/>
      <c r="EZ638" s="85"/>
    </row>
    <row r="639" spans="1:156">
      <c r="A639" s="95"/>
      <c r="B639" s="9"/>
      <c r="I639" s="54"/>
      <c r="J639" s="6"/>
      <c r="K639" s="6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90"/>
      <c r="AO639" s="91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91"/>
      <c r="CG639" s="6"/>
      <c r="CH639" s="91"/>
      <c r="CI639" s="91"/>
      <c r="CJ639" s="91"/>
      <c r="CK639" s="91"/>
      <c r="CL639" s="6"/>
      <c r="CM639" s="6"/>
      <c r="CN639" s="6"/>
      <c r="CO639" s="6"/>
      <c r="CP639" s="6"/>
      <c r="CQ639" s="6"/>
      <c r="CR639" s="6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8"/>
      <c r="DK639" s="8"/>
      <c r="DL639" s="8"/>
      <c r="DM639" s="8"/>
      <c r="DN639" s="55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83"/>
      <c r="EC639" s="83"/>
      <c r="ED639" s="83"/>
      <c r="EE639" s="83"/>
      <c r="EF639" s="83"/>
      <c r="EG639" s="83"/>
      <c r="EH639" s="83"/>
      <c r="EI639" s="83"/>
      <c r="EJ639" s="83"/>
      <c r="EK639" s="2"/>
      <c r="EO639" s="2"/>
      <c r="ES639" s="58"/>
      <c r="ET639" s="58"/>
      <c r="EU639" s="58"/>
      <c r="EV639" s="58"/>
      <c r="EW639" s="58"/>
      <c r="EX639" s="58"/>
      <c r="EY639" s="58"/>
      <c r="EZ639" s="85"/>
    </row>
    <row r="640" spans="1:156">
      <c r="A640" s="95"/>
      <c r="B640" s="9"/>
      <c r="I640" s="54"/>
      <c r="J640" s="6"/>
      <c r="K640" s="6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90"/>
      <c r="AO640" s="91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91"/>
      <c r="CG640" s="6"/>
      <c r="CH640" s="91"/>
      <c r="CI640" s="91"/>
      <c r="CJ640" s="91"/>
      <c r="CK640" s="91"/>
      <c r="CL640" s="6"/>
      <c r="CM640" s="6"/>
      <c r="CN640" s="6"/>
      <c r="CO640" s="6"/>
      <c r="CP640" s="6"/>
      <c r="CQ640" s="6"/>
      <c r="CR640" s="6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8"/>
      <c r="DK640" s="8"/>
      <c r="DL640" s="8"/>
      <c r="DM640" s="8"/>
      <c r="DN640" s="55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83"/>
      <c r="EC640" s="83"/>
      <c r="ED640" s="83"/>
      <c r="EE640" s="83"/>
      <c r="EF640" s="83"/>
      <c r="EG640" s="83"/>
      <c r="EH640" s="83"/>
      <c r="EI640" s="83"/>
      <c r="EJ640" s="83"/>
      <c r="EK640" s="2"/>
      <c r="EO640" s="2"/>
      <c r="ES640" s="58"/>
      <c r="ET640" s="58"/>
      <c r="EU640" s="58"/>
      <c r="EV640" s="58"/>
      <c r="EW640" s="58"/>
      <c r="EX640" s="58"/>
      <c r="EY640" s="58"/>
      <c r="EZ640" s="85"/>
    </row>
    <row r="641" spans="1:156">
      <c r="A641" s="95"/>
      <c r="B641" s="9"/>
      <c r="I641" s="54"/>
      <c r="J641" s="6"/>
      <c r="K641" s="6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90"/>
      <c r="AO641" s="91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91"/>
      <c r="CG641" s="6"/>
      <c r="CH641" s="91"/>
      <c r="CI641" s="91"/>
      <c r="CJ641" s="91"/>
      <c r="CK641" s="91"/>
      <c r="CL641" s="6"/>
      <c r="CM641" s="6"/>
      <c r="CN641" s="6"/>
      <c r="CO641" s="6"/>
      <c r="CP641" s="6"/>
      <c r="CQ641" s="6"/>
      <c r="CR641" s="6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8"/>
      <c r="DK641" s="8"/>
      <c r="DL641" s="8"/>
      <c r="DM641" s="8"/>
      <c r="DN641" s="55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83"/>
      <c r="EC641" s="83"/>
      <c r="ED641" s="83"/>
      <c r="EE641" s="83"/>
      <c r="EF641" s="83"/>
      <c r="EG641" s="83"/>
      <c r="EH641" s="83"/>
      <c r="EI641" s="83"/>
      <c r="EJ641" s="83"/>
      <c r="EK641" s="2"/>
      <c r="EO641" s="2"/>
      <c r="ES641" s="58"/>
      <c r="ET641" s="58"/>
      <c r="EU641" s="58"/>
      <c r="EV641" s="58"/>
      <c r="EW641" s="58"/>
      <c r="EX641" s="58"/>
      <c r="EY641" s="58"/>
      <c r="EZ641" s="85"/>
    </row>
    <row r="642" spans="1:156">
      <c r="A642" s="95"/>
      <c r="B642" s="9"/>
      <c r="I642" s="54"/>
      <c r="J642" s="6"/>
      <c r="K642" s="6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90"/>
      <c r="AO642" s="91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91"/>
      <c r="CG642" s="6"/>
      <c r="CH642" s="91"/>
      <c r="CI642" s="91"/>
      <c r="CJ642" s="91"/>
      <c r="CK642" s="91"/>
      <c r="CL642" s="6"/>
      <c r="CM642" s="6"/>
      <c r="CN642" s="6"/>
      <c r="CO642" s="6"/>
      <c r="CP642" s="6"/>
      <c r="CQ642" s="6"/>
      <c r="CR642" s="6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8"/>
      <c r="DK642" s="8"/>
      <c r="DL642" s="8"/>
      <c r="DM642" s="8"/>
      <c r="DN642" s="55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83"/>
      <c r="EC642" s="83"/>
      <c r="ED642" s="83"/>
      <c r="EE642" s="83"/>
      <c r="EF642" s="83"/>
      <c r="EG642" s="83"/>
      <c r="EH642" s="83"/>
      <c r="EI642" s="83"/>
      <c r="EJ642" s="83"/>
      <c r="EK642" s="2"/>
      <c r="EO642" s="2"/>
      <c r="ES642" s="58"/>
      <c r="ET642" s="58"/>
      <c r="EU642" s="58"/>
      <c r="EV642" s="58"/>
      <c r="EW642" s="58"/>
      <c r="EX642" s="58"/>
      <c r="EY642" s="58"/>
      <c r="EZ642" s="85"/>
    </row>
    <row r="643" spans="1:156">
      <c r="A643" s="95"/>
      <c r="B643" s="9"/>
      <c r="I643" s="54"/>
      <c r="J643" s="6"/>
      <c r="K643" s="6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90"/>
      <c r="AO643" s="91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91"/>
      <c r="CG643" s="6"/>
      <c r="CH643" s="91"/>
      <c r="CI643" s="91"/>
      <c r="CJ643" s="91"/>
      <c r="CK643" s="91"/>
      <c r="CL643" s="6"/>
      <c r="CM643" s="6"/>
      <c r="CN643" s="6"/>
      <c r="CO643" s="6"/>
      <c r="CP643" s="6"/>
      <c r="CQ643" s="6"/>
      <c r="CR643" s="6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8"/>
      <c r="DK643" s="8"/>
      <c r="DL643" s="8"/>
      <c r="DM643" s="8"/>
      <c r="DN643" s="55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83"/>
      <c r="EC643" s="83"/>
      <c r="ED643" s="83"/>
      <c r="EE643" s="83"/>
      <c r="EF643" s="83"/>
      <c r="EG643" s="83"/>
      <c r="EH643" s="83"/>
      <c r="EI643" s="83"/>
      <c r="EJ643" s="83"/>
      <c r="EK643" s="2"/>
      <c r="EO643" s="2"/>
      <c r="ES643" s="58"/>
      <c r="ET643" s="58"/>
      <c r="EU643" s="58"/>
      <c r="EV643" s="58"/>
      <c r="EW643" s="58"/>
      <c r="EX643" s="58"/>
      <c r="EY643" s="58"/>
      <c r="EZ643" s="85"/>
    </row>
    <row r="644" spans="1:156">
      <c r="A644" s="95"/>
      <c r="B644" s="9"/>
      <c r="I644" s="54"/>
      <c r="J644" s="6"/>
      <c r="K644" s="6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90"/>
      <c r="AO644" s="91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91"/>
      <c r="CG644" s="6"/>
      <c r="CH644" s="91"/>
      <c r="CI644" s="91"/>
      <c r="CJ644" s="91"/>
      <c r="CK644" s="91"/>
      <c r="CL644" s="6"/>
      <c r="CM644" s="6"/>
      <c r="CN644" s="6"/>
      <c r="CO644" s="6"/>
      <c r="CP644" s="6"/>
      <c r="CQ644" s="6"/>
      <c r="CR644" s="6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8"/>
      <c r="DK644" s="8"/>
      <c r="DL644" s="8"/>
      <c r="DM644" s="8"/>
      <c r="DN644" s="55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83"/>
      <c r="EC644" s="83"/>
      <c r="ED644" s="83"/>
      <c r="EE644" s="83"/>
      <c r="EF644" s="83"/>
      <c r="EG644" s="83"/>
      <c r="EH644" s="83"/>
      <c r="EI644" s="83"/>
      <c r="EJ644" s="83"/>
      <c r="EK644" s="2"/>
      <c r="EO644" s="2"/>
      <c r="ES644" s="58"/>
      <c r="ET644" s="58"/>
      <c r="EU644" s="58"/>
      <c r="EV644" s="58"/>
      <c r="EW644" s="58"/>
      <c r="EX644" s="58"/>
      <c r="EY644" s="58"/>
      <c r="EZ644" s="85"/>
    </row>
    <row r="645" spans="1:156">
      <c r="A645" s="95"/>
      <c r="B645" s="9"/>
      <c r="I645" s="54"/>
      <c r="J645" s="6"/>
      <c r="K645" s="6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90"/>
      <c r="AO645" s="91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91"/>
      <c r="CG645" s="6"/>
      <c r="CH645" s="91"/>
      <c r="CI645" s="91"/>
      <c r="CJ645" s="91"/>
      <c r="CK645" s="91"/>
      <c r="CL645" s="6"/>
      <c r="CM645" s="6"/>
      <c r="CN645" s="6"/>
      <c r="CO645" s="6"/>
      <c r="CP645" s="6"/>
      <c r="CQ645" s="6"/>
      <c r="CR645" s="6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8"/>
      <c r="DK645" s="8"/>
      <c r="DL645" s="8"/>
      <c r="DM645" s="8"/>
      <c r="DN645" s="55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83"/>
      <c r="EC645" s="83"/>
      <c r="ED645" s="83"/>
      <c r="EE645" s="83"/>
      <c r="EF645" s="83"/>
      <c r="EG645" s="83"/>
      <c r="EH645" s="83"/>
      <c r="EI645" s="83"/>
      <c r="EJ645" s="83"/>
      <c r="EK645" s="2"/>
      <c r="EO645" s="2"/>
      <c r="ES645" s="58"/>
      <c r="ET645" s="58"/>
      <c r="EU645" s="58"/>
      <c r="EV645" s="58"/>
      <c r="EW645" s="58"/>
      <c r="EX645" s="58"/>
      <c r="EY645" s="58"/>
      <c r="EZ645" s="85"/>
    </row>
    <row r="646" spans="1:156">
      <c r="A646" s="95"/>
      <c r="B646" s="9"/>
      <c r="I646" s="54"/>
      <c r="J646" s="6"/>
      <c r="K646" s="6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90"/>
      <c r="AO646" s="91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91"/>
      <c r="CG646" s="6"/>
      <c r="CH646" s="91"/>
      <c r="CI646" s="91"/>
      <c r="CJ646" s="91"/>
      <c r="CK646" s="91"/>
      <c r="CL646" s="6"/>
      <c r="CM646" s="6"/>
      <c r="CN646" s="6"/>
      <c r="CO646" s="6"/>
      <c r="CP646" s="6"/>
      <c r="CQ646" s="6"/>
      <c r="CR646" s="6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8"/>
      <c r="DK646" s="8"/>
      <c r="DL646" s="8"/>
      <c r="DM646" s="8"/>
      <c r="DN646" s="55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83"/>
      <c r="EC646" s="83"/>
      <c r="ED646" s="83"/>
      <c r="EE646" s="83"/>
      <c r="EF646" s="83"/>
      <c r="EG646" s="83"/>
      <c r="EH646" s="83"/>
      <c r="EI646" s="83"/>
      <c r="EJ646" s="83"/>
      <c r="EK646" s="2"/>
      <c r="EO646" s="2"/>
      <c r="ES646" s="58"/>
      <c r="ET646" s="58"/>
      <c r="EU646" s="58"/>
      <c r="EV646" s="58"/>
      <c r="EW646" s="58"/>
      <c r="EX646" s="58"/>
      <c r="EY646" s="58"/>
      <c r="EZ646" s="85"/>
    </row>
    <row r="647" spans="1:156">
      <c r="A647" s="95"/>
      <c r="B647" s="9"/>
      <c r="I647" s="54"/>
      <c r="J647" s="6"/>
      <c r="K647" s="6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90"/>
      <c r="AO647" s="91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91"/>
      <c r="CG647" s="6"/>
      <c r="CH647" s="91"/>
      <c r="CI647" s="91"/>
      <c r="CJ647" s="91"/>
      <c r="CK647" s="91"/>
      <c r="CL647" s="6"/>
      <c r="CM647" s="6"/>
      <c r="CN647" s="6"/>
      <c r="CO647" s="6"/>
      <c r="CP647" s="6"/>
      <c r="CQ647" s="6"/>
      <c r="CR647" s="6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8"/>
      <c r="DK647" s="8"/>
      <c r="DL647" s="8"/>
      <c r="DM647" s="8"/>
      <c r="DN647" s="55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83"/>
      <c r="EC647" s="83"/>
      <c r="ED647" s="83"/>
      <c r="EE647" s="83"/>
      <c r="EF647" s="83"/>
      <c r="EG647" s="83"/>
      <c r="EH647" s="83"/>
      <c r="EI647" s="83"/>
      <c r="EJ647" s="83"/>
      <c r="EK647" s="2"/>
      <c r="EO647" s="2"/>
      <c r="ES647" s="58"/>
      <c r="ET647" s="58"/>
      <c r="EU647" s="58"/>
      <c r="EV647" s="58"/>
      <c r="EW647" s="58"/>
      <c r="EX647" s="58"/>
      <c r="EY647" s="58"/>
      <c r="EZ647" s="85"/>
    </row>
    <row r="648" spans="1:156">
      <c r="A648" s="95"/>
      <c r="B648" s="9"/>
      <c r="I648" s="54"/>
      <c r="J648" s="6"/>
      <c r="K648" s="6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90"/>
      <c r="AO648" s="91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91"/>
      <c r="CG648" s="6"/>
      <c r="CH648" s="91"/>
      <c r="CI648" s="91"/>
      <c r="CJ648" s="91"/>
      <c r="CK648" s="91"/>
      <c r="CL648" s="6"/>
      <c r="CM648" s="6"/>
      <c r="CN648" s="6"/>
      <c r="CO648" s="6"/>
      <c r="CP648" s="6"/>
      <c r="CQ648" s="6"/>
      <c r="CR648" s="6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8"/>
      <c r="DK648" s="8"/>
      <c r="DL648" s="8"/>
      <c r="DM648" s="8"/>
      <c r="DN648" s="55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83"/>
      <c r="EC648" s="83"/>
      <c r="ED648" s="83"/>
      <c r="EE648" s="83"/>
      <c r="EF648" s="83"/>
      <c r="EG648" s="83"/>
      <c r="EH648" s="83"/>
      <c r="EI648" s="83"/>
      <c r="EJ648" s="83"/>
      <c r="EK648" s="2"/>
      <c r="EO648" s="2"/>
      <c r="ES648" s="58"/>
      <c r="ET648" s="58"/>
      <c r="EU648" s="58"/>
      <c r="EV648" s="58"/>
      <c r="EW648" s="58"/>
      <c r="EX648" s="58"/>
      <c r="EY648" s="58"/>
      <c r="EZ648" s="85"/>
    </row>
    <row r="649" spans="1:156">
      <c r="A649" s="95"/>
      <c r="B649" s="9"/>
      <c r="I649" s="54"/>
      <c r="J649" s="6"/>
      <c r="K649" s="6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90"/>
      <c r="AO649" s="91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91"/>
      <c r="CG649" s="6"/>
      <c r="CH649" s="91"/>
      <c r="CI649" s="91"/>
      <c r="CJ649" s="91"/>
      <c r="CK649" s="91"/>
      <c r="CL649" s="6"/>
      <c r="CM649" s="6"/>
      <c r="CN649" s="6"/>
      <c r="CO649" s="6"/>
      <c r="CP649" s="6"/>
      <c r="CQ649" s="6"/>
      <c r="CR649" s="6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8"/>
      <c r="DK649" s="8"/>
      <c r="DL649" s="8"/>
      <c r="DM649" s="8"/>
      <c r="DN649" s="55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83"/>
      <c r="EC649" s="83"/>
      <c r="ED649" s="83"/>
      <c r="EE649" s="83"/>
      <c r="EF649" s="83"/>
      <c r="EG649" s="83"/>
      <c r="EH649" s="83"/>
      <c r="EI649" s="83"/>
      <c r="EJ649" s="83"/>
      <c r="EK649" s="2"/>
      <c r="EO649" s="2"/>
      <c r="ES649" s="58"/>
      <c r="ET649" s="58"/>
      <c r="EU649" s="58"/>
      <c r="EV649" s="58"/>
      <c r="EW649" s="58"/>
      <c r="EX649" s="58"/>
      <c r="EY649" s="58"/>
      <c r="EZ649" s="85"/>
    </row>
    <row r="650" spans="1:156">
      <c r="A650" s="95"/>
      <c r="B650" s="9"/>
      <c r="I650" s="54"/>
      <c r="J650" s="6"/>
      <c r="K650" s="6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90"/>
      <c r="AO650" s="91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91"/>
      <c r="CG650" s="6"/>
      <c r="CH650" s="91"/>
      <c r="CI650" s="91"/>
      <c r="CJ650" s="91"/>
      <c r="CK650" s="91"/>
      <c r="CL650" s="6"/>
      <c r="CM650" s="6"/>
      <c r="CN650" s="6"/>
      <c r="CO650" s="6"/>
      <c r="CP650" s="6"/>
      <c r="CQ650" s="6"/>
      <c r="CR650" s="6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8"/>
      <c r="DK650" s="8"/>
      <c r="DL650" s="8"/>
      <c r="DM650" s="8"/>
      <c r="DN650" s="55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83"/>
      <c r="EC650" s="83"/>
      <c r="ED650" s="83"/>
      <c r="EE650" s="83"/>
      <c r="EF650" s="83"/>
      <c r="EG650" s="83"/>
      <c r="EH650" s="83"/>
      <c r="EI650" s="83"/>
      <c r="EJ650" s="83"/>
      <c r="EK650" s="2"/>
      <c r="EO650" s="2"/>
      <c r="ES650" s="58"/>
      <c r="ET650" s="58"/>
      <c r="EU650" s="58"/>
      <c r="EV650" s="58"/>
      <c r="EW650" s="58"/>
      <c r="EX650" s="58"/>
      <c r="EY650" s="58"/>
      <c r="EZ650" s="85"/>
    </row>
    <row r="651" spans="1:156">
      <c r="A651" s="95"/>
      <c r="B651" s="9"/>
      <c r="I651" s="54"/>
      <c r="J651" s="6"/>
      <c r="K651" s="6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90"/>
      <c r="AO651" s="91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91"/>
      <c r="CG651" s="6"/>
      <c r="CH651" s="91"/>
      <c r="CI651" s="91"/>
      <c r="CJ651" s="91"/>
      <c r="CK651" s="91"/>
      <c r="CL651" s="6"/>
      <c r="CM651" s="6"/>
      <c r="CN651" s="6"/>
      <c r="CO651" s="6"/>
      <c r="CP651" s="6"/>
      <c r="CQ651" s="6"/>
      <c r="CR651" s="6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8"/>
      <c r="DK651" s="8"/>
      <c r="DL651" s="8"/>
      <c r="DM651" s="8"/>
      <c r="DN651" s="55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83"/>
      <c r="EC651" s="83"/>
      <c r="ED651" s="83"/>
      <c r="EE651" s="83"/>
      <c r="EF651" s="83"/>
      <c r="EG651" s="83"/>
      <c r="EH651" s="83"/>
      <c r="EI651" s="83"/>
      <c r="EJ651" s="83"/>
      <c r="EK651" s="2"/>
      <c r="EO651" s="2"/>
      <c r="ES651" s="58"/>
      <c r="ET651" s="58"/>
      <c r="EU651" s="58"/>
      <c r="EV651" s="58"/>
      <c r="EW651" s="58"/>
      <c r="EX651" s="58"/>
      <c r="EY651" s="58"/>
      <c r="EZ651" s="85"/>
    </row>
    <row r="652" spans="1:156">
      <c r="A652" s="95"/>
      <c r="B652" s="9"/>
      <c r="I652" s="54"/>
      <c r="J652" s="6"/>
      <c r="K652" s="6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90"/>
      <c r="AO652" s="91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91"/>
      <c r="CG652" s="6"/>
      <c r="CH652" s="91"/>
      <c r="CI652" s="91"/>
      <c r="CJ652" s="91"/>
      <c r="CK652" s="91"/>
      <c r="CL652" s="6"/>
      <c r="CM652" s="6"/>
      <c r="CN652" s="6"/>
      <c r="CO652" s="6"/>
      <c r="CP652" s="6"/>
      <c r="CQ652" s="6"/>
      <c r="CR652" s="6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8"/>
      <c r="DK652" s="8"/>
      <c r="DL652" s="8"/>
      <c r="DM652" s="8"/>
      <c r="DN652" s="55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83"/>
      <c r="EC652" s="83"/>
      <c r="ED652" s="83"/>
      <c r="EE652" s="83"/>
      <c r="EF652" s="83"/>
      <c r="EG652" s="83"/>
      <c r="EH652" s="83"/>
      <c r="EI652" s="83"/>
      <c r="EJ652" s="83"/>
      <c r="EK652" s="2"/>
      <c r="EO652" s="2"/>
      <c r="ES652" s="58"/>
      <c r="ET652" s="58"/>
      <c r="EU652" s="58"/>
      <c r="EV652" s="58"/>
      <c r="EW652" s="58"/>
      <c r="EX652" s="58"/>
      <c r="EY652" s="58"/>
      <c r="EZ652" s="85"/>
    </row>
    <row r="653" spans="1:156">
      <c r="A653" s="95"/>
      <c r="B653" s="9"/>
      <c r="I653" s="54"/>
      <c r="J653" s="6"/>
      <c r="K653" s="6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90"/>
      <c r="AO653" s="91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91"/>
      <c r="CG653" s="6"/>
      <c r="CH653" s="91"/>
      <c r="CI653" s="91"/>
      <c r="CJ653" s="91"/>
      <c r="CK653" s="91"/>
      <c r="CL653" s="6"/>
      <c r="CM653" s="6"/>
      <c r="CN653" s="6"/>
      <c r="CO653" s="6"/>
      <c r="CP653" s="6"/>
      <c r="CQ653" s="6"/>
      <c r="CR653" s="6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8"/>
      <c r="DK653" s="8"/>
      <c r="DL653" s="8"/>
      <c r="DM653" s="8"/>
      <c r="DN653" s="55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83"/>
      <c r="EC653" s="83"/>
      <c r="ED653" s="83"/>
      <c r="EE653" s="83"/>
      <c r="EF653" s="83"/>
      <c r="EG653" s="83"/>
      <c r="EH653" s="83"/>
      <c r="EI653" s="83"/>
      <c r="EJ653" s="83"/>
      <c r="EK653" s="2"/>
      <c r="EO653" s="2"/>
      <c r="ES653" s="58"/>
      <c r="ET653" s="58"/>
      <c r="EU653" s="58"/>
      <c r="EV653" s="58"/>
      <c r="EW653" s="58"/>
      <c r="EX653" s="58"/>
      <c r="EY653" s="58"/>
      <c r="EZ653" s="85"/>
    </row>
    <row r="654" spans="1:156">
      <c r="A654" s="95"/>
      <c r="B654" s="9"/>
      <c r="I654" s="54"/>
      <c r="J654" s="6"/>
      <c r="K654" s="6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90"/>
      <c r="AO654" s="91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91"/>
      <c r="CG654" s="6"/>
      <c r="CH654" s="91"/>
      <c r="CI654" s="91"/>
      <c r="CJ654" s="91"/>
      <c r="CK654" s="91"/>
      <c r="CL654" s="6"/>
      <c r="CM654" s="6"/>
      <c r="CN654" s="6"/>
      <c r="CO654" s="6"/>
      <c r="CP654" s="6"/>
      <c r="CQ654" s="6"/>
      <c r="CR654" s="6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8"/>
      <c r="DK654" s="8"/>
      <c r="DL654" s="8"/>
      <c r="DM654" s="8"/>
      <c r="DN654" s="55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83"/>
      <c r="EC654" s="83"/>
      <c r="ED654" s="83"/>
      <c r="EE654" s="83"/>
      <c r="EF654" s="83"/>
      <c r="EG654" s="83"/>
      <c r="EH654" s="83"/>
      <c r="EI654" s="83"/>
      <c r="EJ654" s="83"/>
      <c r="EK654" s="2"/>
      <c r="EO654" s="2"/>
      <c r="ES654" s="58"/>
      <c r="ET654" s="58"/>
      <c r="EU654" s="58"/>
      <c r="EV654" s="58"/>
      <c r="EW654" s="58"/>
      <c r="EX654" s="58"/>
      <c r="EY654" s="58"/>
      <c r="EZ654" s="85"/>
    </row>
    <row r="655" spans="1:156">
      <c r="A655" s="95"/>
      <c r="B655" s="9"/>
      <c r="I655" s="54"/>
      <c r="J655" s="6"/>
      <c r="K655" s="6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90"/>
      <c r="AO655" s="91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91"/>
      <c r="CG655" s="6"/>
      <c r="CH655" s="91"/>
      <c r="CI655" s="91"/>
      <c r="CJ655" s="91"/>
      <c r="CK655" s="91"/>
      <c r="CL655" s="6"/>
      <c r="CM655" s="6"/>
      <c r="CN655" s="6"/>
      <c r="CO655" s="6"/>
      <c r="CP655" s="6"/>
      <c r="CQ655" s="6"/>
      <c r="CR655" s="6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8"/>
      <c r="DK655" s="8"/>
      <c r="DL655" s="8"/>
      <c r="DM655" s="8"/>
      <c r="DN655" s="55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83"/>
      <c r="EC655" s="83"/>
      <c r="ED655" s="83"/>
      <c r="EE655" s="83"/>
      <c r="EF655" s="83"/>
      <c r="EG655" s="83"/>
      <c r="EH655" s="83"/>
      <c r="EI655" s="83"/>
      <c r="EJ655" s="83"/>
      <c r="EK655" s="2"/>
      <c r="EO655" s="2"/>
      <c r="ES655" s="58"/>
      <c r="ET655" s="58"/>
      <c r="EU655" s="58"/>
      <c r="EV655" s="58"/>
      <c r="EW655" s="58"/>
      <c r="EX655" s="58"/>
      <c r="EY655" s="58"/>
      <c r="EZ655" s="85"/>
    </row>
    <row r="656" spans="1:156">
      <c r="A656" s="95"/>
      <c r="B656" s="9"/>
      <c r="I656" s="54"/>
      <c r="J656" s="6"/>
      <c r="K656" s="6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90"/>
      <c r="AO656" s="91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91"/>
      <c r="CG656" s="6"/>
      <c r="CH656" s="91"/>
      <c r="CI656" s="91"/>
      <c r="CJ656" s="91"/>
      <c r="CK656" s="91"/>
      <c r="CL656" s="6"/>
      <c r="CM656" s="6"/>
      <c r="CN656" s="6"/>
      <c r="CO656" s="6"/>
      <c r="CP656" s="6"/>
      <c r="CQ656" s="6"/>
      <c r="CR656" s="6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8"/>
      <c r="DK656" s="8"/>
      <c r="DL656" s="8"/>
      <c r="DM656" s="8"/>
      <c r="DN656" s="55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83"/>
      <c r="EC656" s="83"/>
      <c r="ED656" s="83"/>
      <c r="EE656" s="83"/>
      <c r="EF656" s="83"/>
      <c r="EG656" s="83"/>
      <c r="EH656" s="83"/>
      <c r="EI656" s="83"/>
      <c r="EJ656" s="83"/>
      <c r="EK656" s="2"/>
      <c r="EO656" s="2"/>
      <c r="ES656" s="58"/>
      <c r="ET656" s="58"/>
      <c r="EU656" s="58"/>
      <c r="EV656" s="58"/>
      <c r="EW656" s="58"/>
      <c r="EX656" s="58"/>
      <c r="EY656" s="58"/>
      <c r="EZ656" s="85"/>
    </row>
    <row r="657" spans="1:156">
      <c r="A657" s="95"/>
      <c r="B657" s="9"/>
      <c r="I657" s="54"/>
      <c r="J657" s="6"/>
      <c r="K657" s="6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90"/>
      <c r="AO657" s="91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91"/>
      <c r="CG657" s="6"/>
      <c r="CH657" s="91"/>
      <c r="CI657" s="91"/>
      <c r="CJ657" s="91"/>
      <c r="CK657" s="91"/>
      <c r="CL657" s="6"/>
      <c r="CM657" s="6"/>
      <c r="CN657" s="6"/>
      <c r="CO657" s="6"/>
      <c r="CP657" s="6"/>
      <c r="CQ657" s="6"/>
      <c r="CR657" s="6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8"/>
      <c r="DK657" s="8"/>
      <c r="DL657" s="8"/>
      <c r="DM657" s="8"/>
      <c r="DN657" s="55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83"/>
      <c r="EC657" s="83"/>
      <c r="ED657" s="83"/>
      <c r="EE657" s="83"/>
      <c r="EF657" s="83"/>
      <c r="EG657" s="83"/>
      <c r="EH657" s="83"/>
      <c r="EI657" s="83"/>
      <c r="EJ657" s="83"/>
      <c r="EK657" s="2"/>
      <c r="EO657" s="2"/>
      <c r="ES657" s="58"/>
      <c r="ET657" s="58"/>
      <c r="EU657" s="58"/>
      <c r="EV657" s="58"/>
      <c r="EW657" s="58"/>
      <c r="EX657" s="58"/>
      <c r="EY657" s="58"/>
      <c r="EZ657" s="85"/>
    </row>
    <row r="658" spans="1:156">
      <c r="A658" s="95"/>
      <c r="B658" s="9"/>
      <c r="I658" s="54"/>
      <c r="J658" s="6"/>
      <c r="K658" s="6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90"/>
      <c r="AO658" s="91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91"/>
      <c r="CG658" s="6"/>
      <c r="CH658" s="91"/>
      <c r="CI658" s="91"/>
      <c r="CJ658" s="91"/>
      <c r="CK658" s="91"/>
      <c r="CL658" s="6"/>
      <c r="CM658" s="6"/>
      <c r="CN658" s="6"/>
      <c r="CO658" s="6"/>
      <c r="CP658" s="6"/>
      <c r="CQ658" s="6"/>
      <c r="CR658" s="6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8"/>
      <c r="DK658" s="8"/>
      <c r="DL658" s="8"/>
      <c r="DM658" s="8"/>
      <c r="DN658" s="55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83"/>
      <c r="EC658" s="83"/>
      <c r="ED658" s="83"/>
      <c r="EE658" s="83"/>
      <c r="EF658" s="83"/>
      <c r="EG658" s="83"/>
      <c r="EH658" s="83"/>
      <c r="EI658" s="83"/>
      <c r="EJ658" s="83"/>
      <c r="EK658" s="2"/>
      <c r="EO658" s="2"/>
      <c r="ES658" s="58"/>
      <c r="ET658" s="58"/>
      <c r="EU658" s="58"/>
      <c r="EV658" s="58"/>
      <c r="EW658" s="58"/>
      <c r="EX658" s="58"/>
      <c r="EY658" s="58"/>
      <c r="EZ658" s="85"/>
    </row>
    <row r="659" spans="1:156">
      <c r="A659" s="95"/>
      <c r="B659" s="9"/>
      <c r="I659" s="54"/>
      <c r="J659" s="6"/>
      <c r="K659" s="6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90"/>
      <c r="AO659" s="91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91"/>
      <c r="CG659" s="6"/>
      <c r="CH659" s="91"/>
      <c r="CI659" s="91"/>
      <c r="CJ659" s="91"/>
      <c r="CK659" s="91"/>
      <c r="CL659" s="6"/>
      <c r="CM659" s="6"/>
      <c r="CN659" s="6"/>
      <c r="CO659" s="6"/>
      <c r="CP659" s="6"/>
      <c r="CQ659" s="6"/>
      <c r="CR659" s="6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8"/>
      <c r="DK659" s="8"/>
      <c r="DL659" s="8"/>
      <c r="DM659" s="8"/>
      <c r="DN659" s="55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83"/>
      <c r="EC659" s="83"/>
      <c r="ED659" s="83"/>
      <c r="EE659" s="83"/>
      <c r="EF659" s="83"/>
      <c r="EG659" s="83"/>
      <c r="EH659" s="83"/>
      <c r="EI659" s="83"/>
      <c r="EJ659" s="83"/>
      <c r="EK659" s="2"/>
      <c r="EO659" s="2"/>
      <c r="ES659" s="58"/>
      <c r="ET659" s="58"/>
      <c r="EU659" s="58"/>
      <c r="EV659" s="58"/>
      <c r="EW659" s="58"/>
      <c r="EX659" s="58"/>
      <c r="EY659" s="58"/>
      <c r="EZ659" s="85"/>
    </row>
    <row r="660" spans="1:156">
      <c r="A660" s="95"/>
      <c r="B660" s="9"/>
      <c r="I660" s="54"/>
      <c r="J660" s="6"/>
      <c r="K660" s="6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90"/>
      <c r="AO660" s="91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91"/>
      <c r="CG660" s="6"/>
      <c r="CH660" s="91"/>
      <c r="CI660" s="91"/>
      <c r="CJ660" s="91"/>
      <c r="CK660" s="91"/>
      <c r="CL660" s="6"/>
      <c r="CM660" s="6"/>
      <c r="CN660" s="6"/>
      <c r="CO660" s="6"/>
      <c r="CP660" s="6"/>
      <c r="CQ660" s="6"/>
      <c r="CR660" s="6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8"/>
      <c r="DK660" s="8"/>
      <c r="DL660" s="8"/>
      <c r="DM660" s="8"/>
      <c r="DN660" s="55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83"/>
      <c r="EC660" s="83"/>
      <c r="ED660" s="83"/>
      <c r="EE660" s="83"/>
      <c r="EF660" s="83"/>
      <c r="EG660" s="83"/>
      <c r="EH660" s="83"/>
      <c r="EI660" s="83"/>
      <c r="EJ660" s="83"/>
      <c r="EK660" s="2"/>
      <c r="EO660" s="2"/>
      <c r="ES660" s="58"/>
      <c r="ET660" s="58"/>
      <c r="EU660" s="58"/>
      <c r="EV660" s="58"/>
      <c r="EW660" s="58"/>
      <c r="EX660" s="58"/>
      <c r="EY660" s="58"/>
      <c r="EZ660" s="85"/>
    </row>
    <row r="661" spans="1:156">
      <c r="A661" s="95"/>
      <c r="B661" s="9"/>
      <c r="I661" s="54"/>
      <c r="J661" s="6"/>
      <c r="K661" s="6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90"/>
      <c r="AO661" s="91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91"/>
      <c r="CG661" s="6"/>
      <c r="CH661" s="91"/>
      <c r="CI661" s="91"/>
      <c r="CJ661" s="91"/>
      <c r="CK661" s="91"/>
      <c r="CL661" s="6"/>
      <c r="CM661" s="6"/>
      <c r="CN661" s="6"/>
      <c r="CO661" s="6"/>
      <c r="CP661" s="6"/>
      <c r="CQ661" s="6"/>
      <c r="CR661" s="6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8"/>
      <c r="DK661" s="8"/>
      <c r="DL661" s="8"/>
      <c r="DM661" s="8"/>
      <c r="DN661" s="55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83"/>
      <c r="EC661" s="83"/>
      <c r="ED661" s="83"/>
      <c r="EE661" s="83"/>
      <c r="EF661" s="83"/>
      <c r="EG661" s="83"/>
      <c r="EH661" s="83"/>
      <c r="EI661" s="83"/>
      <c r="EJ661" s="83"/>
      <c r="EK661" s="2"/>
      <c r="EO661" s="2"/>
      <c r="ES661" s="58"/>
      <c r="ET661" s="58"/>
      <c r="EU661" s="58"/>
      <c r="EV661" s="58"/>
      <c r="EW661" s="58"/>
      <c r="EX661" s="58"/>
      <c r="EY661" s="58"/>
      <c r="EZ661" s="85"/>
    </row>
    <row r="662" spans="1:156">
      <c r="A662" s="95"/>
      <c r="B662" s="9"/>
      <c r="I662" s="54"/>
      <c r="J662" s="6"/>
      <c r="K662" s="6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90"/>
      <c r="AO662" s="91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91"/>
      <c r="CG662" s="6"/>
      <c r="CH662" s="91"/>
      <c r="CI662" s="91"/>
      <c r="CJ662" s="91"/>
      <c r="CK662" s="91"/>
      <c r="CL662" s="6"/>
      <c r="CM662" s="6"/>
      <c r="CN662" s="6"/>
      <c r="CO662" s="6"/>
      <c r="CP662" s="6"/>
      <c r="CQ662" s="6"/>
      <c r="CR662" s="6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8"/>
      <c r="DK662" s="8"/>
      <c r="DL662" s="8"/>
      <c r="DM662" s="8"/>
      <c r="DN662" s="55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83"/>
      <c r="EC662" s="83"/>
      <c r="ED662" s="83"/>
      <c r="EE662" s="83"/>
      <c r="EF662" s="83"/>
      <c r="EG662" s="83"/>
      <c r="EH662" s="83"/>
      <c r="EI662" s="83"/>
      <c r="EJ662" s="83"/>
      <c r="EK662" s="2"/>
      <c r="EO662" s="2"/>
      <c r="ES662" s="58"/>
      <c r="ET662" s="58"/>
      <c r="EU662" s="58"/>
      <c r="EV662" s="58"/>
      <c r="EW662" s="58"/>
      <c r="EX662" s="58"/>
      <c r="EY662" s="58"/>
      <c r="EZ662" s="85"/>
    </row>
    <row r="663" spans="1:156">
      <c r="A663" s="95"/>
      <c r="B663" s="9"/>
      <c r="I663" s="54"/>
      <c r="J663" s="6"/>
      <c r="K663" s="6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90"/>
      <c r="AO663" s="91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91"/>
      <c r="CG663" s="6"/>
      <c r="CH663" s="91"/>
      <c r="CI663" s="91"/>
      <c r="CJ663" s="91"/>
      <c r="CK663" s="91"/>
      <c r="CL663" s="6"/>
      <c r="CM663" s="6"/>
      <c r="CN663" s="6"/>
      <c r="CO663" s="6"/>
      <c r="CP663" s="6"/>
      <c r="CQ663" s="6"/>
      <c r="CR663" s="6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8"/>
      <c r="DK663" s="8"/>
      <c r="DL663" s="8"/>
      <c r="DM663" s="8"/>
      <c r="DN663" s="55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83"/>
      <c r="EC663" s="83"/>
      <c r="ED663" s="83"/>
      <c r="EE663" s="83"/>
      <c r="EF663" s="83"/>
      <c r="EG663" s="83"/>
      <c r="EH663" s="83"/>
      <c r="EI663" s="83"/>
      <c r="EJ663" s="83"/>
      <c r="EK663" s="2"/>
      <c r="EO663" s="2"/>
      <c r="ES663" s="58"/>
      <c r="ET663" s="58"/>
      <c r="EU663" s="58"/>
      <c r="EV663" s="58"/>
      <c r="EW663" s="58"/>
      <c r="EX663" s="58"/>
      <c r="EY663" s="58"/>
      <c r="EZ663" s="85"/>
    </row>
    <row r="664" spans="1:156">
      <c r="A664" s="95"/>
      <c r="B664" s="9"/>
      <c r="I664" s="54"/>
      <c r="J664" s="6"/>
      <c r="K664" s="6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90"/>
      <c r="AO664" s="91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91"/>
      <c r="CG664" s="6"/>
      <c r="CH664" s="91"/>
      <c r="CI664" s="91"/>
      <c r="CJ664" s="91"/>
      <c r="CK664" s="91"/>
      <c r="CL664" s="6"/>
      <c r="CM664" s="6"/>
      <c r="CN664" s="6"/>
      <c r="CO664" s="6"/>
      <c r="CP664" s="6"/>
      <c r="CQ664" s="6"/>
      <c r="CR664" s="6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8"/>
      <c r="DK664" s="8"/>
      <c r="DL664" s="8"/>
      <c r="DM664" s="8"/>
      <c r="DN664" s="55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83"/>
      <c r="EC664" s="83"/>
      <c r="ED664" s="83"/>
      <c r="EE664" s="83"/>
      <c r="EF664" s="83"/>
      <c r="EG664" s="83"/>
      <c r="EH664" s="83"/>
      <c r="EI664" s="83"/>
      <c r="EJ664" s="83"/>
      <c r="EK664" s="2"/>
      <c r="EO664" s="2"/>
      <c r="ES664" s="58"/>
      <c r="ET664" s="58"/>
      <c r="EU664" s="58"/>
      <c r="EV664" s="58"/>
      <c r="EW664" s="58"/>
      <c r="EX664" s="58"/>
      <c r="EY664" s="58"/>
      <c r="EZ664" s="85"/>
    </row>
    <row r="665" spans="1:156">
      <c r="A665" s="95"/>
      <c r="B665" s="9"/>
      <c r="I665" s="54"/>
      <c r="J665" s="6"/>
      <c r="K665" s="6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90"/>
      <c r="AO665" s="91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91"/>
      <c r="CG665" s="6"/>
      <c r="CH665" s="91"/>
      <c r="CI665" s="91"/>
      <c r="CJ665" s="91"/>
      <c r="CK665" s="91"/>
      <c r="CL665" s="6"/>
      <c r="CM665" s="6"/>
      <c r="CN665" s="6"/>
      <c r="CO665" s="6"/>
      <c r="CP665" s="6"/>
      <c r="CQ665" s="6"/>
      <c r="CR665" s="6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8"/>
      <c r="DK665" s="8"/>
      <c r="DL665" s="8"/>
      <c r="DM665" s="8"/>
      <c r="DN665" s="55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83"/>
      <c r="EC665" s="83"/>
      <c r="ED665" s="83"/>
      <c r="EE665" s="83"/>
      <c r="EF665" s="83"/>
      <c r="EG665" s="83"/>
      <c r="EH665" s="83"/>
      <c r="EI665" s="83"/>
      <c r="EJ665" s="83"/>
      <c r="EK665" s="2"/>
      <c r="EO665" s="2"/>
      <c r="ES665" s="58"/>
      <c r="ET665" s="58"/>
      <c r="EU665" s="58"/>
      <c r="EV665" s="58"/>
      <c r="EW665" s="58"/>
      <c r="EX665" s="58"/>
      <c r="EY665" s="58"/>
      <c r="EZ665" s="85"/>
    </row>
    <row r="666" spans="1:156">
      <c r="A666" s="95"/>
      <c r="B666" s="9"/>
      <c r="I666" s="54"/>
      <c r="J666" s="6"/>
      <c r="K666" s="6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90"/>
      <c r="AO666" s="91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91"/>
      <c r="CG666" s="6"/>
      <c r="CH666" s="91"/>
      <c r="CI666" s="91"/>
      <c r="CJ666" s="91"/>
      <c r="CK666" s="91"/>
      <c r="CL666" s="6"/>
      <c r="CM666" s="6"/>
      <c r="CN666" s="6"/>
      <c r="CO666" s="6"/>
      <c r="CP666" s="6"/>
      <c r="CQ666" s="6"/>
      <c r="CR666" s="6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8"/>
      <c r="DK666" s="8"/>
      <c r="DL666" s="8"/>
      <c r="DM666" s="8"/>
      <c r="DN666" s="55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83"/>
      <c r="EC666" s="83"/>
      <c r="ED666" s="83"/>
      <c r="EE666" s="83"/>
      <c r="EF666" s="83"/>
      <c r="EG666" s="83"/>
      <c r="EH666" s="83"/>
      <c r="EI666" s="83"/>
      <c r="EJ666" s="83"/>
      <c r="EK666" s="2"/>
      <c r="EO666" s="2"/>
      <c r="ES666" s="58"/>
      <c r="ET666" s="58"/>
      <c r="EU666" s="58"/>
      <c r="EV666" s="58"/>
      <c r="EW666" s="58"/>
      <c r="EX666" s="58"/>
      <c r="EY666" s="58"/>
      <c r="EZ666" s="85"/>
    </row>
    <row r="667" spans="1:156">
      <c r="A667" s="95"/>
      <c r="B667" s="9"/>
      <c r="I667" s="54"/>
      <c r="J667" s="6"/>
      <c r="K667" s="6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90"/>
      <c r="AO667" s="91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91"/>
      <c r="CG667" s="6"/>
      <c r="CH667" s="91"/>
      <c r="CI667" s="91"/>
      <c r="CJ667" s="91"/>
      <c r="CK667" s="91"/>
      <c r="CL667" s="6"/>
      <c r="CM667" s="6"/>
      <c r="CN667" s="6"/>
      <c r="CO667" s="6"/>
      <c r="CP667" s="6"/>
      <c r="CQ667" s="6"/>
      <c r="CR667" s="6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8"/>
      <c r="DK667" s="8"/>
      <c r="DL667" s="8"/>
      <c r="DM667" s="8"/>
      <c r="DN667" s="55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83"/>
      <c r="EC667" s="83"/>
      <c r="ED667" s="83"/>
      <c r="EE667" s="83"/>
      <c r="EF667" s="83"/>
      <c r="EG667" s="83"/>
      <c r="EH667" s="83"/>
      <c r="EI667" s="83"/>
      <c r="EJ667" s="83"/>
      <c r="EK667" s="2"/>
      <c r="EO667" s="2"/>
      <c r="ES667" s="58"/>
      <c r="ET667" s="58"/>
      <c r="EU667" s="58"/>
      <c r="EV667" s="58"/>
      <c r="EW667" s="58"/>
      <c r="EX667" s="58"/>
      <c r="EY667" s="58"/>
      <c r="EZ667" s="85"/>
    </row>
    <row r="668" spans="1:156">
      <c r="A668" s="95"/>
      <c r="B668" s="9"/>
      <c r="I668" s="54"/>
      <c r="J668" s="6"/>
      <c r="K668" s="6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90"/>
      <c r="AO668" s="91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91"/>
      <c r="CG668" s="6"/>
      <c r="CH668" s="91"/>
      <c r="CI668" s="91"/>
      <c r="CJ668" s="91"/>
      <c r="CK668" s="91"/>
      <c r="CL668" s="6"/>
      <c r="CM668" s="6"/>
      <c r="CN668" s="6"/>
      <c r="CO668" s="6"/>
      <c r="CP668" s="6"/>
      <c r="CQ668" s="6"/>
      <c r="CR668" s="6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8"/>
      <c r="DK668" s="8"/>
      <c r="DL668" s="8"/>
      <c r="DM668" s="8"/>
      <c r="DN668" s="55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83"/>
      <c r="EC668" s="83"/>
      <c r="ED668" s="83"/>
      <c r="EE668" s="83"/>
      <c r="EF668" s="83"/>
      <c r="EG668" s="83"/>
      <c r="EH668" s="83"/>
      <c r="EI668" s="83"/>
      <c r="EJ668" s="83"/>
      <c r="EK668" s="2"/>
      <c r="EO668" s="2"/>
      <c r="ES668" s="58"/>
      <c r="ET668" s="58"/>
      <c r="EU668" s="58"/>
      <c r="EV668" s="58"/>
      <c r="EW668" s="58"/>
      <c r="EX668" s="58"/>
      <c r="EY668" s="58"/>
      <c r="EZ668" s="85"/>
    </row>
    <row r="669" spans="1:156">
      <c r="A669" s="95"/>
      <c r="B669" s="9"/>
      <c r="I669" s="54"/>
      <c r="J669" s="6"/>
      <c r="K669" s="6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90"/>
      <c r="AO669" s="91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91"/>
      <c r="CG669" s="6"/>
      <c r="CH669" s="91"/>
      <c r="CI669" s="91"/>
      <c r="CJ669" s="91"/>
      <c r="CK669" s="91"/>
      <c r="CL669" s="6"/>
      <c r="CM669" s="6"/>
      <c r="CN669" s="6"/>
      <c r="CO669" s="6"/>
      <c r="CP669" s="6"/>
      <c r="CQ669" s="6"/>
      <c r="CR669" s="6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8"/>
      <c r="DK669" s="8"/>
      <c r="DL669" s="8"/>
      <c r="DM669" s="8"/>
      <c r="DN669" s="55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83"/>
      <c r="EC669" s="83"/>
      <c r="ED669" s="83"/>
      <c r="EE669" s="83"/>
      <c r="EF669" s="83"/>
      <c r="EG669" s="83"/>
      <c r="EH669" s="83"/>
      <c r="EI669" s="83"/>
      <c r="EJ669" s="83"/>
      <c r="EK669" s="2"/>
      <c r="EO669" s="2"/>
      <c r="ES669" s="58"/>
      <c r="ET669" s="58"/>
      <c r="EU669" s="58"/>
      <c r="EV669" s="58"/>
      <c r="EW669" s="58"/>
      <c r="EX669" s="58"/>
      <c r="EY669" s="58"/>
      <c r="EZ669" s="85"/>
    </row>
    <row r="670" spans="1:156">
      <c r="A670" s="95"/>
      <c r="B670" s="9"/>
      <c r="I670" s="54"/>
      <c r="J670" s="6"/>
      <c r="K670" s="6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90"/>
      <c r="AO670" s="91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91"/>
      <c r="CG670" s="6"/>
      <c r="CH670" s="91"/>
      <c r="CI670" s="91"/>
      <c r="CJ670" s="91"/>
      <c r="CK670" s="91"/>
      <c r="CL670" s="6"/>
      <c r="CM670" s="6"/>
      <c r="CN670" s="6"/>
      <c r="CO670" s="6"/>
      <c r="CP670" s="6"/>
      <c r="CQ670" s="6"/>
      <c r="CR670" s="6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8"/>
      <c r="DK670" s="8"/>
      <c r="DL670" s="8"/>
      <c r="DM670" s="8"/>
      <c r="DN670" s="55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83"/>
      <c r="EC670" s="83"/>
      <c r="ED670" s="83"/>
      <c r="EE670" s="83"/>
      <c r="EF670" s="83"/>
      <c r="EG670" s="83"/>
      <c r="EH670" s="83"/>
      <c r="EI670" s="83"/>
      <c r="EJ670" s="83"/>
      <c r="EK670" s="2"/>
      <c r="EO670" s="2"/>
      <c r="ES670" s="58"/>
      <c r="ET670" s="58"/>
      <c r="EU670" s="58"/>
      <c r="EV670" s="58"/>
      <c r="EW670" s="58"/>
      <c r="EX670" s="58"/>
      <c r="EY670" s="58"/>
      <c r="EZ670" s="85"/>
    </row>
    <row r="671" spans="1:156">
      <c r="A671" s="95"/>
      <c r="B671" s="9"/>
      <c r="I671" s="54"/>
      <c r="J671" s="6"/>
      <c r="K671" s="6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90"/>
      <c r="AO671" s="91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91"/>
      <c r="CG671" s="6"/>
      <c r="CH671" s="91"/>
      <c r="CI671" s="91"/>
      <c r="CJ671" s="91"/>
      <c r="CK671" s="91"/>
      <c r="CL671" s="6"/>
      <c r="CM671" s="6"/>
      <c r="CN671" s="6"/>
      <c r="CO671" s="6"/>
      <c r="CP671" s="6"/>
      <c r="CQ671" s="6"/>
      <c r="CR671" s="6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8"/>
      <c r="DK671" s="8"/>
      <c r="DL671" s="8"/>
      <c r="DM671" s="8"/>
      <c r="DN671" s="55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83"/>
      <c r="EC671" s="83"/>
      <c r="ED671" s="83"/>
      <c r="EE671" s="83"/>
      <c r="EF671" s="83"/>
      <c r="EG671" s="83"/>
      <c r="EH671" s="83"/>
      <c r="EI671" s="83"/>
      <c r="EJ671" s="83"/>
      <c r="EK671" s="2"/>
      <c r="EO671" s="2"/>
      <c r="ES671" s="58"/>
      <c r="ET671" s="58"/>
      <c r="EU671" s="58"/>
      <c r="EV671" s="58"/>
      <c r="EW671" s="58"/>
      <c r="EX671" s="58"/>
      <c r="EY671" s="58"/>
      <c r="EZ671" s="85"/>
    </row>
    <row r="672" spans="1:156">
      <c r="A672" s="95"/>
      <c r="B672" s="9"/>
      <c r="I672" s="54"/>
      <c r="J672" s="6"/>
      <c r="K672" s="6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90"/>
      <c r="AO672" s="91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91"/>
      <c r="CG672" s="6"/>
      <c r="CH672" s="91"/>
      <c r="CI672" s="91"/>
      <c r="CJ672" s="91"/>
      <c r="CK672" s="91"/>
      <c r="CL672" s="6"/>
      <c r="CM672" s="6"/>
      <c r="CN672" s="6"/>
      <c r="CO672" s="6"/>
      <c r="CP672" s="6"/>
      <c r="CQ672" s="6"/>
      <c r="CR672" s="6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8"/>
      <c r="DK672" s="8"/>
      <c r="DL672" s="8"/>
      <c r="DM672" s="8"/>
      <c r="DN672" s="55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83"/>
      <c r="EC672" s="83"/>
      <c r="ED672" s="83"/>
      <c r="EE672" s="83"/>
      <c r="EF672" s="83"/>
      <c r="EG672" s="83"/>
      <c r="EH672" s="83"/>
      <c r="EI672" s="83"/>
      <c r="EJ672" s="83"/>
      <c r="EK672" s="2"/>
      <c r="EO672" s="2"/>
      <c r="ES672" s="58"/>
      <c r="ET672" s="58"/>
      <c r="EU672" s="58"/>
      <c r="EV672" s="58"/>
      <c r="EW672" s="58"/>
      <c r="EX672" s="58"/>
      <c r="EY672" s="58"/>
      <c r="EZ672" s="85"/>
    </row>
    <row r="673" spans="1:156">
      <c r="A673" s="95"/>
      <c r="B673" s="9"/>
      <c r="I673" s="54"/>
      <c r="J673" s="6"/>
      <c r="K673" s="6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90"/>
      <c r="AO673" s="91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91"/>
      <c r="CG673" s="6"/>
      <c r="CH673" s="91"/>
      <c r="CI673" s="91"/>
      <c r="CJ673" s="91"/>
      <c r="CK673" s="91"/>
      <c r="CL673" s="6"/>
      <c r="CM673" s="6"/>
      <c r="CN673" s="6"/>
      <c r="CO673" s="6"/>
      <c r="CP673" s="6"/>
      <c r="CQ673" s="6"/>
      <c r="CR673" s="6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8"/>
      <c r="DK673" s="8"/>
      <c r="DL673" s="8"/>
      <c r="DM673" s="8"/>
      <c r="DN673" s="55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83"/>
      <c r="EC673" s="83"/>
      <c r="ED673" s="83"/>
      <c r="EE673" s="83"/>
      <c r="EF673" s="83"/>
      <c r="EG673" s="83"/>
      <c r="EH673" s="83"/>
      <c r="EI673" s="83"/>
      <c r="EJ673" s="83"/>
      <c r="EK673" s="2"/>
      <c r="EO673" s="2"/>
      <c r="ES673" s="58"/>
      <c r="ET673" s="58"/>
      <c r="EU673" s="58"/>
      <c r="EV673" s="58"/>
      <c r="EW673" s="58"/>
      <c r="EX673" s="58"/>
      <c r="EY673" s="58"/>
      <c r="EZ673" s="85"/>
    </row>
    <row r="674" spans="1:156">
      <c r="A674" s="95"/>
      <c r="B674" s="9"/>
      <c r="I674" s="54"/>
      <c r="J674" s="6"/>
      <c r="K674" s="6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90"/>
      <c r="AO674" s="91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91"/>
      <c r="CG674" s="6"/>
      <c r="CH674" s="91"/>
      <c r="CI674" s="91"/>
      <c r="CJ674" s="91"/>
      <c r="CK674" s="91"/>
      <c r="CL674" s="6"/>
      <c r="CM674" s="6"/>
      <c r="CN674" s="6"/>
      <c r="CO674" s="6"/>
      <c r="CP674" s="6"/>
      <c r="CQ674" s="6"/>
      <c r="CR674" s="6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8"/>
      <c r="DK674" s="8"/>
      <c r="DL674" s="8"/>
      <c r="DM674" s="8"/>
      <c r="DN674" s="55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83"/>
      <c r="EC674" s="83"/>
      <c r="ED674" s="83"/>
      <c r="EE674" s="83"/>
      <c r="EF674" s="83"/>
      <c r="EG674" s="83"/>
      <c r="EH674" s="83"/>
      <c r="EI674" s="83"/>
      <c r="EJ674" s="83"/>
      <c r="EK674" s="2"/>
      <c r="EO674" s="2"/>
      <c r="ES674" s="58"/>
      <c r="ET674" s="58"/>
      <c r="EU674" s="58"/>
      <c r="EV674" s="58"/>
      <c r="EW674" s="58"/>
      <c r="EX674" s="58"/>
      <c r="EY674" s="58"/>
      <c r="EZ674" s="85"/>
    </row>
    <row r="675" spans="1:156">
      <c r="A675" s="95"/>
      <c r="B675" s="9"/>
      <c r="I675" s="54"/>
      <c r="J675" s="6"/>
      <c r="K675" s="6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90"/>
      <c r="AO675" s="91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91"/>
      <c r="CG675" s="6"/>
      <c r="CH675" s="91"/>
      <c r="CI675" s="91"/>
      <c r="CJ675" s="91"/>
      <c r="CK675" s="91"/>
      <c r="CL675" s="6"/>
      <c r="CM675" s="6"/>
      <c r="CN675" s="6"/>
      <c r="CO675" s="6"/>
      <c r="CP675" s="6"/>
      <c r="CQ675" s="6"/>
      <c r="CR675" s="6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8"/>
      <c r="DK675" s="8"/>
      <c r="DL675" s="8"/>
      <c r="DM675" s="8"/>
      <c r="DN675" s="55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83"/>
      <c r="EC675" s="83"/>
      <c r="ED675" s="83"/>
      <c r="EE675" s="83"/>
      <c r="EF675" s="83"/>
      <c r="EG675" s="83"/>
      <c r="EH675" s="83"/>
      <c r="EI675" s="83"/>
      <c r="EJ675" s="83"/>
      <c r="EK675" s="2"/>
      <c r="EO675" s="2"/>
      <c r="ES675" s="58"/>
      <c r="ET675" s="58"/>
      <c r="EU675" s="58"/>
      <c r="EV675" s="58"/>
      <c r="EW675" s="58"/>
      <c r="EX675" s="58"/>
      <c r="EY675" s="58"/>
      <c r="EZ675" s="85"/>
    </row>
    <row r="676" spans="1:156">
      <c r="A676" s="95"/>
      <c r="B676" s="9"/>
      <c r="I676" s="54"/>
      <c r="J676" s="6"/>
      <c r="K676" s="6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90"/>
      <c r="AO676" s="91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91"/>
      <c r="CG676" s="6"/>
      <c r="CH676" s="91"/>
      <c r="CI676" s="91"/>
      <c r="CJ676" s="91"/>
      <c r="CK676" s="91"/>
      <c r="CL676" s="6"/>
      <c r="CM676" s="6"/>
      <c r="CN676" s="6"/>
      <c r="CO676" s="6"/>
      <c r="CP676" s="6"/>
      <c r="CQ676" s="6"/>
      <c r="CR676" s="6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8"/>
      <c r="DK676" s="8"/>
      <c r="DL676" s="8"/>
      <c r="DM676" s="8"/>
      <c r="DN676" s="55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83"/>
      <c r="EC676" s="83"/>
      <c r="ED676" s="83"/>
      <c r="EE676" s="83"/>
      <c r="EF676" s="83"/>
      <c r="EG676" s="83"/>
      <c r="EH676" s="83"/>
      <c r="EI676" s="83"/>
      <c r="EJ676" s="83"/>
      <c r="EK676" s="2"/>
      <c r="EO676" s="2"/>
      <c r="ES676" s="58"/>
      <c r="ET676" s="58"/>
      <c r="EU676" s="58"/>
      <c r="EV676" s="58"/>
      <c r="EW676" s="58"/>
      <c r="EX676" s="58"/>
      <c r="EY676" s="58"/>
      <c r="EZ676" s="85"/>
    </row>
    <row r="677" spans="1:156">
      <c r="A677" s="95"/>
      <c r="B677" s="9"/>
      <c r="I677" s="54"/>
      <c r="J677" s="6"/>
      <c r="K677" s="6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90"/>
      <c r="AO677" s="91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91"/>
      <c r="CG677" s="6"/>
      <c r="CH677" s="91"/>
      <c r="CI677" s="91"/>
      <c r="CJ677" s="91"/>
      <c r="CK677" s="91"/>
      <c r="CL677" s="6"/>
      <c r="CM677" s="6"/>
      <c r="CN677" s="6"/>
      <c r="CO677" s="6"/>
      <c r="CP677" s="6"/>
      <c r="CQ677" s="6"/>
      <c r="CR677" s="6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8"/>
      <c r="DK677" s="8"/>
      <c r="DL677" s="8"/>
      <c r="DM677" s="8"/>
      <c r="DN677" s="55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83"/>
      <c r="EC677" s="83"/>
      <c r="ED677" s="83"/>
      <c r="EE677" s="83"/>
      <c r="EF677" s="83"/>
      <c r="EG677" s="83"/>
      <c r="EH677" s="83"/>
      <c r="EI677" s="83"/>
      <c r="EJ677" s="83"/>
      <c r="EK677" s="2"/>
      <c r="EO677" s="2"/>
      <c r="ES677" s="58"/>
      <c r="ET677" s="58"/>
      <c r="EU677" s="58"/>
      <c r="EV677" s="58"/>
      <c r="EW677" s="58"/>
      <c r="EX677" s="58"/>
      <c r="EY677" s="58"/>
      <c r="EZ677" s="85"/>
    </row>
    <row r="678" spans="1:156">
      <c r="A678" s="95"/>
      <c r="B678" s="9"/>
      <c r="I678" s="54"/>
      <c r="J678" s="6"/>
      <c r="K678" s="6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90"/>
      <c r="AO678" s="91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91"/>
      <c r="CG678" s="6"/>
      <c r="CH678" s="91"/>
      <c r="CI678" s="91"/>
      <c r="CJ678" s="91"/>
      <c r="CK678" s="91"/>
      <c r="CL678" s="6"/>
      <c r="CM678" s="6"/>
      <c r="CN678" s="6"/>
      <c r="CO678" s="6"/>
      <c r="CP678" s="6"/>
      <c r="CQ678" s="6"/>
      <c r="CR678" s="6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8"/>
      <c r="DK678" s="8"/>
      <c r="DL678" s="8"/>
      <c r="DM678" s="8"/>
      <c r="DN678" s="55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83"/>
      <c r="EC678" s="83"/>
      <c r="ED678" s="83"/>
      <c r="EE678" s="83"/>
      <c r="EF678" s="83"/>
      <c r="EG678" s="83"/>
      <c r="EH678" s="83"/>
      <c r="EI678" s="83"/>
      <c r="EJ678" s="83"/>
      <c r="EK678" s="2"/>
      <c r="EO678" s="2"/>
      <c r="ES678" s="58"/>
      <c r="ET678" s="58"/>
      <c r="EU678" s="58"/>
      <c r="EV678" s="58"/>
      <c r="EW678" s="58"/>
      <c r="EX678" s="58"/>
      <c r="EY678" s="58"/>
      <c r="EZ678" s="85"/>
    </row>
    <row r="679" spans="1:156">
      <c r="A679" s="95"/>
      <c r="B679" s="9"/>
      <c r="I679" s="54"/>
      <c r="J679" s="6"/>
      <c r="K679" s="6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90"/>
      <c r="AO679" s="91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91"/>
      <c r="CG679" s="6"/>
      <c r="CH679" s="91"/>
      <c r="CI679" s="91"/>
      <c r="CJ679" s="91"/>
      <c r="CK679" s="91"/>
      <c r="CL679" s="6"/>
      <c r="CM679" s="6"/>
      <c r="CN679" s="6"/>
      <c r="CO679" s="6"/>
      <c r="CP679" s="6"/>
      <c r="CQ679" s="6"/>
      <c r="CR679" s="6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8"/>
      <c r="DK679" s="8"/>
      <c r="DL679" s="8"/>
      <c r="DM679" s="8"/>
      <c r="DN679" s="55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83"/>
      <c r="EC679" s="83"/>
      <c r="ED679" s="83"/>
      <c r="EE679" s="83"/>
      <c r="EF679" s="83"/>
      <c r="EG679" s="83"/>
      <c r="EH679" s="83"/>
      <c r="EI679" s="83"/>
      <c r="EJ679" s="83"/>
      <c r="EK679" s="2"/>
      <c r="EO679" s="2"/>
      <c r="ES679" s="58"/>
      <c r="ET679" s="58"/>
      <c r="EU679" s="58"/>
      <c r="EV679" s="58"/>
      <c r="EW679" s="58"/>
      <c r="EX679" s="58"/>
      <c r="EY679" s="58"/>
      <c r="EZ679" s="85"/>
    </row>
    <row r="680" spans="1:156">
      <c r="A680" s="95"/>
      <c r="B680" s="9"/>
      <c r="I680" s="54"/>
      <c r="J680" s="6"/>
      <c r="K680" s="6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90"/>
      <c r="AO680" s="91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91"/>
      <c r="CG680" s="6"/>
      <c r="CH680" s="91"/>
      <c r="CI680" s="91"/>
      <c r="CJ680" s="91"/>
      <c r="CK680" s="91"/>
      <c r="CL680" s="6"/>
      <c r="CM680" s="6"/>
      <c r="CN680" s="6"/>
      <c r="CO680" s="6"/>
      <c r="CP680" s="6"/>
      <c r="CQ680" s="6"/>
      <c r="CR680" s="6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8"/>
      <c r="DK680" s="8"/>
      <c r="DL680" s="8"/>
      <c r="DM680" s="8"/>
      <c r="DN680" s="55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83"/>
      <c r="EC680" s="83"/>
      <c r="ED680" s="83"/>
      <c r="EE680" s="83"/>
      <c r="EF680" s="83"/>
      <c r="EG680" s="83"/>
      <c r="EH680" s="83"/>
      <c r="EI680" s="83"/>
      <c r="EJ680" s="83"/>
      <c r="EK680" s="2"/>
      <c r="EO680" s="2"/>
      <c r="ES680" s="58"/>
      <c r="ET680" s="58"/>
      <c r="EU680" s="58"/>
      <c r="EV680" s="58"/>
      <c r="EW680" s="58"/>
      <c r="EX680" s="58"/>
      <c r="EY680" s="58"/>
      <c r="EZ680" s="85"/>
    </row>
    <row r="681" spans="1:156">
      <c r="A681" s="95"/>
      <c r="B681" s="9"/>
      <c r="I681" s="54"/>
      <c r="J681" s="6"/>
      <c r="K681" s="6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90"/>
      <c r="AO681" s="91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91"/>
      <c r="CG681" s="6"/>
      <c r="CH681" s="91"/>
      <c r="CI681" s="91"/>
      <c r="CJ681" s="91"/>
      <c r="CK681" s="91"/>
      <c r="CL681" s="6"/>
      <c r="CM681" s="6"/>
      <c r="CN681" s="6"/>
      <c r="CO681" s="6"/>
      <c r="CP681" s="6"/>
      <c r="CQ681" s="6"/>
      <c r="CR681" s="6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8"/>
      <c r="DK681" s="8"/>
      <c r="DL681" s="8"/>
      <c r="DM681" s="8"/>
      <c r="DN681" s="55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83"/>
      <c r="EC681" s="83"/>
      <c r="ED681" s="83"/>
      <c r="EE681" s="83"/>
      <c r="EF681" s="83"/>
      <c r="EG681" s="83"/>
      <c r="EH681" s="83"/>
      <c r="EI681" s="83"/>
      <c r="EJ681" s="83"/>
      <c r="EK681" s="2"/>
      <c r="EO681" s="2"/>
      <c r="ES681" s="58"/>
      <c r="ET681" s="58"/>
      <c r="EU681" s="58"/>
      <c r="EV681" s="58"/>
      <c r="EW681" s="58"/>
      <c r="EX681" s="58"/>
      <c r="EY681" s="58"/>
      <c r="EZ681" s="85"/>
    </row>
    <row r="682" spans="1:156">
      <c r="A682" s="95"/>
      <c r="B682" s="9"/>
      <c r="I682" s="54"/>
      <c r="J682" s="6"/>
      <c r="K682" s="6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90"/>
      <c r="AO682" s="91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91"/>
      <c r="CG682" s="6"/>
      <c r="CH682" s="91"/>
      <c r="CI682" s="91"/>
      <c r="CJ682" s="91"/>
      <c r="CK682" s="91"/>
      <c r="CL682" s="6"/>
      <c r="CM682" s="6"/>
      <c r="CN682" s="6"/>
      <c r="CO682" s="6"/>
      <c r="CP682" s="6"/>
      <c r="CQ682" s="6"/>
      <c r="CR682" s="6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8"/>
      <c r="DK682" s="8"/>
      <c r="DL682" s="8"/>
      <c r="DM682" s="8"/>
      <c r="DN682" s="55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83"/>
      <c r="EC682" s="83"/>
      <c r="ED682" s="83"/>
      <c r="EE682" s="83"/>
      <c r="EF682" s="83"/>
      <c r="EG682" s="83"/>
      <c r="EH682" s="83"/>
      <c r="EI682" s="83"/>
      <c r="EJ682" s="83"/>
      <c r="EK682" s="2"/>
      <c r="EO682" s="2"/>
      <c r="ES682" s="58"/>
      <c r="ET682" s="58"/>
      <c r="EU682" s="58"/>
      <c r="EV682" s="58"/>
      <c r="EW682" s="58"/>
      <c r="EX682" s="58"/>
      <c r="EY682" s="58"/>
      <c r="EZ682" s="85"/>
    </row>
    <row r="683" spans="1:156">
      <c r="A683" s="95"/>
      <c r="B683" s="9"/>
      <c r="I683" s="54"/>
      <c r="J683" s="6"/>
      <c r="K683" s="6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90"/>
      <c r="AO683" s="91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91"/>
      <c r="CG683" s="6"/>
      <c r="CH683" s="91"/>
      <c r="CI683" s="91"/>
      <c r="CJ683" s="91"/>
      <c r="CK683" s="91"/>
      <c r="CL683" s="6"/>
      <c r="CM683" s="6"/>
      <c r="CN683" s="6"/>
      <c r="CO683" s="6"/>
      <c r="CP683" s="6"/>
      <c r="CQ683" s="6"/>
      <c r="CR683" s="6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8"/>
      <c r="DK683" s="8"/>
      <c r="DL683" s="8"/>
      <c r="DM683" s="8"/>
      <c r="DN683" s="55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83"/>
      <c r="EC683" s="83"/>
      <c r="ED683" s="83"/>
      <c r="EE683" s="83"/>
      <c r="EF683" s="83"/>
      <c r="EG683" s="83"/>
      <c r="EH683" s="83"/>
      <c r="EI683" s="83"/>
      <c r="EJ683" s="83"/>
      <c r="EK683" s="2"/>
      <c r="EO683" s="2"/>
      <c r="ES683" s="58"/>
      <c r="ET683" s="58"/>
      <c r="EU683" s="58"/>
      <c r="EV683" s="58"/>
      <c r="EW683" s="58"/>
      <c r="EX683" s="58"/>
      <c r="EY683" s="58"/>
      <c r="EZ683" s="85"/>
    </row>
    <row r="684" spans="1:156">
      <c r="A684" s="95"/>
      <c r="B684" s="9"/>
      <c r="I684" s="54"/>
      <c r="J684" s="6"/>
      <c r="K684" s="6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90"/>
      <c r="AO684" s="91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91"/>
      <c r="CG684" s="6"/>
      <c r="CH684" s="91"/>
      <c r="CI684" s="91"/>
      <c r="CJ684" s="91"/>
      <c r="CK684" s="91"/>
      <c r="CL684" s="6"/>
      <c r="CM684" s="6"/>
      <c r="CN684" s="6"/>
      <c r="CO684" s="6"/>
      <c r="CP684" s="6"/>
      <c r="CQ684" s="6"/>
      <c r="CR684" s="6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8"/>
      <c r="DK684" s="8"/>
      <c r="DL684" s="8"/>
      <c r="DM684" s="8"/>
      <c r="DN684" s="55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83"/>
      <c r="EC684" s="83"/>
      <c r="ED684" s="83"/>
      <c r="EE684" s="83"/>
      <c r="EF684" s="83"/>
      <c r="EG684" s="83"/>
      <c r="EH684" s="83"/>
      <c r="EI684" s="83"/>
      <c r="EJ684" s="83"/>
      <c r="EK684" s="2"/>
      <c r="EO684" s="2"/>
      <c r="ES684" s="58"/>
      <c r="ET684" s="58"/>
      <c r="EU684" s="58"/>
      <c r="EV684" s="58"/>
      <c r="EW684" s="58"/>
      <c r="EX684" s="58"/>
      <c r="EY684" s="58"/>
      <c r="EZ684" s="85"/>
    </row>
    <row r="685" spans="1:156">
      <c r="A685" s="95"/>
      <c r="B685" s="9"/>
      <c r="I685" s="54"/>
      <c r="J685" s="6"/>
      <c r="K685" s="6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90"/>
      <c r="AO685" s="91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91"/>
      <c r="CG685" s="6"/>
      <c r="CH685" s="91"/>
      <c r="CI685" s="91"/>
      <c r="CJ685" s="91"/>
      <c r="CK685" s="91"/>
      <c r="CL685" s="6"/>
      <c r="CM685" s="6"/>
      <c r="CN685" s="6"/>
      <c r="CO685" s="6"/>
      <c r="CP685" s="6"/>
      <c r="CQ685" s="6"/>
      <c r="CR685" s="6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8"/>
      <c r="DK685" s="8"/>
      <c r="DL685" s="8"/>
      <c r="DM685" s="8"/>
      <c r="DN685" s="55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83"/>
      <c r="EC685" s="83"/>
      <c r="ED685" s="83"/>
      <c r="EE685" s="83"/>
      <c r="EF685" s="83"/>
      <c r="EG685" s="83"/>
      <c r="EH685" s="83"/>
      <c r="EI685" s="83"/>
      <c r="EJ685" s="83"/>
      <c r="EK685" s="2"/>
      <c r="EO685" s="2"/>
      <c r="ES685" s="58"/>
      <c r="ET685" s="58"/>
      <c r="EU685" s="58"/>
      <c r="EV685" s="58"/>
      <c r="EW685" s="58"/>
      <c r="EX685" s="58"/>
      <c r="EY685" s="58"/>
      <c r="EZ685" s="85"/>
    </row>
    <row r="686" spans="1:156">
      <c r="A686" s="95"/>
      <c r="B686" s="9"/>
      <c r="I686" s="54"/>
      <c r="J686" s="6"/>
      <c r="K686" s="6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90"/>
      <c r="AO686" s="91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91"/>
      <c r="CG686" s="6"/>
      <c r="CH686" s="91"/>
      <c r="CI686" s="91"/>
      <c r="CJ686" s="91"/>
      <c r="CK686" s="91"/>
      <c r="CL686" s="6"/>
      <c r="CM686" s="6"/>
      <c r="CN686" s="6"/>
      <c r="CO686" s="6"/>
      <c r="CP686" s="6"/>
      <c r="CQ686" s="6"/>
      <c r="CR686" s="6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8"/>
      <c r="DK686" s="8"/>
      <c r="DL686" s="8"/>
      <c r="DM686" s="8"/>
      <c r="DN686" s="55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83"/>
      <c r="EC686" s="83"/>
      <c r="ED686" s="83"/>
      <c r="EE686" s="83"/>
      <c r="EF686" s="83"/>
      <c r="EG686" s="83"/>
      <c r="EH686" s="83"/>
      <c r="EI686" s="83"/>
      <c r="EJ686" s="83"/>
      <c r="EK686" s="2"/>
      <c r="EO686" s="2"/>
      <c r="ES686" s="58"/>
      <c r="ET686" s="58"/>
      <c r="EU686" s="58"/>
      <c r="EV686" s="58"/>
      <c r="EW686" s="58"/>
      <c r="EX686" s="58"/>
      <c r="EY686" s="58"/>
      <c r="EZ686" s="85"/>
    </row>
    <row r="687" spans="1:156">
      <c r="A687" s="95"/>
      <c r="B687" s="9"/>
      <c r="I687" s="54"/>
      <c r="J687" s="6"/>
      <c r="K687" s="6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90"/>
      <c r="AO687" s="91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91"/>
      <c r="CG687" s="6"/>
      <c r="CH687" s="91"/>
      <c r="CI687" s="91"/>
      <c r="CJ687" s="91"/>
      <c r="CK687" s="91"/>
      <c r="CL687" s="6"/>
      <c r="CM687" s="6"/>
      <c r="CN687" s="6"/>
      <c r="CO687" s="6"/>
      <c r="CP687" s="6"/>
      <c r="CQ687" s="6"/>
      <c r="CR687" s="6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8"/>
      <c r="DK687" s="8"/>
      <c r="DL687" s="8"/>
      <c r="DM687" s="8"/>
      <c r="DN687" s="55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83"/>
      <c r="EC687" s="83"/>
      <c r="ED687" s="83"/>
      <c r="EE687" s="83"/>
      <c r="EF687" s="83"/>
      <c r="EG687" s="83"/>
      <c r="EH687" s="83"/>
      <c r="EI687" s="83"/>
      <c r="EJ687" s="83"/>
      <c r="EK687" s="2"/>
      <c r="EO687" s="2"/>
      <c r="ES687" s="58"/>
      <c r="ET687" s="58"/>
      <c r="EU687" s="58"/>
      <c r="EV687" s="58"/>
      <c r="EW687" s="58"/>
      <c r="EX687" s="58"/>
      <c r="EY687" s="58"/>
      <c r="EZ687" s="85"/>
    </row>
    <row r="688" spans="1:156">
      <c r="A688" s="95"/>
      <c r="B688" s="9"/>
      <c r="I688" s="54"/>
      <c r="J688" s="6"/>
      <c r="K688" s="6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90"/>
      <c r="AO688" s="91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91"/>
      <c r="CG688" s="6"/>
      <c r="CH688" s="91"/>
      <c r="CI688" s="91"/>
      <c r="CJ688" s="91"/>
      <c r="CK688" s="91"/>
      <c r="CL688" s="6"/>
      <c r="CM688" s="6"/>
      <c r="CN688" s="6"/>
      <c r="CO688" s="6"/>
      <c r="CP688" s="6"/>
      <c r="CQ688" s="6"/>
      <c r="CR688" s="6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8"/>
      <c r="DK688" s="8"/>
      <c r="DL688" s="8"/>
      <c r="DM688" s="8"/>
      <c r="DN688" s="55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83"/>
      <c r="EC688" s="83"/>
      <c r="ED688" s="83"/>
      <c r="EE688" s="83"/>
      <c r="EF688" s="83"/>
      <c r="EG688" s="83"/>
      <c r="EH688" s="83"/>
      <c r="EI688" s="83"/>
      <c r="EJ688" s="83"/>
      <c r="EK688" s="2"/>
      <c r="EO688" s="2"/>
      <c r="ES688" s="58"/>
      <c r="ET688" s="58"/>
      <c r="EU688" s="58"/>
      <c r="EV688" s="58"/>
      <c r="EW688" s="58"/>
      <c r="EX688" s="58"/>
      <c r="EY688" s="58"/>
      <c r="EZ688" s="85"/>
    </row>
    <row r="689" spans="1:156">
      <c r="A689" s="95"/>
      <c r="B689" s="9"/>
      <c r="I689" s="54"/>
      <c r="J689" s="6"/>
      <c r="K689" s="6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90"/>
      <c r="AO689" s="91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91"/>
      <c r="CG689" s="6"/>
      <c r="CH689" s="91"/>
      <c r="CI689" s="91"/>
      <c r="CJ689" s="91"/>
      <c r="CK689" s="91"/>
      <c r="CL689" s="6"/>
      <c r="CM689" s="6"/>
      <c r="CN689" s="6"/>
      <c r="CO689" s="6"/>
      <c r="CP689" s="6"/>
      <c r="CQ689" s="6"/>
      <c r="CR689" s="6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8"/>
      <c r="DK689" s="8"/>
      <c r="DL689" s="8"/>
      <c r="DM689" s="8"/>
      <c r="DN689" s="55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83"/>
      <c r="EC689" s="83"/>
      <c r="ED689" s="83"/>
      <c r="EE689" s="83"/>
      <c r="EF689" s="83"/>
      <c r="EG689" s="83"/>
      <c r="EH689" s="83"/>
      <c r="EI689" s="83"/>
      <c r="EJ689" s="83"/>
      <c r="EK689" s="2"/>
      <c r="EO689" s="2"/>
      <c r="ES689" s="58"/>
      <c r="ET689" s="58"/>
      <c r="EU689" s="58"/>
      <c r="EV689" s="58"/>
      <c r="EW689" s="58"/>
      <c r="EX689" s="58"/>
      <c r="EY689" s="58"/>
      <c r="EZ689" s="85"/>
    </row>
    <row r="690" spans="1:156">
      <c r="A690" s="95"/>
      <c r="B690" s="9"/>
      <c r="I690" s="54"/>
      <c r="J690" s="6"/>
      <c r="K690" s="6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90"/>
      <c r="AO690" s="91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91"/>
      <c r="CG690" s="6"/>
      <c r="CH690" s="91"/>
      <c r="CI690" s="91"/>
      <c r="CJ690" s="91"/>
      <c r="CK690" s="91"/>
      <c r="CL690" s="6"/>
      <c r="CM690" s="6"/>
      <c r="CN690" s="6"/>
      <c r="CO690" s="6"/>
      <c r="CP690" s="6"/>
      <c r="CQ690" s="6"/>
      <c r="CR690" s="6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8"/>
      <c r="DK690" s="8"/>
      <c r="DL690" s="8"/>
      <c r="DM690" s="8"/>
      <c r="DN690" s="55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83"/>
      <c r="EC690" s="83"/>
      <c r="ED690" s="83"/>
      <c r="EE690" s="83"/>
      <c r="EF690" s="83"/>
      <c r="EG690" s="83"/>
      <c r="EH690" s="83"/>
      <c r="EI690" s="83"/>
      <c r="EJ690" s="83"/>
      <c r="EK690" s="2"/>
      <c r="EO690" s="2"/>
      <c r="ES690" s="58"/>
      <c r="ET690" s="58"/>
      <c r="EU690" s="58"/>
      <c r="EV690" s="58"/>
      <c r="EW690" s="58"/>
      <c r="EX690" s="58"/>
      <c r="EY690" s="58"/>
      <c r="EZ690" s="85"/>
    </row>
    <row r="691" spans="1:156">
      <c r="A691" s="95"/>
      <c r="B691" s="9"/>
      <c r="I691" s="54"/>
      <c r="J691" s="6"/>
      <c r="K691" s="6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90"/>
      <c r="AO691" s="91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91"/>
      <c r="CG691" s="6"/>
      <c r="CH691" s="91"/>
      <c r="CI691" s="91"/>
      <c r="CJ691" s="91"/>
      <c r="CK691" s="91"/>
      <c r="CL691" s="6"/>
      <c r="CM691" s="6"/>
      <c r="CN691" s="6"/>
      <c r="CO691" s="6"/>
      <c r="CP691" s="6"/>
      <c r="CQ691" s="6"/>
      <c r="CR691" s="6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8"/>
      <c r="DK691" s="8"/>
      <c r="DL691" s="8"/>
      <c r="DM691" s="8"/>
      <c r="DN691" s="55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83"/>
      <c r="EC691" s="83"/>
      <c r="ED691" s="83"/>
      <c r="EE691" s="83"/>
      <c r="EF691" s="83"/>
      <c r="EG691" s="83"/>
      <c r="EH691" s="83"/>
      <c r="EI691" s="83"/>
      <c r="EJ691" s="83"/>
      <c r="EK691" s="2"/>
      <c r="EO691" s="2"/>
      <c r="ES691" s="58"/>
      <c r="ET691" s="58"/>
      <c r="EU691" s="58"/>
      <c r="EV691" s="58"/>
      <c r="EW691" s="58"/>
      <c r="EX691" s="58"/>
      <c r="EY691" s="58"/>
      <c r="EZ691" s="85"/>
    </row>
    <row r="692" spans="1:156">
      <c r="A692" s="95"/>
      <c r="B692" s="9"/>
      <c r="I692" s="54"/>
      <c r="J692" s="6"/>
      <c r="K692" s="6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90"/>
      <c r="AO692" s="91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91"/>
      <c r="CG692" s="6"/>
      <c r="CH692" s="91"/>
      <c r="CI692" s="91"/>
      <c r="CJ692" s="91"/>
      <c r="CK692" s="91"/>
      <c r="CL692" s="6"/>
      <c r="CM692" s="6"/>
      <c r="CN692" s="6"/>
      <c r="CO692" s="6"/>
      <c r="CP692" s="6"/>
      <c r="CQ692" s="6"/>
      <c r="CR692" s="6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8"/>
      <c r="DK692" s="8"/>
      <c r="DL692" s="8"/>
      <c r="DM692" s="8"/>
      <c r="DN692" s="55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83"/>
      <c r="EC692" s="83"/>
      <c r="ED692" s="83"/>
      <c r="EE692" s="83"/>
      <c r="EF692" s="83"/>
      <c r="EG692" s="83"/>
      <c r="EH692" s="83"/>
      <c r="EI692" s="83"/>
      <c r="EJ692" s="83"/>
      <c r="EK692" s="2"/>
      <c r="EO692" s="2"/>
      <c r="ES692" s="58"/>
      <c r="ET692" s="58"/>
      <c r="EU692" s="58"/>
      <c r="EV692" s="58"/>
      <c r="EW692" s="58"/>
      <c r="EX692" s="58"/>
      <c r="EY692" s="58"/>
      <c r="EZ692" s="85"/>
    </row>
    <row r="693" spans="1:156">
      <c r="A693" s="95"/>
      <c r="B693" s="9"/>
      <c r="I693" s="54"/>
      <c r="J693" s="6"/>
      <c r="K693" s="6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90"/>
      <c r="AO693" s="91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91"/>
      <c r="CG693" s="6"/>
      <c r="CH693" s="91"/>
      <c r="CI693" s="91"/>
      <c r="CJ693" s="91"/>
      <c r="CK693" s="91"/>
      <c r="CL693" s="6"/>
      <c r="CM693" s="6"/>
      <c r="CN693" s="6"/>
      <c r="CO693" s="6"/>
      <c r="CP693" s="6"/>
      <c r="CQ693" s="6"/>
      <c r="CR693" s="6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8"/>
      <c r="DK693" s="8"/>
      <c r="DL693" s="8"/>
      <c r="DM693" s="8"/>
      <c r="DN693" s="55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83"/>
      <c r="EC693" s="83"/>
      <c r="ED693" s="83"/>
      <c r="EE693" s="83"/>
      <c r="EF693" s="83"/>
      <c r="EG693" s="83"/>
      <c r="EH693" s="83"/>
      <c r="EI693" s="83"/>
      <c r="EJ693" s="83"/>
      <c r="EK693" s="2"/>
      <c r="EO693" s="2"/>
      <c r="ES693" s="58"/>
      <c r="ET693" s="58"/>
      <c r="EU693" s="58"/>
      <c r="EV693" s="58"/>
      <c r="EW693" s="58"/>
      <c r="EX693" s="58"/>
      <c r="EY693" s="58"/>
      <c r="EZ693" s="85"/>
    </row>
    <row r="694" spans="1:156">
      <c r="A694" s="95"/>
      <c r="B694" s="9"/>
      <c r="I694" s="54"/>
      <c r="J694" s="6"/>
      <c r="K694" s="6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90"/>
      <c r="AO694" s="91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91"/>
      <c r="CG694" s="6"/>
      <c r="CH694" s="91"/>
      <c r="CI694" s="91"/>
      <c r="CJ694" s="91"/>
      <c r="CK694" s="91"/>
      <c r="CL694" s="6"/>
      <c r="CM694" s="6"/>
      <c r="CN694" s="6"/>
      <c r="CO694" s="6"/>
      <c r="CP694" s="6"/>
      <c r="CQ694" s="6"/>
      <c r="CR694" s="6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8"/>
      <c r="DK694" s="8"/>
      <c r="DL694" s="8"/>
      <c r="DM694" s="8"/>
      <c r="DN694" s="55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83"/>
      <c r="EC694" s="83"/>
      <c r="ED694" s="83"/>
      <c r="EE694" s="83"/>
      <c r="EF694" s="83"/>
      <c r="EG694" s="83"/>
      <c r="EH694" s="83"/>
      <c r="EI694" s="83"/>
      <c r="EJ694" s="83"/>
      <c r="EK694" s="2"/>
      <c r="EO694" s="2"/>
      <c r="ES694" s="58"/>
      <c r="ET694" s="58"/>
      <c r="EU694" s="58"/>
      <c r="EV694" s="58"/>
      <c r="EW694" s="58"/>
      <c r="EX694" s="58"/>
      <c r="EY694" s="58"/>
      <c r="EZ694" s="85"/>
    </row>
    <row r="695" spans="1:156">
      <c r="A695" s="95"/>
      <c r="B695" s="9"/>
      <c r="I695" s="54"/>
      <c r="J695" s="6"/>
      <c r="K695" s="6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90"/>
      <c r="AO695" s="91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91"/>
      <c r="CG695" s="6"/>
      <c r="CH695" s="91"/>
      <c r="CI695" s="91"/>
      <c r="CJ695" s="91"/>
      <c r="CK695" s="91"/>
      <c r="CL695" s="6"/>
      <c r="CM695" s="6"/>
      <c r="CN695" s="6"/>
      <c r="CO695" s="6"/>
      <c r="CP695" s="6"/>
      <c r="CQ695" s="6"/>
      <c r="CR695" s="6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8"/>
      <c r="DK695" s="8"/>
      <c r="DL695" s="8"/>
      <c r="DM695" s="8"/>
      <c r="DN695" s="55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83"/>
      <c r="EC695" s="83"/>
      <c r="ED695" s="83"/>
      <c r="EE695" s="83"/>
      <c r="EF695" s="83"/>
      <c r="EG695" s="83"/>
      <c r="EH695" s="83"/>
      <c r="EI695" s="83"/>
      <c r="EJ695" s="83"/>
      <c r="EK695" s="2"/>
      <c r="EO695" s="2"/>
      <c r="ES695" s="58"/>
      <c r="ET695" s="58"/>
      <c r="EU695" s="58"/>
      <c r="EV695" s="58"/>
      <c r="EW695" s="58"/>
      <c r="EX695" s="58"/>
      <c r="EY695" s="58"/>
      <c r="EZ695" s="85"/>
    </row>
    <row r="696" spans="1:156">
      <c r="A696" s="95"/>
      <c r="B696" s="9"/>
      <c r="I696" s="54"/>
      <c r="J696" s="6"/>
      <c r="K696" s="6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90"/>
      <c r="AO696" s="91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91"/>
      <c r="CG696" s="6"/>
      <c r="CH696" s="91"/>
      <c r="CI696" s="91"/>
      <c r="CJ696" s="91"/>
      <c r="CK696" s="91"/>
      <c r="CL696" s="6"/>
      <c r="CM696" s="6"/>
      <c r="CN696" s="6"/>
      <c r="CO696" s="6"/>
      <c r="CP696" s="6"/>
      <c r="CQ696" s="6"/>
      <c r="CR696" s="6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8"/>
      <c r="DK696" s="8"/>
      <c r="DL696" s="8"/>
      <c r="DM696" s="8"/>
      <c r="DN696" s="55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83"/>
      <c r="EC696" s="83"/>
      <c r="ED696" s="83"/>
      <c r="EE696" s="83"/>
      <c r="EF696" s="83"/>
      <c r="EG696" s="83"/>
      <c r="EH696" s="83"/>
      <c r="EI696" s="83"/>
      <c r="EJ696" s="83"/>
      <c r="EK696" s="2"/>
      <c r="EO696" s="2"/>
      <c r="ES696" s="58"/>
      <c r="ET696" s="58"/>
      <c r="EU696" s="58"/>
      <c r="EV696" s="58"/>
      <c r="EW696" s="58"/>
      <c r="EX696" s="58"/>
      <c r="EY696" s="58"/>
      <c r="EZ696" s="85"/>
    </row>
    <row r="697" spans="1:156">
      <c r="A697" s="95"/>
      <c r="B697" s="9"/>
      <c r="I697" s="54"/>
      <c r="J697" s="6"/>
      <c r="K697" s="6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90"/>
      <c r="AO697" s="91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91"/>
      <c r="CG697" s="6"/>
      <c r="CH697" s="91"/>
      <c r="CI697" s="91"/>
      <c r="CJ697" s="91"/>
      <c r="CK697" s="91"/>
      <c r="CL697" s="6"/>
      <c r="CM697" s="6"/>
      <c r="CN697" s="6"/>
      <c r="CO697" s="6"/>
      <c r="CP697" s="6"/>
      <c r="CQ697" s="6"/>
      <c r="CR697" s="6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8"/>
      <c r="DK697" s="8"/>
      <c r="DL697" s="8"/>
      <c r="DM697" s="8"/>
      <c r="DN697" s="55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83"/>
      <c r="EC697" s="83"/>
      <c r="ED697" s="83"/>
      <c r="EE697" s="83"/>
      <c r="EF697" s="83"/>
      <c r="EG697" s="83"/>
      <c r="EH697" s="83"/>
      <c r="EI697" s="83"/>
      <c r="EJ697" s="83"/>
      <c r="EK697" s="2"/>
      <c r="EO697" s="2"/>
      <c r="ES697" s="58"/>
      <c r="ET697" s="58"/>
      <c r="EU697" s="58"/>
      <c r="EV697" s="58"/>
      <c r="EW697" s="58"/>
      <c r="EX697" s="58"/>
      <c r="EY697" s="58"/>
      <c r="EZ697" s="85"/>
    </row>
    <row r="698" spans="1:156">
      <c r="A698" s="95"/>
      <c r="B698" s="9"/>
      <c r="I698" s="54"/>
      <c r="J698" s="6"/>
      <c r="K698" s="6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90"/>
      <c r="AO698" s="91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91"/>
      <c r="CG698" s="6"/>
      <c r="CH698" s="91"/>
      <c r="CI698" s="91"/>
      <c r="CJ698" s="91"/>
      <c r="CK698" s="91"/>
      <c r="CL698" s="6"/>
      <c r="CM698" s="6"/>
      <c r="CN698" s="6"/>
      <c r="CO698" s="6"/>
      <c r="CP698" s="6"/>
      <c r="CQ698" s="6"/>
      <c r="CR698" s="6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8"/>
      <c r="DK698" s="8"/>
      <c r="DL698" s="8"/>
      <c r="DM698" s="8"/>
      <c r="DN698" s="55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83"/>
      <c r="EC698" s="83"/>
      <c r="ED698" s="83"/>
      <c r="EE698" s="83"/>
      <c r="EF698" s="83"/>
      <c r="EG698" s="83"/>
      <c r="EH698" s="83"/>
      <c r="EI698" s="83"/>
      <c r="EJ698" s="83"/>
      <c r="EK698" s="2"/>
      <c r="EO698" s="2"/>
      <c r="ES698" s="58"/>
      <c r="ET698" s="58"/>
      <c r="EU698" s="58"/>
      <c r="EV698" s="58"/>
      <c r="EW698" s="58"/>
      <c r="EX698" s="58"/>
      <c r="EY698" s="58"/>
      <c r="EZ698" s="85"/>
    </row>
    <row r="699" spans="1:156">
      <c r="A699" s="95"/>
      <c r="B699" s="9"/>
      <c r="I699" s="54"/>
      <c r="J699" s="6"/>
      <c r="K699" s="6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90"/>
      <c r="AO699" s="91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91"/>
      <c r="CG699" s="6"/>
      <c r="CH699" s="91"/>
      <c r="CI699" s="91"/>
      <c r="CJ699" s="91"/>
      <c r="CK699" s="91"/>
      <c r="CL699" s="6"/>
      <c r="CM699" s="6"/>
      <c r="CN699" s="6"/>
      <c r="CO699" s="6"/>
      <c r="CP699" s="6"/>
      <c r="CQ699" s="6"/>
      <c r="CR699" s="6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8"/>
      <c r="DK699" s="8"/>
      <c r="DL699" s="8"/>
      <c r="DM699" s="8"/>
      <c r="DN699" s="55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83"/>
      <c r="EC699" s="83"/>
      <c r="ED699" s="83"/>
      <c r="EE699" s="83"/>
      <c r="EF699" s="83"/>
      <c r="EG699" s="83"/>
      <c r="EH699" s="83"/>
      <c r="EI699" s="83"/>
      <c r="EJ699" s="83"/>
      <c r="EK699" s="2"/>
      <c r="EO699" s="2"/>
      <c r="ES699" s="58"/>
      <c r="ET699" s="58"/>
      <c r="EU699" s="58"/>
      <c r="EV699" s="58"/>
      <c r="EW699" s="58"/>
      <c r="EX699" s="58"/>
      <c r="EY699" s="58"/>
      <c r="EZ699" s="85"/>
    </row>
    <row r="700" spans="1:156">
      <c r="A700" s="95"/>
      <c r="B700" s="9"/>
      <c r="I700" s="54"/>
      <c r="J700" s="6"/>
      <c r="K700" s="6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90"/>
      <c r="AO700" s="91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91"/>
      <c r="CG700" s="6"/>
      <c r="CH700" s="91"/>
      <c r="CI700" s="91"/>
      <c r="CJ700" s="91"/>
      <c r="CK700" s="91"/>
      <c r="CL700" s="6"/>
      <c r="CM700" s="6"/>
      <c r="CN700" s="6"/>
      <c r="CO700" s="6"/>
      <c r="CP700" s="6"/>
      <c r="CQ700" s="6"/>
      <c r="CR700" s="6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8"/>
      <c r="DK700" s="8"/>
      <c r="DL700" s="8"/>
      <c r="DM700" s="8"/>
      <c r="DN700" s="55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83"/>
      <c r="EC700" s="83"/>
      <c r="ED700" s="83"/>
      <c r="EE700" s="83"/>
      <c r="EF700" s="83"/>
      <c r="EG700" s="83"/>
      <c r="EH700" s="83"/>
      <c r="EI700" s="83"/>
      <c r="EJ700" s="83"/>
      <c r="EK700" s="2"/>
      <c r="EO700" s="2"/>
      <c r="ES700" s="58"/>
      <c r="ET700" s="58"/>
      <c r="EU700" s="58"/>
      <c r="EV700" s="58"/>
      <c r="EW700" s="58"/>
      <c r="EX700" s="58"/>
      <c r="EY700" s="58"/>
      <c r="EZ700" s="85"/>
    </row>
    <row r="701" spans="1:156">
      <c r="A701" s="95"/>
      <c r="B701" s="9"/>
      <c r="I701" s="54"/>
      <c r="J701" s="6"/>
      <c r="K701" s="6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90"/>
      <c r="AO701" s="91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91"/>
      <c r="CG701" s="6"/>
      <c r="CH701" s="91"/>
      <c r="CI701" s="91"/>
      <c r="CJ701" s="91"/>
      <c r="CK701" s="91"/>
      <c r="CL701" s="6"/>
      <c r="CM701" s="6"/>
      <c r="CN701" s="6"/>
      <c r="CO701" s="6"/>
      <c r="CP701" s="6"/>
      <c r="CQ701" s="6"/>
      <c r="CR701" s="6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8"/>
      <c r="DK701" s="8"/>
      <c r="DL701" s="8"/>
      <c r="DM701" s="8"/>
      <c r="DN701" s="55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83"/>
      <c r="EC701" s="83"/>
      <c r="ED701" s="83"/>
      <c r="EE701" s="83"/>
      <c r="EF701" s="83"/>
      <c r="EG701" s="83"/>
      <c r="EH701" s="83"/>
      <c r="EI701" s="83"/>
      <c r="EJ701" s="83"/>
      <c r="EK701" s="2"/>
      <c r="EO701" s="2"/>
      <c r="ES701" s="58"/>
      <c r="ET701" s="58"/>
      <c r="EU701" s="58"/>
      <c r="EV701" s="58"/>
      <c r="EW701" s="58"/>
      <c r="EX701" s="58"/>
      <c r="EY701" s="58"/>
      <c r="EZ701" s="85"/>
    </row>
    <row r="702" spans="1:156">
      <c r="A702" s="95"/>
      <c r="B702" s="9"/>
      <c r="I702" s="54"/>
      <c r="J702" s="6"/>
      <c r="K702" s="6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90"/>
      <c r="AO702" s="91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91"/>
      <c r="CG702" s="6"/>
      <c r="CH702" s="91"/>
      <c r="CI702" s="91"/>
      <c r="CJ702" s="91"/>
      <c r="CK702" s="91"/>
      <c r="CL702" s="6"/>
      <c r="CM702" s="6"/>
      <c r="CN702" s="6"/>
      <c r="CO702" s="6"/>
      <c r="CP702" s="6"/>
      <c r="CQ702" s="6"/>
      <c r="CR702" s="6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8"/>
      <c r="DK702" s="8"/>
      <c r="DL702" s="8"/>
      <c r="DM702" s="8"/>
      <c r="DN702" s="55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83"/>
      <c r="EC702" s="83"/>
      <c r="ED702" s="83"/>
      <c r="EE702" s="83"/>
      <c r="EF702" s="83"/>
      <c r="EG702" s="83"/>
      <c r="EH702" s="83"/>
      <c r="EI702" s="83"/>
      <c r="EJ702" s="83"/>
      <c r="EK702" s="2"/>
      <c r="EO702" s="2"/>
      <c r="ES702" s="58"/>
      <c r="ET702" s="58"/>
      <c r="EU702" s="58"/>
      <c r="EV702" s="58"/>
      <c r="EW702" s="58"/>
      <c r="EX702" s="58"/>
      <c r="EY702" s="58"/>
      <c r="EZ702" s="85"/>
    </row>
    <row r="703" spans="1:156">
      <c r="A703" s="95"/>
      <c r="B703" s="9"/>
      <c r="I703" s="54"/>
      <c r="J703" s="6"/>
      <c r="K703" s="6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90"/>
      <c r="AO703" s="91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91"/>
      <c r="CG703" s="6"/>
      <c r="CH703" s="91"/>
      <c r="CI703" s="91"/>
      <c r="CJ703" s="91"/>
      <c r="CK703" s="91"/>
      <c r="CL703" s="6"/>
      <c r="CM703" s="6"/>
      <c r="CN703" s="6"/>
      <c r="CO703" s="6"/>
      <c r="CP703" s="6"/>
      <c r="CQ703" s="6"/>
      <c r="CR703" s="6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8"/>
      <c r="DK703" s="8"/>
      <c r="DL703" s="8"/>
      <c r="DM703" s="8"/>
      <c r="DN703" s="55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83"/>
      <c r="EC703" s="83"/>
      <c r="ED703" s="83"/>
      <c r="EE703" s="83"/>
      <c r="EF703" s="83"/>
      <c r="EG703" s="83"/>
      <c r="EH703" s="83"/>
      <c r="EI703" s="83"/>
      <c r="EJ703" s="83"/>
      <c r="EK703" s="2"/>
      <c r="EO703" s="2"/>
      <c r="ES703" s="58"/>
      <c r="ET703" s="58"/>
      <c r="EU703" s="58"/>
      <c r="EV703" s="58"/>
      <c r="EW703" s="58"/>
      <c r="EX703" s="58"/>
      <c r="EY703" s="58"/>
      <c r="EZ703" s="85"/>
    </row>
    <row r="704" spans="1:156">
      <c r="A704" s="95"/>
      <c r="B704" s="9"/>
      <c r="I704" s="54"/>
      <c r="J704" s="6"/>
      <c r="K704" s="6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90"/>
      <c r="AO704" s="91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91"/>
      <c r="CG704" s="6"/>
      <c r="CH704" s="91"/>
      <c r="CI704" s="91"/>
      <c r="CJ704" s="91"/>
      <c r="CK704" s="91"/>
      <c r="CL704" s="6"/>
      <c r="CM704" s="6"/>
      <c r="CN704" s="6"/>
      <c r="CO704" s="6"/>
      <c r="CP704" s="6"/>
      <c r="CQ704" s="6"/>
      <c r="CR704" s="6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8"/>
      <c r="DK704" s="8"/>
      <c r="DL704" s="8"/>
      <c r="DM704" s="8"/>
      <c r="DN704" s="55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83"/>
      <c r="EC704" s="83"/>
      <c r="ED704" s="83"/>
      <c r="EE704" s="83"/>
      <c r="EF704" s="83"/>
      <c r="EG704" s="83"/>
      <c r="EH704" s="83"/>
      <c r="EI704" s="83"/>
      <c r="EJ704" s="83"/>
      <c r="EK704" s="2"/>
      <c r="EO704" s="2"/>
      <c r="ES704" s="58"/>
      <c r="ET704" s="58"/>
      <c r="EU704" s="58"/>
      <c r="EV704" s="58"/>
      <c r="EW704" s="58"/>
      <c r="EX704" s="58"/>
      <c r="EY704" s="58"/>
      <c r="EZ704" s="85"/>
    </row>
    <row r="705" spans="1:156">
      <c r="A705" s="95"/>
      <c r="B705" s="9"/>
      <c r="I705" s="54"/>
      <c r="J705" s="6"/>
      <c r="K705" s="6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90"/>
      <c r="AO705" s="91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91"/>
      <c r="CG705" s="6"/>
      <c r="CH705" s="91"/>
      <c r="CI705" s="91"/>
      <c r="CJ705" s="91"/>
      <c r="CK705" s="91"/>
      <c r="CL705" s="6"/>
      <c r="CM705" s="6"/>
      <c r="CN705" s="6"/>
      <c r="CO705" s="6"/>
      <c r="CP705" s="6"/>
      <c r="CQ705" s="6"/>
      <c r="CR705" s="6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8"/>
      <c r="DK705" s="8"/>
      <c r="DL705" s="8"/>
      <c r="DM705" s="8"/>
      <c r="DN705" s="55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83"/>
      <c r="EC705" s="83"/>
      <c r="ED705" s="83"/>
      <c r="EE705" s="83"/>
      <c r="EF705" s="83"/>
      <c r="EG705" s="83"/>
      <c r="EH705" s="83"/>
      <c r="EI705" s="83"/>
      <c r="EJ705" s="83"/>
      <c r="EK705" s="2"/>
      <c r="EO705" s="2"/>
      <c r="ES705" s="58"/>
      <c r="ET705" s="58"/>
      <c r="EU705" s="58"/>
      <c r="EV705" s="58"/>
      <c r="EW705" s="58"/>
      <c r="EX705" s="58"/>
      <c r="EY705" s="58"/>
      <c r="EZ705" s="85"/>
    </row>
    <row r="706" spans="1:156">
      <c r="A706" s="95"/>
      <c r="B706" s="9"/>
      <c r="I706" s="54"/>
      <c r="J706" s="6"/>
      <c r="K706" s="6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90"/>
      <c r="AO706" s="91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91"/>
      <c r="CG706" s="6"/>
      <c r="CH706" s="91"/>
      <c r="CI706" s="91"/>
      <c r="CJ706" s="91"/>
      <c r="CK706" s="91"/>
      <c r="CL706" s="6"/>
      <c r="CM706" s="6"/>
      <c r="CN706" s="6"/>
      <c r="CO706" s="6"/>
      <c r="CP706" s="6"/>
      <c r="CQ706" s="6"/>
      <c r="CR706" s="6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8"/>
      <c r="DK706" s="8"/>
      <c r="DL706" s="8"/>
      <c r="DM706" s="8"/>
      <c r="DN706" s="55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83"/>
      <c r="EC706" s="83"/>
      <c r="ED706" s="83"/>
      <c r="EE706" s="83"/>
      <c r="EF706" s="83"/>
      <c r="EG706" s="83"/>
      <c r="EH706" s="83"/>
      <c r="EI706" s="83"/>
      <c r="EJ706" s="83"/>
      <c r="EK706" s="2"/>
      <c r="EO706" s="2"/>
      <c r="ES706" s="58"/>
      <c r="ET706" s="58"/>
      <c r="EU706" s="58"/>
      <c r="EV706" s="58"/>
      <c r="EW706" s="58"/>
      <c r="EX706" s="58"/>
      <c r="EY706" s="58"/>
      <c r="EZ706" s="85"/>
    </row>
    <row r="707" spans="1:156">
      <c r="A707" s="95"/>
      <c r="B707" s="9"/>
      <c r="I707" s="54"/>
      <c r="J707" s="6"/>
      <c r="K707" s="6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90"/>
      <c r="AO707" s="91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91"/>
      <c r="CG707" s="6"/>
      <c r="CH707" s="91"/>
      <c r="CI707" s="91"/>
      <c r="CJ707" s="91"/>
      <c r="CK707" s="91"/>
      <c r="CL707" s="6"/>
      <c r="CM707" s="6"/>
      <c r="CN707" s="6"/>
      <c r="CO707" s="6"/>
      <c r="CP707" s="6"/>
      <c r="CQ707" s="6"/>
      <c r="CR707" s="6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8"/>
      <c r="DK707" s="8"/>
      <c r="DL707" s="8"/>
      <c r="DM707" s="8"/>
      <c r="DN707" s="55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83"/>
      <c r="EC707" s="83"/>
      <c r="ED707" s="83"/>
      <c r="EE707" s="83"/>
      <c r="EF707" s="83"/>
      <c r="EG707" s="83"/>
      <c r="EH707" s="83"/>
      <c r="EI707" s="83"/>
      <c r="EJ707" s="83"/>
      <c r="EK707" s="2"/>
      <c r="EO707" s="2"/>
      <c r="ES707" s="58"/>
      <c r="ET707" s="58"/>
      <c r="EU707" s="58"/>
      <c r="EV707" s="58"/>
      <c r="EW707" s="58"/>
      <c r="EX707" s="58"/>
      <c r="EY707" s="58"/>
      <c r="EZ707" s="85"/>
    </row>
    <row r="708" spans="1:156">
      <c r="A708" s="95"/>
      <c r="B708" s="9"/>
      <c r="I708" s="54"/>
      <c r="J708" s="6"/>
      <c r="K708" s="6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90"/>
      <c r="AO708" s="91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91"/>
      <c r="CG708" s="6"/>
      <c r="CH708" s="91"/>
      <c r="CI708" s="91"/>
      <c r="CJ708" s="91"/>
      <c r="CK708" s="91"/>
      <c r="CL708" s="6"/>
      <c r="CM708" s="6"/>
      <c r="CN708" s="6"/>
      <c r="CO708" s="6"/>
      <c r="CP708" s="6"/>
      <c r="CQ708" s="6"/>
      <c r="CR708" s="6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8"/>
      <c r="DK708" s="8"/>
      <c r="DL708" s="8"/>
      <c r="DM708" s="8"/>
      <c r="DN708" s="55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83"/>
      <c r="EC708" s="83"/>
      <c r="ED708" s="83"/>
      <c r="EE708" s="83"/>
      <c r="EF708" s="83"/>
      <c r="EG708" s="83"/>
      <c r="EH708" s="83"/>
      <c r="EI708" s="83"/>
      <c r="EJ708" s="83"/>
      <c r="EK708" s="2"/>
      <c r="EO708" s="2"/>
      <c r="ES708" s="58"/>
      <c r="ET708" s="58"/>
      <c r="EU708" s="58"/>
      <c r="EV708" s="58"/>
      <c r="EW708" s="58"/>
      <c r="EX708" s="58"/>
      <c r="EY708" s="58"/>
      <c r="EZ708" s="85"/>
    </row>
    <row r="709" spans="1:156">
      <c r="A709" s="95"/>
      <c r="B709" s="9"/>
      <c r="I709" s="54"/>
      <c r="J709" s="6"/>
      <c r="K709" s="6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90"/>
      <c r="AO709" s="91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91"/>
      <c r="CG709" s="6"/>
      <c r="CH709" s="91"/>
      <c r="CI709" s="91"/>
      <c r="CJ709" s="91"/>
      <c r="CK709" s="91"/>
      <c r="CL709" s="6"/>
      <c r="CM709" s="6"/>
      <c r="CN709" s="6"/>
      <c r="CO709" s="6"/>
      <c r="CP709" s="6"/>
      <c r="CQ709" s="6"/>
      <c r="CR709" s="6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8"/>
      <c r="DK709" s="8"/>
      <c r="DL709" s="8"/>
      <c r="DM709" s="8"/>
      <c r="DN709" s="55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83"/>
      <c r="EC709" s="83"/>
      <c r="ED709" s="83"/>
      <c r="EE709" s="83"/>
      <c r="EF709" s="83"/>
      <c r="EG709" s="83"/>
      <c r="EH709" s="83"/>
      <c r="EI709" s="83"/>
      <c r="EJ709" s="83"/>
      <c r="EK709" s="2"/>
      <c r="EO709" s="2"/>
      <c r="ES709" s="58"/>
      <c r="ET709" s="58"/>
      <c r="EU709" s="58"/>
      <c r="EV709" s="58"/>
      <c r="EW709" s="58"/>
      <c r="EX709" s="58"/>
      <c r="EY709" s="58"/>
      <c r="EZ709" s="85"/>
    </row>
    <row r="710" spans="1:156">
      <c r="A710" s="95"/>
      <c r="B710" s="9"/>
      <c r="I710" s="54"/>
      <c r="J710" s="6"/>
      <c r="K710" s="6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90"/>
      <c r="AO710" s="91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91"/>
      <c r="CG710" s="6"/>
      <c r="CH710" s="91"/>
      <c r="CI710" s="91"/>
      <c r="CJ710" s="91"/>
      <c r="CK710" s="91"/>
      <c r="CL710" s="6"/>
      <c r="CM710" s="6"/>
      <c r="CN710" s="6"/>
      <c r="CO710" s="6"/>
      <c r="CP710" s="6"/>
      <c r="CQ710" s="6"/>
      <c r="CR710" s="6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8"/>
      <c r="DK710" s="8"/>
      <c r="DL710" s="8"/>
      <c r="DM710" s="8"/>
      <c r="DN710" s="55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83"/>
      <c r="EC710" s="83"/>
      <c r="ED710" s="83"/>
      <c r="EE710" s="83"/>
      <c r="EF710" s="83"/>
      <c r="EG710" s="83"/>
      <c r="EH710" s="83"/>
      <c r="EI710" s="83"/>
      <c r="EJ710" s="83"/>
      <c r="EK710" s="2"/>
      <c r="EO710" s="2"/>
      <c r="ES710" s="58"/>
      <c r="ET710" s="58"/>
      <c r="EU710" s="58"/>
      <c r="EV710" s="58"/>
      <c r="EW710" s="58"/>
      <c r="EX710" s="58"/>
      <c r="EY710" s="58"/>
      <c r="EZ710" s="85"/>
    </row>
    <row r="711" spans="1:156">
      <c r="A711" s="95"/>
      <c r="B711" s="9"/>
      <c r="I711" s="54"/>
      <c r="J711" s="6"/>
      <c r="K711" s="6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90"/>
      <c r="AO711" s="91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91"/>
      <c r="CG711" s="6"/>
      <c r="CH711" s="91"/>
      <c r="CI711" s="91"/>
      <c r="CJ711" s="91"/>
      <c r="CK711" s="91"/>
      <c r="CL711" s="6"/>
      <c r="CM711" s="6"/>
      <c r="CN711" s="6"/>
      <c r="CO711" s="6"/>
      <c r="CP711" s="6"/>
      <c r="CQ711" s="6"/>
      <c r="CR711" s="6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8"/>
      <c r="DK711" s="8"/>
      <c r="DL711" s="8"/>
      <c r="DM711" s="8"/>
      <c r="DN711" s="55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83"/>
      <c r="EC711" s="83"/>
      <c r="ED711" s="83"/>
      <c r="EE711" s="83"/>
      <c r="EF711" s="83"/>
      <c r="EG711" s="83"/>
      <c r="EH711" s="83"/>
      <c r="EI711" s="83"/>
      <c r="EJ711" s="83"/>
      <c r="EK711" s="2"/>
      <c r="EO711" s="2"/>
      <c r="ES711" s="58"/>
      <c r="ET711" s="58"/>
      <c r="EU711" s="58"/>
      <c r="EV711" s="58"/>
      <c r="EW711" s="58"/>
      <c r="EX711" s="58"/>
      <c r="EY711" s="58"/>
      <c r="EZ711" s="85"/>
    </row>
    <row r="712" spans="1:156">
      <c r="A712" s="95"/>
      <c r="B712" s="9"/>
      <c r="I712" s="54"/>
      <c r="J712" s="6"/>
      <c r="K712" s="6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90"/>
      <c r="AO712" s="91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91"/>
      <c r="CG712" s="6"/>
      <c r="CH712" s="91"/>
      <c r="CI712" s="91"/>
      <c r="CJ712" s="91"/>
      <c r="CK712" s="91"/>
      <c r="CL712" s="6"/>
      <c r="CM712" s="6"/>
      <c r="CN712" s="6"/>
      <c r="CO712" s="6"/>
      <c r="CP712" s="6"/>
      <c r="CQ712" s="6"/>
      <c r="CR712" s="6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8"/>
      <c r="DK712" s="8"/>
      <c r="DL712" s="8"/>
      <c r="DM712" s="8"/>
      <c r="DN712" s="55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83"/>
      <c r="EC712" s="83"/>
      <c r="ED712" s="83"/>
      <c r="EE712" s="83"/>
      <c r="EF712" s="83"/>
      <c r="EG712" s="83"/>
      <c r="EH712" s="83"/>
      <c r="EI712" s="83"/>
      <c r="EJ712" s="83"/>
      <c r="EK712" s="2"/>
      <c r="EO712" s="2"/>
      <c r="ES712" s="58"/>
      <c r="ET712" s="58"/>
      <c r="EU712" s="58"/>
      <c r="EV712" s="58"/>
      <c r="EW712" s="58"/>
      <c r="EX712" s="58"/>
      <c r="EY712" s="58"/>
      <c r="EZ712" s="85"/>
    </row>
    <row r="713" spans="1:156">
      <c r="A713" s="95"/>
      <c r="B713" s="9"/>
      <c r="I713" s="54"/>
      <c r="J713" s="6"/>
      <c r="K713" s="6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90"/>
      <c r="AO713" s="91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91"/>
      <c r="CG713" s="6"/>
      <c r="CH713" s="91"/>
      <c r="CI713" s="91"/>
      <c r="CJ713" s="91"/>
      <c r="CK713" s="91"/>
      <c r="CL713" s="6"/>
      <c r="CM713" s="6"/>
      <c r="CN713" s="6"/>
      <c r="CO713" s="6"/>
      <c r="CP713" s="6"/>
      <c r="CQ713" s="6"/>
      <c r="CR713" s="6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8"/>
      <c r="DK713" s="8"/>
      <c r="DL713" s="8"/>
      <c r="DM713" s="8"/>
      <c r="DN713" s="55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83"/>
      <c r="EC713" s="83"/>
      <c r="ED713" s="83"/>
      <c r="EE713" s="83"/>
      <c r="EF713" s="83"/>
      <c r="EG713" s="83"/>
      <c r="EH713" s="83"/>
      <c r="EI713" s="83"/>
      <c r="EJ713" s="83"/>
      <c r="EK713" s="2"/>
      <c r="EO713" s="2"/>
      <c r="ES713" s="58"/>
      <c r="ET713" s="58"/>
      <c r="EU713" s="58"/>
      <c r="EV713" s="58"/>
      <c r="EW713" s="58"/>
      <c r="EX713" s="58"/>
      <c r="EY713" s="58"/>
      <c r="EZ713" s="85"/>
    </row>
    <row r="714" spans="1:156">
      <c r="A714" s="95"/>
      <c r="B714" s="9"/>
      <c r="I714" s="54"/>
      <c r="J714" s="6"/>
      <c r="K714" s="6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90"/>
      <c r="AO714" s="91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91"/>
      <c r="CG714" s="6"/>
      <c r="CH714" s="91"/>
      <c r="CI714" s="91"/>
      <c r="CJ714" s="91"/>
      <c r="CK714" s="91"/>
      <c r="CL714" s="6"/>
      <c r="CM714" s="6"/>
      <c r="CN714" s="6"/>
      <c r="CO714" s="6"/>
      <c r="CP714" s="6"/>
      <c r="CQ714" s="6"/>
      <c r="CR714" s="6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8"/>
      <c r="DK714" s="8"/>
      <c r="DL714" s="8"/>
      <c r="DM714" s="8"/>
      <c r="DN714" s="55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83"/>
      <c r="EC714" s="83"/>
      <c r="ED714" s="83"/>
      <c r="EE714" s="83"/>
      <c r="EF714" s="83"/>
      <c r="EG714" s="83"/>
      <c r="EH714" s="83"/>
      <c r="EI714" s="83"/>
      <c r="EJ714" s="83"/>
      <c r="EK714" s="2"/>
      <c r="EO714" s="2"/>
      <c r="ES714" s="58"/>
      <c r="ET714" s="58"/>
      <c r="EU714" s="58"/>
      <c r="EV714" s="58"/>
      <c r="EW714" s="58"/>
      <c r="EX714" s="58"/>
      <c r="EY714" s="58"/>
      <c r="EZ714" s="85"/>
    </row>
    <row r="715" spans="1:156">
      <c r="A715" s="95"/>
      <c r="B715" s="9"/>
      <c r="I715" s="54"/>
      <c r="J715" s="6"/>
      <c r="K715" s="6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90"/>
      <c r="AO715" s="91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91"/>
      <c r="CG715" s="6"/>
      <c r="CH715" s="91"/>
      <c r="CI715" s="91"/>
      <c r="CJ715" s="91"/>
      <c r="CK715" s="91"/>
      <c r="CL715" s="6"/>
      <c r="CM715" s="6"/>
      <c r="CN715" s="6"/>
      <c r="CO715" s="6"/>
      <c r="CP715" s="6"/>
      <c r="CQ715" s="6"/>
      <c r="CR715" s="6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8"/>
      <c r="DK715" s="8"/>
      <c r="DL715" s="8"/>
      <c r="DM715" s="8"/>
      <c r="DN715" s="55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83"/>
      <c r="EC715" s="83"/>
      <c r="ED715" s="83"/>
      <c r="EE715" s="83"/>
      <c r="EF715" s="83"/>
      <c r="EG715" s="83"/>
      <c r="EH715" s="83"/>
      <c r="EI715" s="83"/>
      <c r="EJ715" s="83"/>
      <c r="EK715" s="2"/>
      <c r="EO715" s="2"/>
      <c r="ES715" s="58"/>
      <c r="ET715" s="58"/>
      <c r="EU715" s="58"/>
      <c r="EV715" s="58"/>
      <c r="EW715" s="58"/>
      <c r="EX715" s="58"/>
      <c r="EY715" s="58"/>
      <c r="EZ715" s="85"/>
    </row>
    <row r="716" spans="1:156">
      <c r="A716" s="95"/>
      <c r="B716" s="9"/>
      <c r="I716" s="54"/>
      <c r="J716" s="6"/>
      <c r="K716" s="6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90"/>
      <c r="AO716" s="91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91"/>
      <c r="CG716" s="6"/>
      <c r="CH716" s="91"/>
      <c r="CI716" s="91"/>
      <c r="CJ716" s="91"/>
      <c r="CK716" s="91"/>
      <c r="CL716" s="6"/>
      <c r="CM716" s="6"/>
      <c r="CN716" s="6"/>
      <c r="CO716" s="6"/>
      <c r="CP716" s="6"/>
      <c r="CQ716" s="6"/>
      <c r="CR716" s="6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8"/>
      <c r="DK716" s="8"/>
      <c r="DL716" s="8"/>
      <c r="DM716" s="8"/>
      <c r="DN716" s="55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83"/>
      <c r="EC716" s="83"/>
      <c r="ED716" s="83"/>
      <c r="EE716" s="83"/>
      <c r="EF716" s="83"/>
      <c r="EG716" s="83"/>
      <c r="EH716" s="83"/>
      <c r="EI716" s="83"/>
      <c r="EJ716" s="83"/>
      <c r="EK716" s="2"/>
      <c r="EO716" s="2"/>
      <c r="ES716" s="58"/>
      <c r="ET716" s="58"/>
      <c r="EU716" s="58"/>
      <c r="EV716" s="58"/>
      <c r="EW716" s="58"/>
      <c r="EX716" s="58"/>
      <c r="EY716" s="58"/>
      <c r="EZ716" s="85"/>
    </row>
    <row r="717" spans="1:156">
      <c r="A717" s="95"/>
      <c r="B717" s="9"/>
      <c r="I717" s="54"/>
      <c r="J717" s="6"/>
      <c r="K717" s="6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90"/>
      <c r="AO717" s="91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91"/>
      <c r="CG717" s="6"/>
      <c r="CH717" s="91"/>
      <c r="CI717" s="91"/>
      <c r="CJ717" s="91"/>
      <c r="CK717" s="91"/>
      <c r="CL717" s="6"/>
      <c r="CM717" s="6"/>
      <c r="CN717" s="6"/>
      <c r="CO717" s="6"/>
      <c r="CP717" s="6"/>
      <c r="CQ717" s="6"/>
      <c r="CR717" s="6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8"/>
      <c r="DK717" s="8"/>
      <c r="DL717" s="8"/>
      <c r="DM717" s="8"/>
      <c r="DN717" s="55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83"/>
      <c r="EC717" s="83"/>
      <c r="ED717" s="83"/>
      <c r="EE717" s="83"/>
      <c r="EF717" s="83"/>
      <c r="EG717" s="83"/>
      <c r="EH717" s="83"/>
      <c r="EI717" s="83"/>
      <c r="EJ717" s="83"/>
      <c r="EK717" s="2"/>
      <c r="EO717" s="2"/>
      <c r="ES717" s="58"/>
      <c r="ET717" s="58"/>
      <c r="EU717" s="58"/>
      <c r="EV717" s="58"/>
      <c r="EW717" s="58"/>
      <c r="EX717" s="58"/>
      <c r="EY717" s="58"/>
      <c r="EZ717" s="85"/>
    </row>
    <row r="718" spans="1:156">
      <c r="A718" s="95"/>
      <c r="B718" s="9"/>
      <c r="I718" s="54"/>
      <c r="J718" s="6"/>
      <c r="K718" s="6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90"/>
      <c r="AO718" s="91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91"/>
      <c r="CG718" s="6"/>
      <c r="CH718" s="91"/>
      <c r="CI718" s="91"/>
      <c r="CJ718" s="91"/>
      <c r="CK718" s="91"/>
      <c r="CL718" s="6"/>
      <c r="CM718" s="6"/>
      <c r="CN718" s="6"/>
      <c r="CO718" s="6"/>
      <c r="CP718" s="6"/>
      <c r="CQ718" s="6"/>
      <c r="CR718" s="6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8"/>
      <c r="DK718" s="8"/>
      <c r="DL718" s="8"/>
      <c r="DM718" s="8"/>
      <c r="DN718" s="55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83"/>
      <c r="EC718" s="83"/>
      <c r="ED718" s="83"/>
      <c r="EE718" s="83"/>
      <c r="EF718" s="83"/>
      <c r="EG718" s="83"/>
      <c r="EH718" s="83"/>
      <c r="EI718" s="83"/>
      <c r="EJ718" s="83"/>
      <c r="EK718" s="2"/>
      <c r="EO718" s="2"/>
      <c r="ES718" s="58"/>
      <c r="ET718" s="58"/>
      <c r="EU718" s="58"/>
      <c r="EV718" s="58"/>
      <c r="EW718" s="58"/>
      <c r="EX718" s="58"/>
      <c r="EY718" s="58"/>
      <c r="EZ718" s="85"/>
    </row>
    <row r="719" spans="1:156">
      <c r="A719" s="95"/>
      <c r="B719" s="9"/>
      <c r="I719" s="54"/>
      <c r="J719" s="6"/>
      <c r="K719" s="6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90"/>
      <c r="AO719" s="91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91"/>
      <c r="CG719" s="6"/>
      <c r="CH719" s="91"/>
      <c r="CI719" s="91"/>
      <c r="CJ719" s="91"/>
      <c r="CK719" s="91"/>
      <c r="CL719" s="6"/>
      <c r="CM719" s="6"/>
      <c r="CN719" s="6"/>
      <c r="CO719" s="6"/>
      <c r="CP719" s="6"/>
      <c r="CQ719" s="6"/>
      <c r="CR719" s="6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8"/>
      <c r="DK719" s="8"/>
      <c r="DL719" s="8"/>
      <c r="DM719" s="8"/>
      <c r="DN719" s="55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83"/>
      <c r="EC719" s="83"/>
      <c r="ED719" s="83"/>
      <c r="EE719" s="83"/>
      <c r="EF719" s="83"/>
      <c r="EG719" s="83"/>
      <c r="EH719" s="83"/>
      <c r="EI719" s="83"/>
      <c r="EJ719" s="83"/>
      <c r="EK719" s="2"/>
      <c r="EO719" s="2"/>
      <c r="ES719" s="58"/>
      <c r="ET719" s="58"/>
      <c r="EU719" s="58"/>
      <c r="EV719" s="58"/>
      <c r="EW719" s="58"/>
      <c r="EX719" s="58"/>
      <c r="EY719" s="58"/>
      <c r="EZ719" s="85"/>
    </row>
    <row r="720" spans="1:156">
      <c r="A720" s="95"/>
      <c r="B720" s="9"/>
      <c r="I720" s="54"/>
      <c r="J720" s="6"/>
      <c r="K720" s="6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90"/>
      <c r="AO720" s="91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91"/>
      <c r="CG720" s="6"/>
      <c r="CH720" s="91"/>
      <c r="CI720" s="91"/>
      <c r="CJ720" s="91"/>
      <c r="CK720" s="91"/>
      <c r="CL720" s="6"/>
      <c r="CM720" s="6"/>
      <c r="CN720" s="6"/>
      <c r="CO720" s="6"/>
      <c r="CP720" s="6"/>
      <c r="CQ720" s="6"/>
      <c r="CR720" s="6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8"/>
      <c r="DK720" s="8"/>
      <c r="DL720" s="8"/>
      <c r="DM720" s="8"/>
      <c r="DN720" s="55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83"/>
      <c r="EC720" s="83"/>
      <c r="ED720" s="83"/>
      <c r="EE720" s="83"/>
      <c r="EF720" s="83"/>
      <c r="EG720" s="83"/>
      <c r="EH720" s="83"/>
      <c r="EI720" s="83"/>
      <c r="EJ720" s="83"/>
      <c r="EK720" s="2"/>
      <c r="EO720" s="2"/>
      <c r="ES720" s="58"/>
      <c r="ET720" s="58"/>
      <c r="EU720" s="58"/>
      <c r="EV720" s="58"/>
      <c r="EW720" s="58"/>
      <c r="EX720" s="58"/>
      <c r="EY720" s="58"/>
      <c r="EZ720" s="85"/>
    </row>
    <row r="721" spans="1:156">
      <c r="A721" s="95"/>
      <c r="B721" s="9"/>
      <c r="I721" s="54"/>
      <c r="J721" s="6"/>
      <c r="K721" s="6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90"/>
      <c r="AO721" s="91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91"/>
      <c r="CG721" s="6"/>
      <c r="CH721" s="91"/>
      <c r="CI721" s="91"/>
      <c r="CJ721" s="91"/>
      <c r="CK721" s="91"/>
      <c r="CL721" s="6"/>
      <c r="CM721" s="6"/>
      <c r="CN721" s="6"/>
      <c r="CO721" s="6"/>
      <c r="CP721" s="6"/>
      <c r="CQ721" s="6"/>
      <c r="CR721" s="6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8"/>
      <c r="DK721" s="8"/>
      <c r="DL721" s="8"/>
      <c r="DM721" s="8"/>
      <c r="DN721" s="55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83"/>
      <c r="EC721" s="83"/>
      <c r="ED721" s="83"/>
      <c r="EE721" s="83"/>
      <c r="EF721" s="83"/>
      <c r="EG721" s="83"/>
      <c r="EH721" s="83"/>
      <c r="EI721" s="83"/>
      <c r="EJ721" s="83"/>
      <c r="EK721" s="2"/>
      <c r="EO721" s="2"/>
      <c r="ES721" s="58"/>
      <c r="ET721" s="58"/>
      <c r="EU721" s="58"/>
      <c r="EV721" s="58"/>
      <c r="EW721" s="58"/>
      <c r="EX721" s="58"/>
      <c r="EY721" s="58"/>
      <c r="EZ721" s="85"/>
    </row>
    <row r="722" spans="1:156">
      <c r="A722" s="95"/>
      <c r="B722" s="9"/>
      <c r="I722" s="54"/>
      <c r="J722" s="6"/>
      <c r="K722" s="6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90"/>
      <c r="AO722" s="91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91"/>
      <c r="CG722" s="6"/>
      <c r="CH722" s="91"/>
      <c r="CI722" s="91"/>
      <c r="CJ722" s="91"/>
      <c r="CK722" s="91"/>
      <c r="CL722" s="6"/>
      <c r="CM722" s="6"/>
      <c r="CN722" s="6"/>
      <c r="CO722" s="6"/>
      <c r="CP722" s="6"/>
      <c r="CQ722" s="6"/>
      <c r="CR722" s="6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8"/>
      <c r="DK722" s="8"/>
      <c r="DL722" s="8"/>
      <c r="DM722" s="8"/>
      <c r="DN722" s="55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83"/>
      <c r="EC722" s="83"/>
      <c r="ED722" s="83"/>
      <c r="EE722" s="83"/>
      <c r="EF722" s="83"/>
      <c r="EG722" s="83"/>
      <c r="EH722" s="83"/>
      <c r="EI722" s="83"/>
      <c r="EJ722" s="83"/>
      <c r="EK722" s="2"/>
      <c r="EO722" s="2"/>
      <c r="ES722" s="58"/>
      <c r="ET722" s="58"/>
      <c r="EU722" s="58"/>
      <c r="EV722" s="58"/>
      <c r="EW722" s="58"/>
      <c r="EX722" s="58"/>
      <c r="EY722" s="58"/>
      <c r="EZ722" s="85"/>
    </row>
    <row r="723" spans="1:156">
      <c r="A723" s="95"/>
      <c r="B723" s="9"/>
      <c r="I723" s="54"/>
      <c r="J723" s="6"/>
      <c r="K723" s="6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90"/>
      <c r="AO723" s="91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91"/>
      <c r="CG723" s="6"/>
      <c r="CH723" s="91"/>
      <c r="CI723" s="91"/>
      <c r="CJ723" s="91"/>
      <c r="CK723" s="91"/>
      <c r="CL723" s="6"/>
      <c r="CM723" s="6"/>
      <c r="CN723" s="6"/>
      <c r="CO723" s="6"/>
      <c r="CP723" s="6"/>
      <c r="CQ723" s="6"/>
      <c r="CR723" s="6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8"/>
      <c r="DK723" s="8"/>
      <c r="DL723" s="8"/>
      <c r="DM723" s="8"/>
      <c r="DN723" s="55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83"/>
      <c r="EC723" s="83"/>
      <c r="ED723" s="83"/>
      <c r="EE723" s="83"/>
      <c r="EF723" s="83"/>
      <c r="EG723" s="83"/>
      <c r="EH723" s="83"/>
      <c r="EI723" s="83"/>
      <c r="EJ723" s="83"/>
      <c r="EK723" s="2"/>
      <c r="EO723" s="2"/>
      <c r="ES723" s="58"/>
      <c r="ET723" s="58"/>
      <c r="EU723" s="58"/>
      <c r="EV723" s="58"/>
      <c r="EW723" s="58"/>
      <c r="EX723" s="58"/>
      <c r="EY723" s="58"/>
      <c r="EZ723" s="85"/>
    </row>
    <row r="724" spans="1:156">
      <c r="A724" s="95"/>
      <c r="B724" s="9"/>
      <c r="I724" s="54"/>
      <c r="J724" s="6"/>
      <c r="K724" s="6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90"/>
      <c r="AO724" s="91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91"/>
      <c r="CG724" s="6"/>
      <c r="CH724" s="91"/>
      <c r="CI724" s="91"/>
      <c r="CJ724" s="91"/>
      <c r="CK724" s="91"/>
      <c r="CL724" s="6"/>
      <c r="CM724" s="6"/>
      <c r="CN724" s="6"/>
      <c r="CO724" s="6"/>
      <c r="CP724" s="6"/>
      <c r="CQ724" s="6"/>
      <c r="CR724" s="6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8"/>
      <c r="DK724" s="8"/>
      <c r="DL724" s="8"/>
      <c r="DM724" s="8"/>
      <c r="DN724" s="55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83"/>
      <c r="EC724" s="83"/>
      <c r="ED724" s="83"/>
      <c r="EE724" s="83"/>
      <c r="EF724" s="83"/>
      <c r="EG724" s="83"/>
      <c r="EH724" s="83"/>
      <c r="EI724" s="83"/>
      <c r="EJ724" s="83"/>
      <c r="EK724" s="2"/>
      <c r="EO724" s="2"/>
      <c r="ES724" s="58"/>
      <c r="ET724" s="58"/>
      <c r="EU724" s="58"/>
      <c r="EV724" s="58"/>
      <c r="EW724" s="58"/>
      <c r="EX724" s="58"/>
      <c r="EY724" s="58"/>
      <c r="EZ724" s="85"/>
    </row>
    <row r="725" spans="1:156">
      <c r="A725" s="95"/>
      <c r="B725" s="9"/>
      <c r="I725" s="54"/>
      <c r="J725" s="6"/>
      <c r="K725" s="6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90"/>
      <c r="AO725" s="91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91"/>
      <c r="CG725" s="6"/>
      <c r="CH725" s="91"/>
      <c r="CI725" s="91"/>
      <c r="CJ725" s="91"/>
      <c r="CK725" s="91"/>
      <c r="CL725" s="6"/>
      <c r="CM725" s="6"/>
      <c r="CN725" s="6"/>
      <c r="CO725" s="6"/>
      <c r="CP725" s="6"/>
      <c r="CQ725" s="6"/>
      <c r="CR725" s="6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8"/>
      <c r="DK725" s="8"/>
      <c r="DL725" s="8"/>
      <c r="DM725" s="8"/>
      <c r="DN725" s="55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83"/>
      <c r="EC725" s="83"/>
      <c r="ED725" s="83"/>
      <c r="EE725" s="83"/>
      <c r="EF725" s="83"/>
      <c r="EG725" s="83"/>
      <c r="EH725" s="83"/>
      <c r="EI725" s="83"/>
      <c r="EJ725" s="83"/>
      <c r="EK725" s="2"/>
      <c r="EO725" s="2"/>
      <c r="ES725" s="58"/>
      <c r="ET725" s="58"/>
      <c r="EU725" s="58"/>
      <c r="EV725" s="58"/>
      <c r="EW725" s="58"/>
      <c r="EX725" s="58"/>
      <c r="EY725" s="58"/>
      <c r="EZ725" s="85"/>
    </row>
    <row r="726" spans="1:156">
      <c r="A726" s="95"/>
      <c r="B726" s="9"/>
      <c r="I726" s="54"/>
      <c r="J726" s="6"/>
      <c r="K726" s="6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90"/>
      <c r="AO726" s="91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91"/>
      <c r="CG726" s="6"/>
      <c r="CH726" s="91"/>
      <c r="CI726" s="91"/>
      <c r="CJ726" s="91"/>
      <c r="CK726" s="91"/>
      <c r="CL726" s="6"/>
      <c r="CM726" s="6"/>
      <c r="CN726" s="6"/>
      <c r="CO726" s="6"/>
      <c r="CP726" s="6"/>
      <c r="CQ726" s="6"/>
      <c r="CR726" s="6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8"/>
      <c r="DK726" s="8"/>
      <c r="DL726" s="8"/>
      <c r="DM726" s="8"/>
      <c r="DN726" s="55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83"/>
      <c r="EC726" s="83"/>
      <c r="ED726" s="83"/>
      <c r="EE726" s="83"/>
      <c r="EF726" s="83"/>
      <c r="EG726" s="83"/>
      <c r="EH726" s="83"/>
      <c r="EI726" s="83"/>
      <c r="EJ726" s="83"/>
      <c r="EK726" s="2"/>
      <c r="EO726" s="2"/>
      <c r="ES726" s="58"/>
      <c r="ET726" s="58"/>
      <c r="EU726" s="58"/>
      <c r="EV726" s="58"/>
      <c r="EW726" s="58"/>
      <c r="EX726" s="58"/>
      <c r="EY726" s="58"/>
      <c r="EZ726" s="85"/>
    </row>
    <row r="727" spans="1:156">
      <c r="A727" s="95"/>
      <c r="B727" s="9"/>
      <c r="I727" s="54"/>
      <c r="J727" s="6"/>
      <c r="K727" s="6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90"/>
      <c r="AO727" s="91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91"/>
      <c r="CG727" s="6"/>
      <c r="CH727" s="91"/>
      <c r="CI727" s="91"/>
      <c r="CJ727" s="91"/>
      <c r="CK727" s="91"/>
      <c r="CL727" s="6"/>
      <c r="CM727" s="6"/>
      <c r="CN727" s="6"/>
      <c r="CO727" s="6"/>
      <c r="CP727" s="6"/>
      <c r="CQ727" s="6"/>
      <c r="CR727" s="6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8"/>
      <c r="DK727" s="8"/>
      <c r="DL727" s="8"/>
      <c r="DM727" s="8"/>
      <c r="DN727" s="55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83"/>
      <c r="EC727" s="83"/>
      <c r="ED727" s="83"/>
      <c r="EE727" s="83"/>
      <c r="EF727" s="83"/>
      <c r="EG727" s="83"/>
      <c r="EH727" s="83"/>
      <c r="EI727" s="83"/>
      <c r="EJ727" s="83"/>
      <c r="EK727" s="2"/>
      <c r="EO727" s="2"/>
      <c r="ES727" s="58"/>
      <c r="ET727" s="58"/>
      <c r="EU727" s="58"/>
      <c r="EV727" s="58"/>
      <c r="EW727" s="58"/>
      <c r="EX727" s="58"/>
      <c r="EY727" s="58"/>
      <c r="EZ727" s="85"/>
    </row>
    <row r="728" spans="1:156">
      <c r="A728" s="95"/>
      <c r="B728" s="9"/>
      <c r="I728" s="54"/>
      <c r="J728" s="6"/>
      <c r="K728" s="6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90"/>
      <c r="AO728" s="91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91"/>
      <c r="CG728" s="6"/>
      <c r="CH728" s="91"/>
      <c r="CI728" s="91"/>
      <c r="CJ728" s="91"/>
      <c r="CK728" s="91"/>
      <c r="CL728" s="6"/>
      <c r="CM728" s="6"/>
      <c r="CN728" s="6"/>
      <c r="CO728" s="6"/>
      <c r="CP728" s="6"/>
      <c r="CQ728" s="6"/>
      <c r="CR728" s="6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8"/>
      <c r="DK728" s="8"/>
      <c r="DL728" s="8"/>
      <c r="DM728" s="8"/>
      <c r="DN728" s="55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83"/>
      <c r="EC728" s="83"/>
      <c r="ED728" s="83"/>
      <c r="EE728" s="83"/>
      <c r="EF728" s="83"/>
      <c r="EG728" s="83"/>
      <c r="EH728" s="83"/>
      <c r="EI728" s="83"/>
      <c r="EJ728" s="83"/>
      <c r="EK728" s="2"/>
      <c r="EO728" s="2"/>
      <c r="ES728" s="58"/>
      <c r="ET728" s="58"/>
      <c r="EU728" s="58"/>
      <c r="EV728" s="58"/>
      <c r="EW728" s="58"/>
      <c r="EX728" s="58"/>
      <c r="EY728" s="58"/>
      <c r="EZ728" s="85"/>
    </row>
    <row r="729" spans="1:156">
      <c r="A729" s="95"/>
      <c r="B729" s="9"/>
      <c r="I729" s="54"/>
      <c r="J729" s="6"/>
      <c r="K729" s="6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90"/>
      <c r="AO729" s="91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91"/>
      <c r="CG729" s="6"/>
      <c r="CH729" s="91"/>
      <c r="CI729" s="91"/>
      <c r="CJ729" s="91"/>
      <c r="CK729" s="91"/>
      <c r="CL729" s="6"/>
      <c r="CM729" s="6"/>
      <c r="CN729" s="6"/>
      <c r="CO729" s="6"/>
      <c r="CP729" s="6"/>
      <c r="CQ729" s="6"/>
      <c r="CR729" s="6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8"/>
      <c r="DK729" s="8"/>
      <c r="DL729" s="8"/>
      <c r="DM729" s="8"/>
      <c r="DN729" s="55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83"/>
      <c r="EC729" s="83"/>
      <c r="ED729" s="83"/>
      <c r="EE729" s="83"/>
      <c r="EF729" s="83"/>
      <c r="EG729" s="83"/>
      <c r="EH729" s="83"/>
      <c r="EI729" s="83"/>
      <c r="EJ729" s="83"/>
      <c r="EK729" s="2"/>
      <c r="EO729" s="2"/>
      <c r="ES729" s="58"/>
      <c r="ET729" s="58"/>
      <c r="EU729" s="58"/>
      <c r="EV729" s="58"/>
      <c r="EW729" s="58"/>
      <c r="EX729" s="58"/>
      <c r="EY729" s="58"/>
      <c r="EZ729" s="85"/>
    </row>
    <row r="730" spans="1:156">
      <c r="A730" s="95"/>
      <c r="B730" s="9"/>
      <c r="I730" s="54"/>
      <c r="J730" s="6"/>
      <c r="K730" s="6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90"/>
      <c r="AO730" s="91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91"/>
      <c r="CG730" s="6"/>
      <c r="CH730" s="91"/>
      <c r="CI730" s="91"/>
      <c r="CJ730" s="91"/>
      <c r="CK730" s="91"/>
      <c r="CL730" s="6"/>
      <c r="CM730" s="6"/>
      <c r="CN730" s="6"/>
      <c r="CO730" s="6"/>
      <c r="CP730" s="6"/>
      <c r="CQ730" s="6"/>
      <c r="CR730" s="6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8"/>
      <c r="DK730" s="8"/>
      <c r="DL730" s="8"/>
      <c r="DM730" s="8"/>
      <c r="DN730" s="55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83"/>
      <c r="EC730" s="83"/>
      <c r="ED730" s="83"/>
      <c r="EE730" s="83"/>
      <c r="EF730" s="83"/>
      <c r="EG730" s="83"/>
      <c r="EH730" s="83"/>
      <c r="EI730" s="83"/>
      <c r="EJ730" s="83"/>
      <c r="EK730" s="2"/>
      <c r="EO730" s="2"/>
      <c r="ES730" s="58"/>
      <c r="ET730" s="58"/>
      <c r="EU730" s="58"/>
      <c r="EV730" s="58"/>
      <c r="EW730" s="58"/>
      <c r="EX730" s="58"/>
      <c r="EY730" s="58"/>
      <c r="EZ730" s="85"/>
    </row>
    <row r="731" spans="1:156">
      <c r="A731" s="95"/>
      <c r="B731" s="9"/>
      <c r="I731" s="54"/>
      <c r="J731" s="6"/>
      <c r="K731" s="6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90"/>
      <c r="AO731" s="91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91"/>
      <c r="CG731" s="6"/>
      <c r="CH731" s="91"/>
      <c r="CI731" s="91"/>
      <c r="CJ731" s="91"/>
      <c r="CK731" s="91"/>
      <c r="CL731" s="6"/>
      <c r="CM731" s="6"/>
      <c r="CN731" s="6"/>
      <c r="CO731" s="6"/>
      <c r="CP731" s="6"/>
      <c r="CQ731" s="6"/>
      <c r="CR731" s="6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8"/>
      <c r="DK731" s="8"/>
      <c r="DL731" s="8"/>
      <c r="DM731" s="8"/>
      <c r="DN731" s="55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83"/>
      <c r="EC731" s="83"/>
      <c r="ED731" s="83"/>
      <c r="EE731" s="83"/>
      <c r="EF731" s="83"/>
      <c r="EG731" s="83"/>
      <c r="EH731" s="83"/>
      <c r="EI731" s="83"/>
      <c r="EJ731" s="83"/>
      <c r="EK731" s="2"/>
      <c r="EO731" s="2"/>
      <c r="ES731" s="58"/>
      <c r="ET731" s="58"/>
      <c r="EU731" s="58"/>
      <c r="EV731" s="58"/>
      <c r="EW731" s="58"/>
      <c r="EX731" s="58"/>
      <c r="EY731" s="58"/>
      <c r="EZ731" s="85"/>
    </row>
    <row r="732" spans="1:156">
      <c r="A732" s="95"/>
      <c r="B732" s="9"/>
      <c r="I732" s="54"/>
      <c r="J732" s="6"/>
      <c r="K732" s="6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90"/>
      <c r="AO732" s="91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91"/>
      <c r="CG732" s="6"/>
      <c r="CH732" s="91"/>
      <c r="CI732" s="91"/>
      <c r="CJ732" s="91"/>
      <c r="CK732" s="91"/>
      <c r="CL732" s="6"/>
      <c r="CM732" s="6"/>
      <c r="CN732" s="6"/>
      <c r="CO732" s="6"/>
      <c r="CP732" s="6"/>
      <c r="CQ732" s="6"/>
      <c r="CR732" s="6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8"/>
      <c r="DK732" s="8"/>
      <c r="DL732" s="8"/>
      <c r="DM732" s="8"/>
      <c r="DN732" s="55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83"/>
      <c r="EC732" s="83"/>
      <c r="ED732" s="83"/>
      <c r="EE732" s="83"/>
      <c r="EF732" s="83"/>
      <c r="EG732" s="83"/>
      <c r="EH732" s="83"/>
      <c r="EI732" s="83"/>
      <c r="EJ732" s="83"/>
      <c r="EK732" s="2"/>
      <c r="EO732" s="2"/>
      <c r="ES732" s="58"/>
      <c r="ET732" s="58"/>
      <c r="EU732" s="58"/>
      <c r="EV732" s="58"/>
      <c r="EW732" s="58"/>
      <c r="EX732" s="58"/>
      <c r="EY732" s="58"/>
      <c r="EZ732" s="85"/>
    </row>
    <row r="733" spans="1:156">
      <c r="A733" s="95"/>
      <c r="B733" s="9"/>
      <c r="I733" s="54"/>
      <c r="J733" s="6"/>
      <c r="K733" s="6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90"/>
      <c r="AO733" s="91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91"/>
      <c r="CG733" s="6"/>
      <c r="CH733" s="91"/>
      <c r="CI733" s="91"/>
      <c r="CJ733" s="91"/>
      <c r="CK733" s="91"/>
      <c r="CL733" s="6"/>
      <c r="CM733" s="6"/>
      <c r="CN733" s="6"/>
      <c r="CO733" s="6"/>
      <c r="CP733" s="6"/>
      <c r="CQ733" s="6"/>
      <c r="CR733" s="6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8"/>
      <c r="DK733" s="8"/>
      <c r="DL733" s="8"/>
      <c r="DM733" s="8"/>
      <c r="DN733" s="55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83"/>
      <c r="EC733" s="83"/>
      <c r="ED733" s="83"/>
      <c r="EE733" s="83"/>
      <c r="EF733" s="83"/>
      <c r="EG733" s="83"/>
      <c r="EH733" s="83"/>
      <c r="EI733" s="83"/>
      <c r="EJ733" s="83"/>
      <c r="EK733" s="2"/>
      <c r="EO733" s="2"/>
      <c r="ES733" s="58"/>
      <c r="ET733" s="58"/>
      <c r="EU733" s="58"/>
      <c r="EV733" s="58"/>
      <c r="EW733" s="58"/>
      <c r="EX733" s="58"/>
      <c r="EY733" s="58"/>
      <c r="EZ733" s="85"/>
    </row>
    <row r="734" spans="1:156">
      <c r="A734" s="95"/>
      <c r="B734" s="9"/>
      <c r="I734" s="54"/>
      <c r="J734" s="6"/>
      <c r="K734" s="6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90"/>
      <c r="AO734" s="91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91"/>
      <c r="CG734" s="6"/>
      <c r="CH734" s="91"/>
      <c r="CI734" s="91"/>
      <c r="CJ734" s="91"/>
      <c r="CK734" s="91"/>
      <c r="CL734" s="6"/>
      <c r="CM734" s="6"/>
      <c r="CN734" s="6"/>
      <c r="CO734" s="6"/>
      <c r="CP734" s="6"/>
      <c r="CQ734" s="6"/>
      <c r="CR734" s="6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8"/>
      <c r="DK734" s="8"/>
      <c r="DL734" s="8"/>
      <c r="DM734" s="8"/>
      <c r="DN734" s="55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83"/>
      <c r="EC734" s="83"/>
      <c r="ED734" s="83"/>
      <c r="EE734" s="83"/>
      <c r="EF734" s="83"/>
      <c r="EG734" s="83"/>
      <c r="EH734" s="83"/>
      <c r="EI734" s="83"/>
      <c r="EJ734" s="83"/>
      <c r="EK734" s="2"/>
      <c r="EO734" s="2"/>
      <c r="ES734" s="58"/>
      <c r="ET734" s="58"/>
      <c r="EU734" s="58"/>
      <c r="EV734" s="58"/>
      <c r="EW734" s="58"/>
      <c r="EX734" s="58"/>
      <c r="EY734" s="58"/>
      <c r="EZ734" s="85"/>
    </row>
    <row r="735" spans="1:156">
      <c r="A735" s="95"/>
      <c r="B735" s="9"/>
      <c r="I735" s="54"/>
      <c r="J735" s="6"/>
      <c r="K735" s="6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90"/>
      <c r="AO735" s="91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91"/>
      <c r="CG735" s="6"/>
      <c r="CH735" s="91"/>
      <c r="CI735" s="91"/>
      <c r="CJ735" s="91"/>
      <c r="CK735" s="91"/>
      <c r="CL735" s="6"/>
      <c r="CM735" s="6"/>
      <c r="CN735" s="6"/>
      <c r="CO735" s="6"/>
      <c r="CP735" s="6"/>
      <c r="CQ735" s="6"/>
      <c r="CR735" s="6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8"/>
      <c r="DK735" s="8"/>
      <c r="DL735" s="8"/>
      <c r="DM735" s="8"/>
      <c r="DN735" s="55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83"/>
      <c r="EC735" s="83"/>
      <c r="ED735" s="83"/>
      <c r="EE735" s="83"/>
      <c r="EF735" s="83"/>
      <c r="EG735" s="83"/>
      <c r="EH735" s="83"/>
      <c r="EI735" s="83"/>
      <c r="EJ735" s="83"/>
      <c r="EK735" s="2"/>
      <c r="EO735" s="2"/>
      <c r="ES735" s="58"/>
      <c r="ET735" s="58"/>
      <c r="EU735" s="58"/>
      <c r="EV735" s="58"/>
      <c r="EW735" s="58"/>
      <c r="EX735" s="58"/>
      <c r="EY735" s="58"/>
      <c r="EZ735" s="85"/>
    </row>
    <row r="736" spans="1:156">
      <c r="A736" s="95"/>
      <c r="B736" s="9"/>
      <c r="I736" s="54"/>
      <c r="J736" s="6"/>
      <c r="K736" s="6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90"/>
      <c r="AO736" s="91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91"/>
      <c r="CG736" s="6"/>
      <c r="CH736" s="91"/>
      <c r="CI736" s="91"/>
      <c r="CJ736" s="91"/>
      <c r="CK736" s="91"/>
      <c r="CL736" s="6"/>
      <c r="CM736" s="6"/>
      <c r="CN736" s="6"/>
      <c r="CO736" s="6"/>
      <c r="CP736" s="6"/>
      <c r="CQ736" s="6"/>
      <c r="CR736" s="6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8"/>
      <c r="DK736" s="8"/>
      <c r="DL736" s="8"/>
      <c r="DM736" s="8"/>
      <c r="DN736" s="55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83"/>
      <c r="EC736" s="83"/>
      <c r="ED736" s="83"/>
      <c r="EE736" s="83"/>
      <c r="EF736" s="83"/>
      <c r="EG736" s="83"/>
      <c r="EH736" s="83"/>
      <c r="EI736" s="83"/>
      <c r="EJ736" s="83"/>
      <c r="EK736" s="2"/>
      <c r="EO736" s="2"/>
      <c r="ES736" s="58"/>
      <c r="ET736" s="58"/>
      <c r="EU736" s="58"/>
      <c r="EV736" s="58"/>
      <c r="EW736" s="58"/>
      <c r="EX736" s="58"/>
      <c r="EY736" s="58"/>
      <c r="EZ736" s="85"/>
    </row>
    <row r="737" spans="1:156">
      <c r="A737" s="95"/>
      <c r="B737" s="9"/>
      <c r="I737" s="54"/>
      <c r="J737" s="6"/>
      <c r="K737" s="6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90"/>
      <c r="AO737" s="91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91"/>
      <c r="CG737" s="6"/>
      <c r="CH737" s="91"/>
      <c r="CI737" s="91"/>
      <c r="CJ737" s="91"/>
      <c r="CK737" s="91"/>
      <c r="CL737" s="6"/>
      <c r="CM737" s="6"/>
      <c r="CN737" s="6"/>
      <c r="CO737" s="6"/>
      <c r="CP737" s="6"/>
      <c r="CQ737" s="6"/>
      <c r="CR737" s="6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8"/>
      <c r="DK737" s="8"/>
      <c r="DL737" s="8"/>
      <c r="DM737" s="8"/>
      <c r="DN737" s="55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83"/>
      <c r="EC737" s="83"/>
      <c r="ED737" s="83"/>
      <c r="EE737" s="83"/>
      <c r="EF737" s="83"/>
      <c r="EG737" s="83"/>
      <c r="EH737" s="83"/>
      <c r="EI737" s="83"/>
      <c r="EJ737" s="83"/>
      <c r="EK737" s="2"/>
      <c r="EO737" s="2"/>
      <c r="ES737" s="58"/>
      <c r="ET737" s="58"/>
      <c r="EU737" s="58"/>
      <c r="EV737" s="58"/>
      <c r="EW737" s="58"/>
      <c r="EX737" s="58"/>
      <c r="EY737" s="58"/>
      <c r="EZ737" s="85"/>
    </row>
    <row r="738" spans="1:156">
      <c r="A738" s="95"/>
      <c r="B738" s="9"/>
      <c r="I738" s="54"/>
      <c r="J738" s="6"/>
      <c r="K738" s="6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90"/>
      <c r="AO738" s="91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91"/>
      <c r="CG738" s="6"/>
      <c r="CH738" s="91"/>
      <c r="CI738" s="91"/>
      <c r="CJ738" s="91"/>
      <c r="CK738" s="91"/>
      <c r="CL738" s="6"/>
      <c r="CM738" s="6"/>
      <c r="CN738" s="6"/>
      <c r="CO738" s="6"/>
      <c r="CP738" s="6"/>
      <c r="CQ738" s="6"/>
      <c r="CR738" s="6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8"/>
      <c r="DK738" s="8"/>
      <c r="DL738" s="8"/>
      <c r="DM738" s="8"/>
      <c r="DN738" s="55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83"/>
      <c r="EC738" s="83"/>
      <c r="ED738" s="83"/>
      <c r="EE738" s="83"/>
      <c r="EF738" s="83"/>
      <c r="EG738" s="83"/>
      <c r="EH738" s="83"/>
      <c r="EI738" s="83"/>
      <c r="EJ738" s="83"/>
      <c r="EK738" s="2"/>
      <c r="EO738" s="2"/>
      <c r="ES738" s="58"/>
      <c r="ET738" s="58"/>
      <c r="EU738" s="58"/>
      <c r="EV738" s="58"/>
      <c r="EW738" s="58"/>
      <c r="EX738" s="58"/>
      <c r="EY738" s="58"/>
      <c r="EZ738" s="85"/>
    </row>
    <row r="739" spans="1:156">
      <c r="A739" s="95"/>
      <c r="B739" s="9"/>
      <c r="I739" s="54"/>
      <c r="J739" s="6"/>
      <c r="K739" s="6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90"/>
      <c r="AO739" s="91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91"/>
      <c r="CG739" s="6"/>
      <c r="CH739" s="91"/>
      <c r="CI739" s="91"/>
      <c r="CJ739" s="91"/>
      <c r="CK739" s="91"/>
      <c r="CL739" s="6"/>
      <c r="CM739" s="6"/>
      <c r="CN739" s="6"/>
      <c r="CO739" s="6"/>
      <c r="CP739" s="6"/>
      <c r="CQ739" s="6"/>
      <c r="CR739" s="6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8"/>
      <c r="DK739" s="8"/>
      <c r="DL739" s="8"/>
      <c r="DM739" s="8"/>
      <c r="DN739" s="55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83"/>
      <c r="EC739" s="83"/>
      <c r="ED739" s="83"/>
      <c r="EE739" s="83"/>
      <c r="EF739" s="83"/>
      <c r="EG739" s="83"/>
      <c r="EH739" s="83"/>
      <c r="EI739" s="83"/>
      <c r="EJ739" s="83"/>
      <c r="EK739" s="2"/>
      <c r="EO739" s="2"/>
      <c r="ES739" s="58"/>
      <c r="ET739" s="58"/>
      <c r="EU739" s="58"/>
      <c r="EV739" s="58"/>
      <c r="EW739" s="58"/>
      <c r="EX739" s="58"/>
      <c r="EY739" s="58"/>
      <c r="EZ739" s="85"/>
    </row>
    <row r="740" spans="1:156">
      <c r="A740" s="95"/>
      <c r="B740" s="9"/>
      <c r="I740" s="54"/>
      <c r="J740" s="6"/>
      <c r="K740" s="6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90"/>
      <c r="AO740" s="91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91"/>
      <c r="CG740" s="6"/>
      <c r="CH740" s="91"/>
      <c r="CI740" s="91"/>
      <c r="CJ740" s="91"/>
      <c r="CK740" s="91"/>
      <c r="CL740" s="6"/>
      <c r="CM740" s="6"/>
      <c r="CN740" s="6"/>
      <c r="CO740" s="6"/>
      <c r="CP740" s="6"/>
      <c r="CQ740" s="6"/>
      <c r="CR740" s="6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8"/>
      <c r="DK740" s="8"/>
      <c r="DL740" s="8"/>
      <c r="DM740" s="8"/>
      <c r="DN740" s="55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83"/>
      <c r="EC740" s="83"/>
      <c r="ED740" s="83"/>
      <c r="EE740" s="83"/>
      <c r="EF740" s="83"/>
      <c r="EG740" s="83"/>
      <c r="EH740" s="83"/>
      <c r="EI740" s="83"/>
      <c r="EJ740" s="83"/>
      <c r="EK740" s="2"/>
      <c r="EO740" s="2"/>
      <c r="ES740" s="58"/>
      <c r="ET740" s="58"/>
      <c r="EU740" s="58"/>
      <c r="EV740" s="58"/>
      <c r="EW740" s="58"/>
      <c r="EX740" s="58"/>
      <c r="EY740" s="58"/>
      <c r="EZ740" s="85"/>
    </row>
    <row r="741" spans="1:156">
      <c r="A741" s="95"/>
      <c r="B741" s="9"/>
      <c r="I741" s="54"/>
      <c r="J741" s="6"/>
      <c r="K741" s="6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90"/>
      <c r="AO741" s="91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91"/>
      <c r="CG741" s="6"/>
      <c r="CH741" s="91"/>
      <c r="CI741" s="91"/>
      <c r="CJ741" s="91"/>
      <c r="CK741" s="91"/>
      <c r="CL741" s="6"/>
      <c r="CM741" s="6"/>
      <c r="CN741" s="6"/>
      <c r="CO741" s="6"/>
      <c r="CP741" s="6"/>
      <c r="CQ741" s="6"/>
      <c r="CR741" s="6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8"/>
      <c r="DK741" s="8"/>
      <c r="DL741" s="8"/>
      <c r="DM741" s="8"/>
      <c r="DN741" s="55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83"/>
      <c r="EC741" s="83"/>
      <c r="ED741" s="83"/>
      <c r="EE741" s="83"/>
      <c r="EF741" s="83"/>
      <c r="EG741" s="83"/>
      <c r="EH741" s="83"/>
      <c r="EI741" s="83"/>
      <c r="EJ741" s="83"/>
      <c r="EK741" s="2"/>
      <c r="EO741" s="2"/>
      <c r="ES741" s="58"/>
      <c r="ET741" s="58"/>
      <c r="EU741" s="58"/>
      <c r="EV741" s="58"/>
      <c r="EW741" s="58"/>
      <c r="EX741" s="58"/>
      <c r="EY741" s="58"/>
      <c r="EZ741" s="85"/>
    </row>
    <row r="742" spans="1:156">
      <c r="A742" s="95"/>
      <c r="B742" s="9"/>
      <c r="I742" s="54"/>
      <c r="J742" s="6"/>
      <c r="K742" s="6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90"/>
      <c r="AO742" s="91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91"/>
      <c r="CG742" s="6"/>
      <c r="CH742" s="91"/>
      <c r="CI742" s="91"/>
      <c r="CJ742" s="91"/>
      <c r="CK742" s="91"/>
      <c r="CL742" s="6"/>
      <c r="CM742" s="6"/>
      <c r="CN742" s="6"/>
      <c r="CO742" s="6"/>
      <c r="CP742" s="6"/>
      <c r="CQ742" s="6"/>
      <c r="CR742" s="6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8"/>
      <c r="DK742" s="8"/>
      <c r="DL742" s="8"/>
      <c r="DM742" s="8"/>
      <c r="DN742" s="55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83"/>
      <c r="EC742" s="83"/>
      <c r="ED742" s="83"/>
      <c r="EE742" s="83"/>
      <c r="EF742" s="83"/>
      <c r="EG742" s="83"/>
      <c r="EH742" s="83"/>
      <c r="EI742" s="83"/>
      <c r="EJ742" s="83"/>
      <c r="EK742" s="2"/>
      <c r="EO742" s="2"/>
      <c r="ES742" s="58"/>
      <c r="ET742" s="58"/>
      <c r="EU742" s="58"/>
      <c r="EV742" s="58"/>
      <c r="EW742" s="58"/>
      <c r="EX742" s="58"/>
      <c r="EY742" s="58"/>
      <c r="EZ742" s="85"/>
    </row>
    <row r="743" spans="1:156">
      <c r="A743" s="95"/>
      <c r="B743" s="9"/>
      <c r="I743" s="54"/>
      <c r="J743" s="6"/>
      <c r="K743" s="6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90"/>
      <c r="AO743" s="91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91"/>
      <c r="CG743" s="6"/>
      <c r="CH743" s="91"/>
      <c r="CI743" s="91"/>
      <c r="CJ743" s="91"/>
      <c r="CK743" s="91"/>
      <c r="CL743" s="6"/>
      <c r="CM743" s="6"/>
      <c r="CN743" s="6"/>
      <c r="CO743" s="6"/>
      <c r="CP743" s="6"/>
      <c r="CQ743" s="6"/>
      <c r="CR743" s="6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8"/>
      <c r="DK743" s="8"/>
      <c r="DL743" s="8"/>
      <c r="DM743" s="8"/>
      <c r="DN743" s="55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83"/>
      <c r="EC743" s="83"/>
      <c r="ED743" s="83"/>
      <c r="EE743" s="83"/>
      <c r="EF743" s="83"/>
      <c r="EG743" s="83"/>
      <c r="EH743" s="83"/>
      <c r="EI743" s="83"/>
      <c r="EJ743" s="83"/>
      <c r="EK743" s="2"/>
      <c r="EO743" s="2"/>
      <c r="ES743" s="58"/>
      <c r="ET743" s="58"/>
      <c r="EU743" s="58"/>
      <c r="EV743" s="58"/>
      <c r="EW743" s="58"/>
      <c r="EX743" s="58"/>
      <c r="EY743" s="58"/>
      <c r="EZ743" s="85"/>
    </row>
    <row r="744" spans="1:156">
      <c r="A744" s="95"/>
      <c r="B744" s="9"/>
      <c r="I744" s="54"/>
      <c r="J744" s="6"/>
      <c r="K744" s="6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90"/>
      <c r="AO744" s="91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91"/>
      <c r="CG744" s="6"/>
      <c r="CH744" s="91"/>
      <c r="CI744" s="91"/>
      <c r="CJ744" s="91"/>
      <c r="CK744" s="91"/>
      <c r="CL744" s="6"/>
      <c r="CM744" s="6"/>
      <c r="CN744" s="6"/>
      <c r="CO744" s="6"/>
      <c r="CP744" s="6"/>
      <c r="CQ744" s="6"/>
      <c r="CR744" s="6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8"/>
      <c r="DK744" s="8"/>
      <c r="DL744" s="8"/>
      <c r="DM744" s="8"/>
      <c r="DN744" s="55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83"/>
      <c r="EC744" s="83"/>
      <c r="ED744" s="83"/>
      <c r="EE744" s="83"/>
      <c r="EF744" s="83"/>
      <c r="EG744" s="83"/>
      <c r="EH744" s="83"/>
      <c r="EI744" s="83"/>
      <c r="EJ744" s="83"/>
      <c r="EK744" s="2"/>
      <c r="EO744" s="2"/>
      <c r="ES744" s="58"/>
      <c r="ET744" s="58"/>
      <c r="EU744" s="58"/>
      <c r="EV744" s="58"/>
      <c r="EW744" s="58"/>
      <c r="EX744" s="58"/>
      <c r="EY744" s="58"/>
      <c r="EZ744" s="85"/>
    </row>
    <row r="745" spans="1:156">
      <c r="A745" s="95"/>
      <c r="B745" s="9"/>
      <c r="I745" s="54"/>
      <c r="J745" s="6"/>
      <c r="K745" s="6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90"/>
      <c r="AO745" s="91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91"/>
      <c r="CG745" s="6"/>
      <c r="CH745" s="91"/>
      <c r="CI745" s="91"/>
      <c r="CJ745" s="91"/>
      <c r="CK745" s="91"/>
      <c r="CL745" s="6"/>
      <c r="CM745" s="6"/>
      <c r="CN745" s="6"/>
      <c r="CO745" s="6"/>
      <c r="CP745" s="6"/>
      <c r="CQ745" s="6"/>
      <c r="CR745" s="6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8"/>
      <c r="DK745" s="8"/>
      <c r="DL745" s="8"/>
      <c r="DM745" s="8"/>
      <c r="DN745" s="55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83"/>
      <c r="EC745" s="83"/>
      <c r="ED745" s="83"/>
      <c r="EE745" s="83"/>
      <c r="EF745" s="83"/>
      <c r="EG745" s="83"/>
      <c r="EH745" s="83"/>
      <c r="EI745" s="83"/>
      <c r="EJ745" s="83"/>
      <c r="EK745" s="2"/>
      <c r="EO745" s="2"/>
      <c r="ES745" s="58"/>
      <c r="ET745" s="58"/>
      <c r="EU745" s="58"/>
      <c r="EV745" s="58"/>
      <c r="EW745" s="58"/>
      <c r="EX745" s="58"/>
      <c r="EY745" s="58"/>
      <c r="EZ745" s="85"/>
    </row>
    <row r="746" spans="1:156">
      <c r="A746" s="95"/>
      <c r="B746" s="9"/>
      <c r="I746" s="54"/>
      <c r="J746" s="6"/>
      <c r="K746" s="6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90"/>
      <c r="AO746" s="91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91"/>
      <c r="CG746" s="6"/>
      <c r="CH746" s="91"/>
      <c r="CI746" s="91"/>
      <c r="CJ746" s="91"/>
      <c r="CK746" s="91"/>
      <c r="CL746" s="6"/>
      <c r="CM746" s="6"/>
      <c r="CN746" s="6"/>
      <c r="CO746" s="6"/>
      <c r="CP746" s="6"/>
      <c r="CQ746" s="6"/>
      <c r="CR746" s="6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8"/>
      <c r="DK746" s="8"/>
      <c r="DL746" s="8"/>
      <c r="DM746" s="8"/>
      <c r="DN746" s="55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83"/>
      <c r="EC746" s="83"/>
      <c r="ED746" s="83"/>
      <c r="EE746" s="83"/>
      <c r="EF746" s="83"/>
      <c r="EG746" s="83"/>
      <c r="EH746" s="83"/>
      <c r="EI746" s="83"/>
      <c r="EJ746" s="83"/>
      <c r="EK746" s="2"/>
      <c r="EO746" s="2"/>
      <c r="ES746" s="58"/>
      <c r="ET746" s="58"/>
      <c r="EU746" s="58"/>
      <c r="EV746" s="58"/>
      <c r="EW746" s="58"/>
      <c r="EX746" s="58"/>
      <c r="EY746" s="58"/>
      <c r="EZ746" s="85"/>
    </row>
    <row r="747" spans="1:156">
      <c r="A747" s="95"/>
      <c r="B747" s="9"/>
      <c r="I747" s="54"/>
      <c r="J747" s="6"/>
      <c r="K747" s="6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90"/>
      <c r="AO747" s="91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91"/>
      <c r="CG747" s="6"/>
      <c r="CH747" s="91"/>
      <c r="CI747" s="91"/>
      <c r="CJ747" s="91"/>
      <c r="CK747" s="91"/>
      <c r="CL747" s="6"/>
      <c r="CM747" s="6"/>
      <c r="CN747" s="6"/>
      <c r="CO747" s="6"/>
      <c r="CP747" s="6"/>
      <c r="CQ747" s="6"/>
      <c r="CR747" s="6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8"/>
      <c r="DK747" s="8"/>
      <c r="DL747" s="8"/>
      <c r="DM747" s="8"/>
      <c r="DN747" s="55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83"/>
      <c r="EC747" s="83"/>
      <c r="ED747" s="83"/>
      <c r="EE747" s="83"/>
      <c r="EF747" s="83"/>
      <c r="EG747" s="83"/>
      <c r="EH747" s="83"/>
      <c r="EI747" s="83"/>
      <c r="EJ747" s="83"/>
      <c r="EK747" s="2"/>
      <c r="EO747" s="2"/>
      <c r="ES747" s="58"/>
      <c r="ET747" s="58"/>
      <c r="EU747" s="58"/>
      <c r="EV747" s="58"/>
      <c r="EW747" s="58"/>
      <c r="EX747" s="58"/>
      <c r="EY747" s="58"/>
      <c r="EZ747" s="85"/>
    </row>
    <row r="748" spans="1:156">
      <c r="AR748" s="6"/>
      <c r="AS748" s="6"/>
      <c r="AT748" s="6"/>
      <c r="AU748" s="6"/>
    </row>
    <row r="749" spans="1:156">
      <c r="AR749" s="6"/>
      <c r="AS749" s="6"/>
      <c r="AT749" s="6"/>
      <c r="AU749" s="6"/>
    </row>
    <row r="750" spans="1:156">
      <c r="AR750" s="6"/>
      <c r="AS750" s="6"/>
      <c r="AT750" s="6"/>
      <c r="AU750" s="6"/>
    </row>
    <row r="751" spans="1:156">
      <c r="AR751" s="6"/>
      <c r="AS751" s="6"/>
      <c r="AT751" s="6"/>
      <c r="AU751" s="6"/>
    </row>
    <row r="752" spans="1:156">
      <c r="AR752" s="6"/>
      <c r="AS752" s="6"/>
      <c r="AT752" s="6"/>
      <c r="AU752" s="6"/>
    </row>
    <row r="753" spans="44:47">
      <c r="AR753" s="6"/>
      <c r="AS753" s="6"/>
      <c r="AT753" s="6"/>
      <c r="AU753" s="6"/>
    </row>
    <row r="754" spans="44:47">
      <c r="AR754" s="6"/>
      <c r="AS754" s="6"/>
      <c r="AT754" s="6"/>
      <c r="AU754" s="6"/>
    </row>
  </sheetData>
  <dataConsolidate/>
  <mergeCells count="6">
    <mergeCell ref="W14:AG14"/>
    <mergeCell ref="W8:AG8"/>
    <mergeCell ref="W10:AG10"/>
    <mergeCell ref="W11:AG11"/>
    <mergeCell ref="W12:AG12"/>
    <mergeCell ref="W13:AG13"/>
  </mergeCells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C95F-52DE-F14F-B3FA-B08F14ABD607}">
  <sheetPr codeName="Feuil2"/>
  <dimension ref="B1:H175"/>
  <sheetViews>
    <sheetView tabSelected="1" zoomScale="131" zoomScaleNormal="197" workbookViewId="0">
      <selection activeCell="B8" sqref="B8"/>
    </sheetView>
  </sheetViews>
  <sheetFormatPr baseColWidth="10" defaultRowHeight="16"/>
  <cols>
    <col min="1" max="1" width="10.83203125" style="59"/>
    <col min="2" max="2" width="63.33203125" style="59" customWidth="1"/>
    <col min="3" max="3" width="60.83203125" style="59" customWidth="1"/>
    <col min="4" max="4" width="16.1640625" style="59" customWidth="1"/>
    <col min="5" max="5" width="10.83203125" style="139"/>
    <col min="6" max="6" width="17.6640625" style="139" customWidth="1"/>
    <col min="7" max="7" width="17.83203125" style="139" customWidth="1"/>
    <col min="8" max="16384" width="10.83203125" style="59"/>
  </cols>
  <sheetData>
    <row r="1" spans="2:8" ht="21">
      <c r="B1" s="172" t="s">
        <v>530</v>
      </c>
      <c r="C1" s="146"/>
    </row>
    <row r="2" spans="2:8" ht="21">
      <c r="B2" s="172" t="s">
        <v>531</v>
      </c>
      <c r="C2" s="146"/>
    </row>
    <row r="3" spans="2:8" ht="21">
      <c r="B3" s="172" t="s">
        <v>534</v>
      </c>
      <c r="C3" s="146"/>
    </row>
    <row r="4" spans="2:8" ht="21">
      <c r="F4" s="140" t="s">
        <v>449</v>
      </c>
      <c r="G4" s="140" t="s">
        <v>450</v>
      </c>
    </row>
    <row r="5" spans="2:8" ht="26">
      <c r="B5" s="143" t="s">
        <v>533</v>
      </c>
      <c r="C5" s="305" t="s">
        <v>532</v>
      </c>
      <c r="D5" s="143" t="s">
        <v>325</v>
      </c>
      <c r="E5" s="144" t="s">
        <v>451</v>
      </c>
      <c r="F5" s="144" t="s">
        <v>233</v>
      </c>
      <c r="G5" s="144" t="s">
        <v>233</v>
      </c>
    </row>
    <row r="6" spans="2:8" s="141" customFormat="1">
      <c r="B6" s="138" t="s">
        <v>259</v>
      </c>
      <c r="C6" s="138" t="s">
        <v>234</v>
      </c>
      <c r="D6" s="208" t="s">
        <v>267</v>
      </c>
      <c r="E6" s="142">
        <v>0</v>
      </c>
      <c r="F6" s="142">
        <v>1</v>
      </c>
      <c r="G6" s="142">
        <v>1</v>
      </c>
      <c r="H6" s="59"/>
    </row>
    <row r="7" spans="2:8">
      <c r="B7" s="138" t="s">
        <v>260</v>
      </c>
      <c r="C7" s="138" t="s">
        <v>214</v>
      </c>
      <c r="D7" s="138" t="s">
        <v>214</v>
      </c>
      <c r="E7" s="142">
        <v>1</v>
      </c>
      <c r="F7" s="142">
        <v>0</v>
      </c>
      <c r="G7" s="142">
        <v>0</v>
      </c>
    </row>
    <row r="8" spans="2:8">
      <c r="B8" s="138" t="s">
        <v>261</v>
      </c>
      <c r="C8" s="138" t="s">
        <v>407</v>
      </c>
      <c r="D8" s="138" t="s">
        <v>452</v>
      </c>
      <c r="E8" s="142">
        <v>2</v>
      </c>
      <c r="F8" s="142">
        <v>0</v>
      </c>
      <c r="G8" s="142">
        <v>0</v>
      </c>
    </row>
    <row r="9" spans="2:8">
      <c r="B9" s="138" t="s">
        <v>327</v>
      </c>
      <c r="C9" s="138" t="s">
        <v>326</v>
      </c>
      <c r="D9" s="138" t="s">
        <v>326</v>
      </c>
      <c r="E9" s="142">
        <v>3</v>
      </c>
      <c r="F9" s="142">
        <v>0</v>
      </c>
      <c r="G9" s="142">
        <v>0</v>
      </c>
    </row>
    <row r="10" spans="2:8">
      <c r="B10" s="138" t="s">
        <v>263</v>
      </c>
      <c r="C10" s="138" t="s">
        <v>328</v>
      </c>
      <c r="D10" s="138" t="s">
        <v>328</v>
      </c>
      <c r="E10" s="142">
        <v>4</v>
      </c>
      <c r="F10" s="142">
        <v>0</v>
      </c>
      <c r="G10" s="142">
        <v>0</v>
      </c>
    </row>
    <row r="11" spans="2:8">
      <c r="B11" s="138" t="s">
        <v>262</v>
      </c>
      <c r="C11" s="138" t="s">
        <v>408</v>
      </c>
      <c r="D11" s="138" t="s">
        <v>408</v>
      </c>
      <c r="E11" s="142">
        <v>5</v>
      </c>
      <c r="F11" s="142">
        <v>0</v>
      </c>
      <c r="G11" s="142">
        <v>0</v>
      </c>
    </row>
    <row r="12" spans="2:8">
      <c r="B12" s="138" t="s">
        <v>337</v>
      </c>
      <c r="C12" s="138" t="s">
        <v>329</v>
      </c>
      <c r="D12" s="138" t="s">
        <v>329</v>
      </c>
      <c r="E12" s="142">
        <v>6</v>
      </c>
      <c r="F12" s="142">
        <v>0</v>
      </c>
      <c r="G12" s="142">
        <v>0</v>
      </c>
    </row>
    <row r="13" spans="2:8">
      <c r="B13" s="138" t="s">
        <v>338</v>
      </c>
      <c r="C13" s="138" t="s">
        <v>330</v>
      </c>
      <c r="D13" s="138" t="s">
        <v>330</v>
      </c>
      <c r="E13" s="142">
        <v>7</v>
      </c>
      <c r="F13" s="142">
        <v>0</v>
      </c>
      <c r="G13" s="142">
        <v>0</v>
      </c>
    </row>
    <row r="14" spans="2:8">
      <c r="B14" s="138" t="s">
        <v>339</v>
      </c>
      <c r="C14" s="138" t="s">
        <v>331</v>
      </c>
      <c r="D14" s="138" t="s">
        <v>507</v>
      </c>
      <c r="E14" s="142">
        <v>8</v>
      </c>
      <c r="F14" s="142">
        <v>0</v>
      </c>
      <c r="G14" s="142">
        <v>0</v>
      </c>
    </row>
    <row r="15" spans="2:8">
      <c r="B15" s="138" t="s">
        <v>340</v>
      </c>
      <c r="C15" s="138" t="s">
        <v>332</v>
      </c>
      <c r="D15" s="138" t="s">
        <v>508</v>
      </c>
      <c r="E15" s="142">
        <v>9</v>
      </c>
      <c r="F15" s="142">
        <v>0</v>
      </c>
      <c r="G15" s="142">
        <v>0</v>
      </c>
    </row>
    <row r="16" spans="2:8">
      <c r="B16" s="138" t="s">
        <v>341</v>
      </c>
      <c r="C16" s="138" t="s">
        <v>333</v>
      </c>
      <c r="D16" s="138" t="s">
        <v>509</v>
      </c>
      <c r="E16" s="142">
        <v>10</v>
      </c>
      <c r="F16" s="142">
        <v>0</v>
      </c>
      <c r="G16" s="142">
        <v>0</v>
      </c>
    </row>
    <row r="17" spans="2:7">
      <c r="B17" s="138" t="s">
        <v>342</v>
      </c>
      <c r="C17" s="138" t="s">
        <v>334</v>
      </c>
      <c r="D17" s="138" t="s">
        <v>510</v>
      </c>
      <c r="E17" s="142">
        <v>11</v>
      </c>
      <c r="F17" s="142">
        <v>0</v>
      </c>
      <c r="G17" s="142">
        <v>0</v>
      </c>
    </row>
    <row r="18" spans="2:7">
      <c r="B18" s="138" t="s">
        <v>343</v>
      </c>
      <c r="C18" s="138" t="s">
        <v>335</v>
      </c>
      <c r="D18" s="138" t="s">
        <v>511</v>
      </c>
      <c r="E18" s="142">
        <v>12</v>
      </c>
      <c r="F18" s="142">
        <v>0</v>
      </c>
      <c r="G18" s="142">
        <v>0</v>
      </c>
    </row>
    <row r="19" spans="2:7">
      <c r="B19" s="138" t="s">
        <v>344</v>
      </c>
      <c r="C19" s="138" t="s">
        <v>336</v>
      </c>
      <c r="D19" s="138" t="s">
        <v>336</v>
      </c>
      <c r="E19" s="142">
        <v>13</v>
      </c>
      <c r="F19" s="142">
        <v>0</v>
      </c>
      <c r="G19" s="142">
        <v>0</v>
      </c>
    </row>
    <row r="20" spans="2:7">
      <c r="B20" s="138" t="s">
        <v>263</v>
      </c>
      <c r="C20" s="138" t="s">
        <v>328</v>
      </c>
      <c r="D20" s="138" t="s">
        <v>328</v>
      </c>
      <c r="E20" s="142">
        <v>14</v>
      </c>
      <c r="F20" s="142">
        <v>0</v>
      </c>
      <c r="G20" s="142">
        <v>0</v>
      </c>
    </row>
    <row r="21" spans="2:7">
      <c r="B21" s="138" t="s">
        <v>264</v>
      </c>
      <c r="C21" s="138" t="s">
        <v>409</v>
      </c>
      <c r="D21" s="138" t="s">
        <v>963</v>
      </c>
      <c r="E21" s="142">
        <v>15</v>
      </c>
      <c r="F21" s="142">
        <v>0</v>
      </c>
      <c r="G21" s="142">
        <v>0</v>
      </c>
    </row>
    <row r="22" spans="2:7">
      <c r="B22" s="138" t="s">
        <v>265</v>
      </c>
      <c r="C22" s="138" t="s">
        <v>355</v>
      </c>
      <c r="D22" s="138" t="s">
        <v>355</v>
      </c>
      <c r="E22" s="142">
        <v>16</v>
      </c>
      <c r="F22" s="142">
        <v>0</v>
      </c>
      <c r="G22" s="142">
        <v>0</v>
      </c>
    </row>
    <row r="23" spans="2:7">
      <c r="B23" s="138" t="s">
        <v>346</v>
      </c>
      <c r="C23" s="138" t="s">
        <v>345</v>
      </c>
      <c r="D23" s="138" t="s">
        <v>345</v>
      </c>
      <c r="E23" s="142">
        <v>17</v>
      </c>
      <c r="F23" s="142">
        <v>0</v>
      </c>
      <c r="G23" s="142">
        <v>0</v>
      </c>
    </row>
    <row r="24" spans="2:7">
      <c r="B24" s="138" t="s">
        <v>695</v>
      </c>
      <c r="C24" s="138" t="s">
        <v>347</v>
      </c>
      <c r="D24" s="138" t="s">
        <v>347</v>
      </c>
      <c r="E24" s="142">
        <v>18</v>
      </c>
      <c r="F24" s="142">
        <v>0</v>
      </c>
      <c r="G24" s="142">
        <v>0</v>
      </c>
    </row>
    <row r="25" spans="2:7">
      <c r="B25" s="138" t="s">
        <v>696</v>
      </c>
      <c r="C25" s="138" t="s">
        <v>348</v>
      </c>
      <c r="D25" s="138" t="s">
        <v>512</v>
      </c>
      <c r="E25" s="142">
        <v>19</v>
      </c>
      <c r="F25" s="142">
        <v>0</v>
      </c>
      <c r="G25" s="142">
        <v>0</v>
      </c>
    </row>
    <row r="26" spans="2:7">
      <c r="B26" s="138" t="s">
        <v>697</v>
      </c>
      <c r="C26" s="138" t="s">
        <v>349</v>
      </c>
      <c r="D26" s="138" t="s">
        <v>349</v>
      </c>
      <c r="E26" s="142">
        <v>20</v>
      </c>
      <c r="F26" s="142">
        <v>0</v>
      </c>
      <c r="G26" s="142">
        <v>0</v>
      </c>
    </row>
    <row r="27" spans="2:7">
      <c r="B27" s="138" t="s">
        <v>698</v>
      </c>
      <c r="C27" s="138" t="s">
        <v>350</v>
      </c>
      <c r="D27" s="138" t="s">
        <v>350</v>
      </c>
      <c r="E27" s="142">
        <v>21</v>
      </c>
      <c r="F27" s="142">
        <v>0</v>
      </c>
      <c r="G27" s="142">
        <v>0</v>
      </c>
    </row>
    <row r="28" spans="2:7">
      <c r="B28" s="138" t="s">
        <v>699</v>
      </c>
      <c r="C28" s="138" t="s">
        <v>351</v>
      </c>
      <c r="D28" s="138" t="s">
        <v>351</v>
      </c>
      <c r="E28" s="142">
        <v>22</v>
      </c>
      <c r="F28" s="142">
        <v>0</v>
      </c>
      <c r="G28" s="142">
        <v>0</v>
      </c>
    </row>
    <row r="29" spans="2:7">
      <c r="B29" s="138" t="s">
        <v>700</v>
      </c>
      <c r="C29" s="138" t="s">
        <v>352</v>
      </c>
      <c r="D29" s="138" t="s">
        <v>352</v>
      </c>
      <c r="E29" s="142">
        <v>23</v>
      </c>
      <c r="F29" s="142">
        <v>0</v>
      </c>
      <c r="G29" s="142">
        <v>0</v>
      </c>
    </row>
    <row r="30" spans="2:7">
      <c r="B30" s="138" t="s">
        <v>701</v>
      </c>
      <c r="C30" s="138" t="s">
        <v>353</v>
      </c>
      <c r="D30" s="138" t="s">
        <v>353</v>
      </c>
      <c r="E30" s="142">
        <v>24</v>
      </c>
      <c r="F30" s="142">
        <v>0</v>
      </c>
      <c r="G30" s="142">
        <v>0</v>
      </c>
    </row>
    <row r="31" spans="2:7">
      <c r="B31" s="138" t="s">
        <v>702</v>
      </c>
      <c r="C31" s="138" t="s">
        <v>354</v>
      </c>
      <c r="D31" s="138" t="s">
        <v>354</v>
      </c>
      <c r="E31" s="142">
        <v>25</v>
      </c>
      <c r="F31" s="142">
        <v>0</v>
      </c>
      <c r="G31" s="142">
        <v>0</v>
      </c>
    </row>
    <row r="32" spans="2:7">
      <c r="B32" s="138" t="s">
        <v>269</v>
      </c>
      <c r="C32" s="138" t="s">
        <v>410</v>
      </c>
      <c r="D32" s="138" t="s">
        <v>453</v>
      </c>
      <c r="E32" s="142">
        <v>26</v>
      </c>
      <c r="F32" s="142">
        <v>0</v>
      </c>
      <c r="G32" s="142">
        <v>0</v>
      </c>
    </row>
    <row r="33" spans="2:7">
      <c r="B33" s="138" t="s">
        <v>266</v>
      </c>
      <c r="C33" s="138" t="s">
        <v>411</v>
      </c>
      <c r="D33" s="138" t="s">
        <v>454</v>
      </c>
      <c r="E33" s="142">
        <v>27</v>
      </c>
      <c r="F33" s="142">
        <v>1</v>
      </c>
      <c r="G33" s="142">
        <v>1</v>
      </c>
    </row>
    <row r="34" spans="2:7">
      <c r="B34" s="138" t="s">
        <v>270</v>
      </c>
      <c r="C34" s="138" t="s">
        <v>412</v>
      </c>
      <c r="D34" s="322" t="s">
        <v>455</v>
      </c>
      <c r="E34" s="142">
        <v>28</v>
      </c>
      <c r="F34" s="142">
        <v>0</v>
      </c>
      <c r="G34" s="142">
        <v>0</v>
      </c>
    </row>
    <row r="35" spans="2:7">
      <c r="B35" s="138" t="s">
        <v>271</v>
      </c>
      <c r="C35" s="138" t="s">
        <v>413</v>
      </c>
      <c r="D35" s="138" t="s">
        <v>456</v>
      </c>
      <c r="E35" s="142">
        <v>29</v>
      </c>
      <c r="F35" s="142">
        <v>0</v>
      </c>
      <c r="G35" s="142">
        <v>0</v>
      </c>
    </row>
    <row r="36" spans="2:7">
      <c r="B36" s="138" t="s">
        <v>272</v>
      </c>
      <c r="C36" s="138" t="s">
        <v>414</v>
      </c>
      <c r="D36" s="138" t="s">
        <v>457</v>
      </c>
      <c r="E36" s="142">
        <v>30</v>
      </c>
      <c r="F36" s="142">
        <v>1</v>
      </c>
      <c r="G36" s="142">
        <v>1</v>
      </c>
    </row>
    <row r="37" spans="2:7">
      <c r="B37" s="138" t="s">
        <v>528</v>
      </c>
      <c r="C37" s="138" t="s">
        <v>103</v>
      </c>
      <c r="D37" s="138" t="s">
        <v>103</v>
      </c>
      <c r="E37" s="142">
        <v>31</v>
      </c>
      <c r="F37" s="142">
        <v>0</v>
      </c>
      <c r="G37" s="142">
        <v>0</v>
      </c>
    </row>
    <row r="38" spans="2:7">
      <c r="B38" s="138" t="s">
        <v>273</v>
      </c>
      <c r="C38" s="138" t="s">
        <v>415</v>
      </c>
      <c r="D38" s="138" t="s">
        <v>458</v>
      </c>
      <c r="E38" s="142">
        <v>32</v>
      </c>
      <c r="F38" s="142">
        <v>1</v>
      </c>
      <c r="G38" s="142">
        <v>1</v>
      </c>
    </row>
    <row r="39" spans="2:7">
      <c r="B39" s="138" t="s">
        <v>274</v>
      </c>
      <c r="C39" s="138" t="s">
        <v>416</v>
      </c>
      <c r="D39" s="138" t="s">
        <v>459</v>
      </c>
      <c r="E39" s="142">
        <v>33</v>
      </c>
      <c r="F39" s="142">
        <v>0</v>
      </c>
      <c r="G39" s="142">
        <v>0</v>
      </c>
    </row>
    <row r="40" spans="2:7">
      <c r="B40" s="138" t="s">
        <v>275</v>
      </c>
      <c r="C40" s="138" t="s">
        <v>235</v>
      </c>
      <c r="D40" s="138" t="s">
        <v>460</v>
      </c>
      <c r="E40" s="142">
        <v>34</v>
      </c>
      <c r="F40" s="142">
        <v>0</v>
      </c>
      <c r="G40" s="142">
        <v>0</v>
      </c>
    </row>
    <row r="41" spans="2:7">
      <c r="B41" s="138" t="s">
        <v>276</v>
      </c>
      <c r="C41" s="138" t="s">
        <v>236</v>
      </c>
      <c r="D41" s="138" t="s">
        <v>236</v>
      </c>
      <c r="E41" s="142">
        <v>35</v>
      </c>
      <c r="F41" s="142">
        <v>0</v>
      </c>
      <c r="G41" s="142">
        <v>0</v>
      </c>
    </row>
    <row r="42" spans="2:7">
      <c r="B42" s="138" t="s">
        <v>277</v>
      </c>
      <c r="C42" s="138" t="s">
        <v>357</v>
      </c>
      <c r="D42" s="138" t="s">
        <v>461</v>
      </c>
      <c r="E42" s="142">
        <v>36</v>
      </c>
      <c r="F42" s="142">
        <v>0</v>
      </c>
      <c r="G42" s="142">
        <v>0</v>
      </c>
    </row>
    <row r="43" spans="2:7">
      <c r="B43" s="138" t="s">
        <v>323</v>
      </c>
      <c r="C43" s="138" t="s">
        <v>405</v>
      </c>
      <c r="D43" s="138" t="s">
        <v>513</v>
      </c>
      <c r="E43" s="142">
        <v>37</v>
      </c>
      <c r="F43" s="142">
        <v>1</v>
      </c>
      <c r="G43" s="142">
        <v>1</v>
      </c>
    </row>
    <row r="44" spans="2:7">
      <c r="B44" s="138" t="s">
        <v>403</v>
      </c>
      <c r="C44" s="138" t="s">
        <v>402</v>
      </c>
      <c r="D44" s="138" t="s">
        <v>514</v>
      </c>
      <c r="E44" s="142">
        <v>38</v>
      </c>
      <c r="F44" s="142">
        <v>1</v>
      </c>
      <c r="G44" s="142">
        <v>1</v>
      </c>
    </row>
    <row r="45" spans="2:7">
      <c r="B45" s="138" t="s">
        <v>278</v>
      </c>
      <c r="C45" s="138" t="s">
        <v>400</v>
      </c>
      <c r="D45" s="138" t="s">
        <v>462</v>
      </c>
      <c r="E45" s="142">
        <v>39</v>
      </c>
      <c r="F45" s="142">
        <v>0</v>
      </c>
      <c r="G45" s="142">
        <v>0</v>
      </c>
    </row>
    <row r="46" spans="2:7">
      <c r="B46" s="138" t="s">
        <v>279</v>
      </c>
      <c r="C46" s="138" t="s">
        <v>237</v>
      </c>
      <c r="D46" s="138" t="s">
        <v>463</v>
      </c>
      <c r="E46" s="142">
        <v>40</v>
      </c>
      <c r="F46" s="142">
        <v>1</v>
      </c>
      <c r="G46" s="142">
        <v>1</v>
      </c>
    </row>
    <row r="47" spans="2:7">
      <c r="B47" s="138" t="s">
        <v>280</v>
      </c>
      <c r="C47" s="138" t="s">
        <v>417</v>
      </c>
      <c r="D47" s="138" t="s">
        <v>464</v>
      </c>
      <c r="E47" s="142">
        <v>41</v>
      </c>
      <c r="F47" s="142">
        <v>0</v>
      </c>
      <c r="G47" s="142">
        <v>0</v>
      </c>
    </row>
    <row r="48" spans="2:7">
      <c r="B48" s="138" t="s">
        <v>281</v>
      </c>
      <c r="C48" s="138" t="s">
        <v>418</v>
      </c>
      <c r="D48" s="138" t="s">
        <v>465</v>
      </c>
      <c r="E48" s="142">
        <v>42</v>
      </c>
      <c r="F48" s="142">
        <v>0</v>
      </c>
      <c r="G48" s="142">
        <v>0</v>
      </c>
    </row>
    <row r="49" spans="2:7">
      <c r="B49" s="138" t="s">
        <v>307</v>
      </c>
      <c r="C49" s="138" t="s">
        <v>254</v>
      </c>
      <c r="D49" s="138" t="s">
        <v>268</v>
      </c>
      <c r="E49" s="142">
        <v>43</v>
      </c>
      <c r="F49" s="142">
        <v>0</v>
      </c>
      <c r="G49" s="142">
        <v>0</v>
      </c>
    </row>
    <row r="50" spans="2:7">
      <c r="B50" s="138" t="s">
        <v>282</v>
      </c>
      <c r="C50" s="138" t="s">
        <v>419</v>
      </c>
      <c r="D50" s="138" t="s">
        <v>466</v>
      </c>
      <c r="E50" s="142">
        <v>44</v>
      </c>
      <c r="F50" s="142">
        <v>0</v>
      </c>
      <c r="G50" s="142">
        <v>0</v>
      </c>
    </row>
    <row r="51" spans="2:7">
      <c r="B51" s="138" t="s">
        <v>283</v>
      </c>
      <c r="C51" s="138" t="s">
        <v>420</v>
      </c>
      <c r="D51" s="138" t="s">
        <v>467</v>
      </c>
      <c r="E51" s="142">
        <v>45</v>
      </c>
      <c r="F51" s="142">
        <v>0</v>
      </c>
      <c r="G51" s="142">
        <v>0</v>
      </c>
    </row>
    <row r="52" spans="2:7">
      <c r="B52" s="138" t="s">
        <v>284</v>
      </c>
      <c r="C52" s="138" t="s">
        <v>421</v>
      </c>
      <c r="D52" s="138" t="s">
        <v>468</v>
      </c>
      <c r="E52" s="142">
        <v>46</v>
      </c>
      <c r="F52" s="142">
        <v>0</v>
      </c>
      <c r="G52" s="142">
        <v>0</v>
      </c>
    </row>
    <row r="53" spans="2:7">
      <c r="B53" s="138" t="s">
        <v>384</v>
      </c>
      <c r="C53" s="138" t="s">
        <v>422</v>
      </c>
      <c r="D53" s="138" t="s">
        <v>469</v>
      </c>
      <c r="E53" s="142">
        <v>47</v>
      </c>
      <c r="F53" s="142">
        <v>0</v>
      </c>
      <c r="G53" s="142">
        <v>0</v>
      </c>
    </row>
    <row r="54" spans="2:7">
      <c r="B54" s="138" t="s">
        <v>385</v>
      </c>
      <c r="C54" s="138" t="s">
        <v>423</v>
      </c>
      <c r="D54" s="138" t="s">
        <v>470</v>
      </c>
      <c r="E54" s="142">
        <v>48</v>
      </c>
      <c r="F54" s="142">
        <v>0</v>
      </c>
      <c r="G54" s="142">
        <v>0</v>
      </c>
    </row>
    <row r="55" spans="2:7">
      <c r="B55" s="138" t="s">
        <v>386</v>
      </c>
      <c r="C55" s="138" t="s">
        <v>424</v>
      </c>
      <c r="D55" s="138" t="s">
        <v>471</v>
      </c>
      <c r="E55" s="142">
        <v>49</v>
      </c>
      <c r="F55" s="142">
        <v>0</v>
      </c>
      <c r="G55" s="142">
        <v>0</v>
      </c>
    </row>
    <row r="56" spans="2:7">
      <c r="B56" s="138" t="s">
        <v>387</v>
      </c>
      <c r="C56" s="138" t="s">
        <v>425</v>
      </c>
      <c r="D56" s="138" t="s">
        <v>472</v>
      </c>
      <c r="E56" s="142">
        <v>50</v>
      </c>
      <c r="F56" s="142">
        <v>0</v>
      </c>
      <c r="G56" s="142">
        <v>0</v>
      </c>
    </row>
    <row r="57" spans="2:7">
      <c r="B57" s="138" t="s">
        <v>388</v>
      </c>
      <c r="C57" s="138" t="s">
        <v>426</v>
      </c>
      <c r="D57" s="138" t="s">
        <v>473</v>
      </c>
      <c r="E57" s="142">
        <v>51</v>
      </c>
      <c r="F57" s="142">
        <v>0</v>
      </c>
      <c r="G57" s="142">
        <v>0</v>
      </c>
    </row>
    <row r="58" spans="2:7">
      <c r="B58" s="138" t="s">
        <v>389</v>
      </c>
      <c r="C58" s="138" t="s">
        <v>427</v>
      </c>
      <c r="D58" s="138" t="s">
        <v>474</v>
      </c>
      <c r="E58" s="142">
        <v>52</v>
      </c>
      <c r="F58" s="142">
        <v>0</v>
      </c>
      <c r="G58" s="142">
        <v>0</v>
      </c>
    </row>
    <row r="59" spans="2:7">
      <c r="B59" s="138" t="s">
        <v>285</v>
      </c>
      <c r="C59" s="138" t="s">
        <v>356</v>
      </c>
      <c r="D59" s="138" t="s">
        <v>475</v>
      </c>
      <c r="E59" s="142">
        <v>53</v>
      </c>
      <c r="F59" s="142">
        <v>0</v>
      </c>
      <c r="G59" s="142">
        <v>0</v>
      </c>
    </row>
    <row r="60" spans="2:7">
      <c r="B60" s="138" t="s">
        <v>286</v>
      </c>
      <c r="C60" s="138" t="s">
        <v>238</v>
      </c>
      <c r="D60" s="138" t="s">
        <v>476</v>
      </c>
      <c r="E60" s="142">
        <v>54</v>
      </c>
      <c r="F60" s="142">
        <v>0</v>
      </c>
      <c r="G60" s="142">
        <v>0</v>
      </c>
    </row>
    <row r="61" spans="2:7">
      <c r="B61" s="138" t="s">
        <v>287</v>
      </c>
      <c r="C61" s="138" t="s">
        <v>239</v>
      </c>
      <c r="D61" s="138" t="s">
        <v>477</v>
      </c>
      <c r="E61" s="142">
        <v>55</v>
      </c>
      <c r="F61" s="142">
        <v>0</v>
      </c>
      <c r="G61" s="142">
        <v>0</v>
      </c>
    </row>
    <row r="62" spans="2:7">
      <c r="B62" s="138" t="s">
        <v>288</v>
      </c>
      <c r="C62" s="138" t="s">
        <v>358</v>
      </c>
      <c r="D62" s="138" t="s">
        <v>358</v>
      </c>
      <c r="E62" s="142">
        <v>56</v>
      </c>
      <c r="F62" s="142">
        <v>0</v>
      </c>
      <c r="G62" s="142">
        <v>0</v>
      </c>
    </row>
    <row r="63" spans="2:7">
      <c r="B63" s="138" t="s">
        <v>289</v>
      </c>
      <c r="C63" s="138" t="s">
        <v>240</v>
      </c>
      <c r="D63" s="138" t="s">
        <v>240</v>
      </c>
      <c r="E63" s="142">
        <v>57</v>
      </c>
      <c r="F63" s="142">
        <v>0</v>
      </c>
      <c r="G63" s="142">
        <v>0</v>
      </c>
    </row>
    <row r="64" spans="2:7">
      <c r="B64" s="138" t="s">
        <v>290</v>
      </c>
      <c r="C64" s="138" t="s">
        <v>241</v>
      </c>
      <c r="D64" s="138" t="s">
        <v>241</v>
      </c>
      <c r="E64" s="142">
        <v>58</v>
      </c>
      <c r="F64" s="142">
        <v>0</v>
      </c>
      <c r="G64" s="142">
        <v>0</v>
      </c>
    </row>
    <row r="65" spans="2:7">
      <c r="B65" s="138" t="s">
        <v>362</v>
      </c>
      <c r="C65" s="138" t="s">
        <v>359</v>
      </c>
      <c r="D65" s="138" t="s">
        <v>359</v>
      </c>
      <c r="E65" s="142">
        <v>59</v>
      </c>
      <c r="F65" s="142">
        <v>0</v>
      </c>
      <c r="G65" s="142">
        <v>0</v>
      </c>
    </row>
    <row r="66" spans="2:7">
      <c r="B66" s="138" t="s">
        <v>363</v>
      </c>
      <c r="C66" s="138" t="s">
        <v>360</v>
      </c>
      <c r="D66" s="138" t="s">
        <v>360</v>
      </c>
      <c r="E66" s="142">
        <v>60</v>
      </c>
      <c r="F66" s="142">
        <v>0</v>
      </c>
      <c r="G66" s="142">
        <v>0</v>
      </c>
    </row>
    <row r="67" spans="2:7">
      <c r="B67" s="138" t="s">
        <v>364</v>
      </c>
      <c r="C67" s="138" t="s">
        <v>361</v>
      </c>
      <c r="D67" s="138" t="s">
        <v>361</v>
      </c>
      <c r="E67" s="142">
        <v>61</v>
      </c>
      <c r="F67" s="142">
        <v>0</v>
      </c>
      <c r="G67" s="142">
        <v>0</v>
      </c>
    </row>
    <row r="68" spans="2:7">
      <c r="B68" s="138" t="s">
        <v>368</v>
      </c>
      <c r="C68" s="138" t="s">
        <v>365</v>
      </c>
      <c r="D68" s="138" t="s">
        <v>515</v>
      </c>
      <c r="E68" s="142">
        <v>62</v>
      </c>
      <c r="F68" s="142">
        <v>0</v>
      </c>
      <c r="G68" s="142">
        <v>0</v>
      </c>
    </row>
    <row r="69" spans="2:7">
      <c r="B69" s="138" t="s">
        <v>369</v>
      </c>
      <c r="C69" s="138" t="s">
        <v>366</v>
      </c>
      <c r="D69" s="138" t="s">
        <v>516</v>
      </c>
      <c r="E69" s="142">
        <v>63</v>
      </c>
      <c r="F69" s="142">
        <v>0</v>
      </c>
      <c r="G69" s="142">
        <v>0</v>
      </c>
    </row>
    <row r="70" spans="2:7">
      <c r="B70" s="138" t="s">
        <v>370</v>
      </c>
      <c r="C70" s="138" t="s">
        <v>367</v>
      </c>
      <c r="D70" s="138" t="s">
        <v>517</v>
      </c>
      <c r="E70" s="142">
        <v>64</v>
      </c>
      <c r="F70" s="142">
        <v>0</v>
      </c>
      <c r="G70" s="142">
        <v>0</v>
      </c>
    </row>
    <row r="71" spans="2:7">
      <c r="B71" s="138" t="s">
        <v>309</v>
      </c>
      <c r="C71" s="138" t="s">
        <v>404</v>
      </c>
      <c r="D71" s="138" t="s">
        <v>518</v>
      </c>
      <c r="E71" s="142">
        <v>65</v>
      </c>
      <c r="F71" s="142">
        <v>0</v>
      </c>
      <c r="G71" s="142">
        <v>0</v>
      </c>
    </row>
    <row r="72" spans="2:7">
      <c r="B72" s="138" t="s">
        <v>310</v>
      </c>
      <c r="C72" s="138" t="s">
        <v>258</v>
      </c>
      <c r="D72" s="138" t="s">
        <v>519</v>
      </c>
      <c r="E72" s="142">
        <v>66</v>
      </c>
      <c r="F72" s="142">
        <v>0</v>
      </c>
      <c r="G72" s="142">
        <v>0</v>
      </c>
    </row>
    <row r="73" spans="2:7">
      <c r="B73" s="138" t="s">
        <v>311</v>
      </c>
      <c r="C73" s="138" t="s">
        <v>428</v>
      </c>
      <c r="D73" s="138" t="s">
        <v>478</v>
      </c>
      <c r="E73" s="142">
        <v>67</v>
      </c>
      <c r="F73" s="142">
        <v>0</v>
      </c>
      <c r="G73" s="142">
        <v>0</v>
      </c>
    </row>
    <row r="74" spans="2:7">
      <c r="B74" s="138" t="s">
        <v>390</v>
      </c>
      <c r="C74" s="138" t="s">
        <v>429</v>
      </c>
      <c r="D74" s="138" t="s">
        <v>520</v>
      </c>
      <c r="E74" s="142">
        <v>68</v>
      </c>
      <c r="F74" s="142">
        <v>0</v>
      </c>
      <c r="G74" s="142">
        <v>0</v>
      </c>
    </row>
    <row r="75" spans="2:7">
      <c r="B75" s="138" t="s">
        <v>391</v>
      </c>
      <c r="C75" s="138" t="s">
        <v>430</v>
      </c>
      <c r="D75" s="138" t="s">
        <v>521</v>
      </c>
      <c r="E75" s="142">
        <v>69</v>
      </c>
      <c r="F75" s="142">
        <v>0</v>
      </c>
      <c r="G75" s="142">
        <v>0</v>
      </c>
    </row>
    <row r="76" spans="2:7">
      <c r="B76" s="138" t="s">
        <v>392</v>
      </c>
      <c r="C76" s="138" t="s">
        <v>431</v>
      </c>
      <c r="D76" s="138" t="s">
        <v>522</v>
      </c>
      <c r="E76" s="142">
        <v>70</v>
      </c>
      <c r="F76" s="142">
        <v>0</v>
      </c>
      <c r="G76" s="142">
        <v>0</v>
      </c>
    </row>
    <row r="77" spans="2:7">
      <c r="B77" s="138" t="s">
        <v>393</v>
      </c>
      <c r="C77" s="138" t="s">
        <v>432</v>
      </c>
      <c r="D77" s="138" t="s">
        <v>523</v>
      </c>
      <c r="E77" s="142">
        <v>71</v>
      </c>
      <c r="F77" s="142">
        <v>0</v>
      </c>
      <c r="G77" s="142">
        <v>0</v>
      </c>
    </row>
    <row r="78" spans="2:7">
      <c r="B78" s="138" t="s">
        <v>394</v>
      </c>
      <c r="C78" s="138" t="s">
        <v>433</v>
      </c>
      <c r="D78" s="138" t="s">
        <v>524</v>
      </c>
      <c r="E78" s="142">
        <v>72</v>
      </c>
      <c r="F78" s="142">
        <v>0</v>
      </c>
      <c r="G78" s="142">
        <v>0</v>
      </c>
    </row>
    <row r="79" spans="2:7">
      <c r="B79" s="138" t="s">
        <v>395</v>
      </c>
      <c r="C79" s="138" t="s">
        <v>434</v>
      </c>
      <c r="D79" s="138" t="s">
        <v>525</v>
      </c>
      <c r="E79" s="142">
        <v>73</v>
      </c>
      <c r="F79" s="142">
        <v>0</v>
      </c>
      <c r="G79" s="142">
        <v>0</v>
      </c>
    </row>
    <row r="80" spans="2:7">
      <c r="B80" s="138" t="s">
        <v>312</v>
      </c>
      <c r="C80" s="138" t="s">
        <v>435</v>
      </c>
      <c r="D80" s="138" t="s">
        <v>479</v>
      </c>
      <c r="E80" s="142">
        <v>74</v>
      </c>
      <c r="F80" s="142">
        <v>0</v>
      </c>
      <c r="G80" s="142">
        <v>0</v>
      </c>
    </row>
    <row r="81" spans="2:7">
      <c r="B81" s="138" t="s">
        <v>313</v>
      </c>
      <c r="C81" s="138" t="s">
        <v>436</v>
      </c>
      <c r="D81" s="138" t="s">
        <v>480</v>
      </c>
      <c r="E81" s="142">
        <v>75</v>
      </c>
      <c r="F81" s="142">
        <v>0</v>
      </c>
      <c r="G81" s="142">
        <v>0</v>
      </c>
    </row>
    <row r="82" spans="2:7">
      <c r="B82" s="138" t="s">
        <v>314</v>
      </c>
      <c r="C82" s="138" t="s">
        <v>437</v>
      </c>
      <c r="D82" s="138" t="s">
        <v>437</v>
      </c>
      <c r="E82" s="142">
        <v>76</v>
      </c>
      <c r="F82" s="142">
        <v>0</v>
      </c>
      <c r="G82" s="142">
        <v>0</v>
      </c>
    </row>
    <row r="83" spans="2:7">
      <c r="B83" s="138" t="s">
        <v>315</v>
      </c>
      <c r="C83" s="138" t="s">
        <v>964</v>
      </c>
      <c r="D83" s="138" t="s">
        <v>438</v>
      </c>
      <c r="E83" s="142">
        <v>77</v>
      </c>
      <c r="F83" s="142">
        <v>0</v>
      </c>
      <c r="G83" s="142">
        <v>0</v>
      </c>
    </row>
    <row r="84" spans="2:7">
      <c r="B84" s="138" t="s">
        <v>293</v>
      </c>
      <c r="C84" s="138" t="s">
        <v>242</v>
      </c>
      <c r="D84" s="322" t="s">
        <v>481</v>
      </c>
      <c r="E84" s="142">
        <v>78</v>
      </c>
      <c r="F84" s="142">
        <v>1</v>
      </c>
      <c r="G84" s="142">
        <v>1</v>
      </c>
    </row>
    <row r="85" spans="2:7">
      <c r="B85" s="138" t="s">
        <v>294</v>
      </c>
      <c r="C85" s="138" t="s">
        <v>243</v>
      </c>
      <c r="D85" s="322" t="s">
        <v>526</v>
      </c>
      <c r="E85" s="142">
        <v>79</v>
      </c>
      <c r="F85" s="142">
        <v>1</v>
      </c>
      <c r="G85" s="142">
        <v>1</v>
      </c>
    </row>
    <row r="86" spans="2:7">
      <c r="B86" s="138" t="s">
        <v>322</v>
      </c>
      <c r="C86" s="138" t="s">
        <v>439</v>
      </c>
      <c r="D86" s="322" t="s">
        <v>527</v>
      </c>
      <c r="E86" s="142">
        <v>80</v>
      </c>
      <c r="F86" s="142">
        <v>1</v>
      </c>
      <c r="G86" s="142">
        <v>1</v>
      </c>
    </row>
    <row r="87" spans="2:7">
      <c r="B87" s="138" t="s">
        <v>295</v>
      </c>
      <c r="C87" s="138" t="s">
        <v>244</v>
      </c>
      <c r="D87" s="322" t="s">
        <v>482</v>
      </c>
      <c r="E87" s="142">
        <v>81</v>
      </c>
      <c r="F87" s="142">
        <v>0</v>
      </c>
      <c r="G87" s="142">
        <v>0</v>
      </c>
    </row>
    <row r="88" spans="2:7">
      <c r="B88" s="138" t="s">
        <v>296</v>
      </c>
      <c r="C88" s="138" t="s">
        <v>245</v>
      </c>
      <c r="D88" s="322" t="s">
        <v>483</v>
      </c>
      <c r="E88" s="142">
        <v>82</v>
      </c>
      <c r="F88" s="142">
        <v>0</v>
      </c>
      <c r="G88" s="142">
        <v>0</v>
      </c>
    </row>
    <row r="89" spans="2:7">
      <c r="B89" s="138" t="s">
        <v>398</v>
      </c>
      <c r="C89" s="138" t="s">
        <v>396</v>
      </c>
      <c r="D89" s="322" t="s">
        <v>484</v>
      </c>
      <c r="E89" s="142">
        <v>83</v>
      </c>
      <c r="F89" s="142">
        <v>0</v>
      </c>
      <c r="G89" s="142">
        <v>0</v>
      </c>
    </row>
    <row r="90" spans="2:7">
      <c r="B90" s="138" t="s">
        <v>399</v>
      </c>
      <c r="C90" s="138" t="s">
        <v>397</v>
      </c>
      <c r="D90" s="322" t="s">
        <v>485</v>
      </c>
      <c r="E90" s="142">
        <v>84</v>
      </c>
      <c r="F90" s="142">
        <v>0</v>
      </c>
      <c r="G90" s="142">
        <v>0</v>
      </c>
    </row>
    <row r="91" spans="2:7">
      <c r="B91" s="138" t="s">
        <v>291</v>
      </c>
      <c r="C91" s="138" t="s">
        <v>406</v>
      </c>
      <c r="D91" s="138" t="s">
        <v>486</v>
      </c>
      <c r="E91" s="142">
        <v>85</v>
      </c>
      <c r="F91" s="142">
        <v>0</v>
      </c>
      <c r="G91" s="142">
        <v>0</v>
      </c>
    </row>
    <row r="92" spans="2:7">
      <c r="B92" s="138" t="s">
        <v>292</v>
      </c>
      <c r="C92" s="138" t="s">
        <v>440</v>
      </c>
      <c r="D92" s="138" t="s">
        <v>487</v>
      </c>
      <c r="E92" s="142">
        <v>86</v>
      </c>
      <c r="F92" s="142">
        <v>0</v>
      </c>
      <c r="G92" s="142">
        <v>0</v>
      </c>
    </row>
    <row r="93" spans="2:7">
      <c r="B93" s="138" t="s">
        <v>297</v>
      </c>
      <c r="C93" s="138" t="s">
        <v>246</v>
      </c>
      <c r="D93" s="138" t="s">
        <v>488</v>
      </c>
      <c r="E93" s="142">
        <v>87</v>
      </c>
      <c r="F93" s="142">
        <v>0</v>
      </c>
      <c r="G93" s="142">
        <v>0</v>
      </c>
    </row>
    <row r="94" spans="2:7">
      <c r="B94" s="138" t="s">
        <v>298</v>
      </c>
      <c r="C94" s="138" t="s">
        <v>247</v>
      </c>
      <c r="D94" s="138" t="s">
        <v>489</v>
      </c>
      <c r="E94" s="142">
        <v>88</v>
      </c>
      <c r="F94" s="142">
        <v>0</v>
      </c>
      <c r="G94" s="142">
        <v>0</v>
      </c>
    </row>
    <row r="95" spans="2:7">
      <c r="B95" s="138" t="s">
        <v>299</v>
      </c>
      <c r="C95" s="138" t="s">
        <v>248</v>
      </c>
      <c r="D95" s="138" t="s">
        <v>490</v>
      </c>
      <c r="E95" s="142">
        <v>89</v>
      </c>
      <c r="F95" s="142">
        <v>0</v>
      </c>
      <c r="G95" s="142">
        <v>0</v>
      </c>
    </row>
    <row r="96" spans="2:7">
      <c r="B96" s="138" t="s">
        <v>300</v>
      </c>
      <c r="C96" s="138" t="s">
        <v>375</v>
      </c>
      <c r="D96" s="138" t="s">
        <v>491</v>
      </c>
      <c r="E96" s="142">
        <v>90</v>
      </c>
      <c r="F96" s="142">
        <v>0</v>
      </c>
      <c r="G96" s="142">
        <v>0</v>
      </c>
    </row>
    <row r="97" spans="2:7">
      <c r="B97" s="138" t="s">
        <v>301</v>
      </c>
      <c r="C97" s="138" t="s">
        <v>249</v>
      </c>
      <c r="D97" s="138" t="s">
        <v>492</v>
      </c>
      <c r="E97" s="142">
        <v>91</v>
      </c>
      <c r="F97" s="142">
        <v>0</v>
      </c>
      <c r="G97" s="142">
        <v>0</v>
      </c>
    </row>
    <row r="98" spans="2:7">
      <c r="B98" s="138" t="s">
        <v>372</v>
      </c>
      <c r="C98" s="138" t="s">
        <v>374</v>
      </c>
      <c r="D98" s="138" t="s">
        <v>493</v>
      </c>
      <c r="E98" s="142">
        <v>92</v>
      </c>
      <c r="F98" s="142">
        <v>0</v>
      </c>
      <c r="G98" s="142">
        <v>0</v>
      </c>
    </row>
    <row r="99" spans="2:7">
      <c r="B99" s="138" t="s">
        <v>373</v>
      </c>
      <c r="C99" s="138" t="s">
        <v>371</v>
      </c>
      <c r="D99" s="138" t="s">
        <v>494</v>
      </c>
      <c r="E99" s="142">
        <v>93</v>
      </c>
      <c r="F99" s="142">
        <v>0</v>
      </c>
      <c r="G99" s="142">
        <v>0</v>
      </c>
    </row>
    <row r="100" spans="2:7">
      <c r="B100" s="138" t="s">
        <v>302</v>
      </c>
      <c r="C100" s="138" t="s">
        <v>250</v>
      </c>
      <c r="D100" s="138" t="s">
        <v>495</v>
      </c>
      <c r="E100" s="142">
        <v>94</v>
      </c>
      <c r="F100" s="142">
        <v>0</v>
      </c>
      <c r="G100" s="142">
        <v>0</v>
      </c>
    </row>
    <row r="101" spans="2:7">
      <c r="B101" s="138" t="s">
        <v>303</v>
      </c>
      <c r="C101" s="138" t="s">
        <v>441</v>
      </c>
      <c r="D101" s="138" t="s">
        <v>496</v>
      </c>
      <c r="E101" s="142">
        <v>95</v>
      </c>
      <c r="F101" s="142">
        <v>0</v>
      </c>
      <c r="G101" s="142">
        <v>0</v>
      </c>
    </row>
    <row r="102" spans="2:7">
      <c r="B102" s="138" t="s">
        <v>304</v>
      </c>
      <c r="C102" s="138" t="s">
        <v>251</v>
      </c>
      <c r="D102" s="138" t="s">
        <v>497</v>
      </c>
      <c r="E102" s="142">
        <v>96</v>
      </c>
      <c r="F102" s="142">
        <v>0</v>
      </c>
      <c r="G102" s="142">
        <v>0</v>
      </c>
    </row>
    <row r="103" spans="2:7">
      <c r="B103" s="138" t="s">
        <v>305</v>
      </c>
      <c r="C103" s="138" t="s">
        <v>252</v>
      </c>
      <c r="D103" s="138" t="s">
        <v>498</v>
      </c>
      <c r="E103" s="142">
        <v>97</v>
      </c>
      <c r="F103" s="142">
        <v>0</v>
      </c>
      <c r="G103" s="142">
        <v>0</v>
      </c>
    </row>
    <row r="104" spans="2:7">
      <c r="B104" s="138" t="s">
        <v>306</v>
      </c>
      <c r="C104" s="138" t="s">
        <v>253</v>
      </c>
      <c r="D104" s="138" t="s">
        <v>499</v>
      </c>
      <c r="E104" s="142">
        <v>98</v>
      </c>
      <c r="F104" s="142">
        <v>0</v>
      </c>
      <c r="G104" s="142">
        <v>0</v>
      </c>
    </row>
    <row r="105" spans="2:7">
      <c r="B105" s="138" t="s">
        <v>377</v>
      </c>
      <c r="C105" s="138" t="s">
        <v>376</v>
      </c>
      <c r="D105" s="138" t="s">
        <v>378</v>
      </c>
      <c r="E105" s="142">
        <v>99</v>
      </c>
      <c r="F105" s="142">
        <v>0</v>
      </c>
      <c r="G105" s="142">
        <v>0</v>
      </c>
    </row>
    <row r="106" spans="2:7">
      <c r="B106" s="138" t="s">
        <v>380</v>
      </c>
      <c r="C106" s="138" t="s">
        <v>379</v>
      </c>
      <c r="D106" s="138" t="s">
        <v>382</v>
      </c>
      <c r="E106" s="142">
        <v>100</v>
      </c>
      <c r="F106" s="142">
        <v>0</v>
      </c>
      <c r="G106" s="142">
        <v>0</v>
      </c>
    </row>
    <row r="107" spans="2:7">
      <c r="B107" s="138" t="s">
        <v>381</v>
      </c>
      <c r="C107" s="138" t="s">
        <v>379</v>
      </c>
      <c r="D107" s="138" t="s">
        <v>383</v>
      </c>
      <c r="E107" s="142">
        <v>101</v>
      </c>
      <c r="F107" s="142">
        <v>0</v>
      </c>
      <c r="G107" s="142">
        <v>0</v>
      </c>
    </row>
    <row r="108" spans="2:7">
      <c r="B108" s="138" t="s">
        <v>308</v>
      </c>
      <c r="C108" s="138" t="s">
        <v>255</v>
      </c>
      <c r="D108" s="138" t="s">
        <v>500</v>
      </c>
      <c r="E108" s="142">
        <v>102</v>
      </c>
      <c r="F108" s="142">
        <v>0</v>
      </c>
      <c r="G108" s="142">
        <v>0</v>
      </c>
    </row>
    <row r="109" spans="2:7">
      <c r="B109" s="138" t="s">
        <v>529</v>
      </c>
      <c r="C109" s="138" t="s">
        <v>256</v>
      </c>
      <c r="D109" s="138" t="s">
        <v>256</v>
      </c>
      <c r="E109" s="142">
        <v>103</v>
      </c>
      <c r="F109" s="142">
        <v>0</v>
      </c>
      <c r="G109" s="142">
        <v>0</v>
      </c>
    </row>
    <row r="110" spans="2:7">
      <c r="B110" s="138" t="s">
        <v>965</v>
      </c>
      <c r="C110" s="138" t="s">
        <v>401</v>
      </c>
      <c r="D110" s="138" t="s">
        <v>401</v>
      </c>
      <c r="E110" s="142">
        <v>104</v>
      </c>
      <c r="F110" s="142">
        <v>0</v>
      </c>
      <c r="G110" s="142">
        <v>0</v>
      </c>
    </row>
    <row r="111" spans="2:7">
      <c r="B111" s="138" t="s">
        <v>980</v>
      </c>
      <c r="C111" s="138" t="s">
        <v>257</v>
      </c>
      <c r="D111" s="322" t="s">
        <v>501</v>
      </c>
      <c r="E111" s="142">
        <v>105</v>
      </c>
      <c r="F111" s="142">
        <v>0</v>
      </c>
      <c r="G111" s="142">
        <v>0</v>
      </c>
    </row>
    <row r="112" spans="2:7">
      <c r="B112" s="138" t="s">
        <v>316</v>
      </c>
      <c r="C112" s="138" t="s">
        <v>442</v>
      </c>
      <c r="D112" s="138" t="s">
        <v>502</v>
      </c>
      <c r="E112" s="142">
        <v>106</v>
      </c>
      <c r="F112" s="142">
        <v>0</v>
      </c>
      <c r="G112" s="142">
        <v>0</v>
      </c>
    </row>
    <row r="113" spans="2:7">
      <c r="B113" s="138" t="s">
        <v>317</v>
      </c>
      <c r="C113" s="138" t="s">
        <v>443</v>
      </c>
      <c r="D113" s="138" t="s">
        <v>503</v>
      </c>
      <c r="E113" s="142">
        <v>107</v>
      </c>
      <c r="F113" s="142">
        <v>0</v>
      </c>
      <c r="G113" s="142">
        <v>0</v>
      </c>
    </row>
    <row r="114" spans="2:7">
      <c r="B114" s="138" t="s">
        <v>318</v>
      </c>
      <c r="C114" s="138" t="s">
        <v>444</v>
      </c>
      <c r="D114" s="138" t="s">
        <v>504</v>
      </c>
      <c r="E114" s="142">
        <v>108</v>
      </c>
      <c r="F114" s="142">
        <v>0</v>
      </c>
      <c r="G114" s="142">
        <v>0</v>
      </c>
    </row>
    <row r="115" spans="2:7">
      <c r="B115" s="138" t="s">
        <v>319</v>
      </c>
      <c r="C115" s="138" t="s">
        <v>445</v>
      </c>
      <c r="D115" s="138" t="s">
        <v>445</v>
      </c>
      <c r="E115" s="142">
        <v>109</v>
      </c>
      <c r="F115" s="142">
        <v>0</v>
      </c>
      <c r="G115" s="142">
        <v>0</v>
      </c>
    </row>
    <row r="116" spans="2:7">
      <c r="B116" s="138" t="s">
        <v>320</v>
      </c>
      <c r="C116" s="138" t="s">
        <v>446</v>
      </c>
      <c r="D116" s="138" t="s">
        <v>505</v>
      </c>
      <c r="E116" s="142">
        <v>110</v>
      </c>
      <c r="F116" s="142">
        <v>0</v>
      </c>
      <c r="G116" s="142">
        <v>0</v>
      </c>
    </row>
    <row r="117" spans="2:7">
      <c r="B117" s="138" t="s">
        <v>553</v>
      </c>
      <c r="C117" s="138" t="s">
        <v>555</v>
      </c>
      <c r="D117" s="138" t="s">
        <v>506</v>
      </c>
      <c r="E117" s="142">
        <v>111</v>
      </c>
      <c r="F117" s="142">
        <v>0</v>
      </c>
      <c r="G117" s="142">
        <v>0</v>
      </c>
    </row>
    <row r="118" spans="2:7">
      <c r="B118" s="138" t="s">
        <v>560</v>
      </c>
      <c r="C118" s="60" t="s">
        <v>556</v>
      </c>
      <c r="D118" s="138" t="s">
        <v>558</v>
      </c>
      <c r="E118" s="142">
        <v>112</v>
      </c>
      <c r="F118" s="142">
        <v>0</v>
      </c>
      <c r="G118" s="142">
        <v>0</v>
      </c>
    </row>
    <row r="119" spans="2:7">
      <c r="B119" s="138" t="s">
        <v>554</v>
      </c>
      <c r="C119" s="60" t="s">
        <v>557</v>
      </c>
      <c r="D119" s="138" t="s">
        <v>559</v>
      </c>
      <c r="E119" s="142">
        <v>113</v>
      </c>
      <c r="F119" s="142">
        <v>0</v>
      </c>
      <c r="G119" s="142">
        <v>0</v>
      </c>
    </row>
    <row r="120" spans="2:7">
      <c r="B120" s="138" t="s">
        <v>321</v>
      </c>
      <c r="C120" s="138" t="s">
        <v>447</v>
      </c>
      <c r="D120" s="138" t="s">
        <v>447</v>
      </c>
      <c r="E120" s="142">
        <v>114</v>
      </c>
      <c r="F120" s="142">
        <v>0</v>
      </c>
      <c r="G120" s="142">
        <v>0</v>
      </c>
    </row>
    <row r="121" spans="2:7">
      <c r="B121" s="138" t="s">
        <v>324</v>
      </c>
      <c r="C121" s="138" t="s">
        <v>448</v>
      </c>
      <c r="D121" s="138" t="s">
        <v>448</v>
      </c>
      <c r="E121" s="142">
        <v>115</v>
      </c>
      <c r="F121" s="142">
        <v>0</v>
      </c>
      <c r="G121" s="142">
        <v>0</v>
      </c>
    </row>
    <row r="122" spans="2:7">
      <c r="B122" s="190" t="s">
        <v>578</v>
      </c>
      <c r="C122" s="190" t="s">
        <v>571</v>
      </c>
      <c r="D122" s="190" t="s">
        <v>571</v>
      </c>
      <c r="E122" s="142">
        <v>116</v>
      </c>
      <c r="F122" s="142">
        <v>1</v>
      </c>
      <c r="G122" s="142">
        <v>1</v>
      </c>
    </row>
    <row r="123" spans="2:7">
      <c r="B123" s="190" t="s">
        <v>577</v>
      </c>
      <c r="C123" s="306" t="s">
        <v>572</v>
      </c>
      <c r="D123" s="323" t="s">
        <v>572</v>
      </c>
      <c r="E123" s="142">
        <v>117</v>
      </c>
      <c r="F123" s="142">
        <v>0</v>
      </c>
      <c r="G123" s="142">
        <v>0</v>
      </c>
    </row>
    <row r="124" spans="2:7">
      <c r="B124" s="190" t="s">
        <v>579</v>
      </c>
      <c r="C124" s="306" t="s">
        <v>573</v>
      </c>
      <c r="D124" s="323" t="s">
        <v>573</v>
      </c>
      <c r="E124" s="142">
        <v>118</v>
      </c>
      <c r="F124" s="142">
        <v>0</v>
      </c>
      <c r="G124" s="142">
        <v>0</v>
      </c>
    </row>
    <row r="125" spans="2:7">
      <c r="B125" s="190" t="s">
        <v>580</v>
      </c>
      <c r="C125" s="306" t="s">
        <v>574</v>
      </c>
      <c r="D125" s="306" t="s">
        <v>574</v>
      </c>
      <c r="E125" s="142">
        <v>119</v>
      </c>
      <c r="F125" s="142">
        <v>1</v>
      </c>
      <c r="G125" s="142">
        <v>1</v>
      </c>
    </row>
    <row r="126" spans="2:7">
      <c r="B126" s="190" t="s">
        <v>581</v>
      </c>
      <c r="C126" s="306" t="s">
        <v>575</v>
      </c>
      <c r="D126" s="323" t="s">
        <v>575</v>
      </c>
      <c r="E126" s="142">
        <v>120</v>
      </c>
      <c r="F126" s="142">
        <v>0</v>
      </c>
      <c r="G126" s="142">
        <v>0</v>
      </c>
    </row>
    <row r="127" spans="2:7">
      <c r="B127" s="190" t="s">
        <v>582</v>
      </c>
      <c r="C127" s="306" t="s">
        <v>576</v>
      </c>
      <c r="D127" s="323" t="s">
        <v>576</v>
      </c>
      <c r="E127" s="142">
        <v>121</v>
      </c>
      <c r="F127" s="142">
        <v>0</v>
      </c>
      <c r="G127" s="142">
        <v>0</v>
      </c>
    </row>
    <row r="128" spans="2:7">
      <c r="B128" s="190" t="s">
        <v>595</v>
      </c>
      <c r="C128" s="306" t="s">
        <v>594</v>
      </c>
      <c r="D128" s="308" t="s">
        <v>594</v>
      </c>
      <c r="E128" s="142">
        <v>122</v>
      </c>
      <c r="F128" s="142">
        <v>1</v>
      </c>
      <c r="G128" s="142">
        <v>1</v>
      </c>
    </row>
    <row r="129" spans="2:7">
      <c r="B129" s="190" t="s">
        <v>612</v>
      </c>
      <c r="C129" s="306" t="s">
        <v>613</v>
      </c>
      <c r="D129" s="306" t="s">
        <v>613</v>
      </c>
      <c r="E129" s="142">
        <v>123</v>
      </c>
      <c r="F129" s="142">
        <v>0</v>
      </c>
      <c r="G129" s="142">
        <v>0</v>
      </c>
    </row>
    <row r="130" spans="2:7">
      <c r="B130" s="190" t="s">
        <v>616</v>
      </c>
      <c r="C130" s="306" t="s">
        <v>617</v>
      </c>
      <c r="D130" s="306" t="s">
        <v>617</v>
      </c>
      <c r="E130" s="142">
        <v>124</v>
      </c>
      <c r="F130" s="142">
        <v>0</v>
      </c>
      <c r="G130" s="142">
        <v>0</v>
      </c>
    </row>
    <row r="131" spans="2:7">
      <c r="B131" s="190" t="s">
        <v>614</v>
      </c>
      <c r="C131" s="306" t="s">
        <v>615</v>
      </c>
      <c r="D131" s="306" t="s">
        <v>615</v>
      </c>
      <c r="E131" s="142">
        <v>125</v>
      </c>
      <c r="F131" s="142">
        <v>0</v>
      </c>
      <c r="G131" s="142">
        <v>0</v>
      </c>
    </row>
    <row r="132" spans="2:7">
      <c r="B132" s="202" t="s">
        <v>627</v>
      </c>
      <c r="C132" s="307" t="s">
        <v>626</v>
      </c>
      <c r="D132" s="307" t="s">
        <v>626</v>
      </c>
      <c r="E132" s="142">
        <v>126</v>
      </c>
      <c r="F132" s="142">
        <v>0</v>
      </c>
      <c r="G132" s="142">
        <v>0</v>
      </c>
    </row>
    <row r="133" spans="2:7">
      <c r="B133" s="190" t="s">
        <v>633</v>
      </c>
      <c r="C133" s="237" t="s">
        <v>634</v>
      </c>
      <c r="D133" s="308" t="s">
        <v>635</v>
      </c>
      <c r="E133" s="142">
        <v>127</v>
      </c>
      <c r="F133" s="142">
        <v>0</v>
      </c>
      <c r="G133" s="142">
        <v>0</v>
      </c>
    </row>
    <row r="134" spans="2:7">
      <c r="B134" s="190" t="s">
        <v>861</v>
      </c>
      <c r="C134" s="237" t="s">
        <v>637</v>
      </c>
      <c r="D134" s="237" t="s">
        <v>636</v>
      </c>
      <c r="E134" s="142">
        <v>128</v>
      </c>
      <c r="F134" s="142">
        <v>0</v>
      </c>
      <c r="G134" s="142">
        <v>0</v>
      </c>
    </row>
    <row r="135" spans="2:7">
      <c r="B135" s="190" t="s">
        <v>648</v>
      </c>
      <c r="C135" s="237" t="s">
        <v>638</v>
      </c>
      <c r="D135" s="308" t="s">
        <v>638</v>
      </c>
      <c r="E135" s="142">
        <v>129</v>
      </c>
      <c r="F135" s="142">
        <v>0</v>
      </c>
      <c r="G135" s="142">
        <v>0</v>
      </c>
    </row>
    <row r="136" spans="2:7">
      <c r="B136" s="190" t="s">
        <v>649</v>
      </c>
      <c r="C136" s="237" t="s">
        <v>639</v>
      </c>
      <c r="D136" s="308" t="s">
        <v>639</v>
      </c>
      <c r="E136" s="142">
        <v>130</v>
      </c>
      <c r="F136" s="142">
        <v>0</v>
      </c>
      <c r="G136" s="142">
        <v>0</v>
      </c>
    </row>
    <row r="137" spans="2:7">
      <c r="B137" s="190" t="s">
        <v>650</v>
      </c>
      <c r="C137" s="237" t="s">
        <v>640</v>
      </c>
      <c r="D137" s="308" t="s">
        <v>644</v>
      </c>
      <c r="E137" s="142">
        <v>131</v>
      </c>
      <c r="F137" s="142">
        <v>0</v>
      </c>
      <c r="G137" s="142">
        <v>0</v>
      </c>
    </row>
    <row r="138" spans="2:7">
      <c r="B138" s="190" t="s">
        <v>651</v>
      </c>
      <c r="C138" s="237" t="s">
        <v>641</v>
      </c>
      <c r="D138" s="308" t="s">
        <v>645</v>
      </c>
      <c r="E138" s="142">
        <v>132</v>
      </c>
      <c r="F138" s="142">
        <v>0</v>
      </c>
      <c r="G138" s="142">
        <v>0</v>
      </c>
    </row>
    <row r="139" spans="2:7">
      <c r="B139" s="190" t="s">
        <v>652</v>
      </c>
      <c r="C139" s="237" t="s">
        <v>642</v>
      </c>
      <c r="D139" s="308" t="s">
        <v>646</v>
      </c>
      <c r="E139" s="142">
        <v>133</v>
      </c>
      <c r="F139" s="142">
        <v>0</v>
      </c>
      <c r="G139" s="142">
        <v>0</v>
      </c>
    </row>
    <row r="140" spans="2:7">
      <c r="B140" s="190" t="s">
        <v>653</v>
      </c>
      <c r="C140" s="237" t="s">
        <v>643</v>
      </c>
      <c r="D140" s="308" t="s">
        <v>647</v>
      </c>
      <c r="E140" s="142">
        <v>134</v>
      </c>
      <c r="F140" s="142">
        <v>0</v>
      </c>
      <c r="G140" s="142">
        <v>0</v>
      </c>
    </row>
    <row r="141" spans="2:7">
      <c r="B141" s="190" t="s">
        <v>654</v>
      </c>
      <c r="C141" s="306" t="s">
        <v>656</v>
      </c>
      <c r="D141" s="308" t="s">
        <v>656</v>
      </c>
      <c r="E141" s="142">
        <v>135</v>
      </c>
      <c r="F141" s="142">
        <v>0</v>
      </c>
      <c r="G141" s="142">
        <v>0</v>
      </c>
    </row>
    <row r="142" spans="2:7">
      <c r="B142" s="190" t="s">
        <v>655</v>
      </c>
      <c r="C142" s="138" t="s">
        <v>657</v>
      </c>
      <c r="D142" s="308" t="s">
        <v>657</v>
      </c>
      <c r="E142" s="142">
        <v>136</v>
      </c>
      <c r="F142" s="142">
        <v>0</v>
      </c>
      <c r="G142" s="142">
        <v>0</v>
      </c>
    </row>
    <row r="143" spans="2:7">
      <c r="B143" s="138" t="s">
        <v>860</v>
      </c>
      <c r="C143" s="138" t="s">
        <v>715</v>
      </c>
      <c r="D143" s="138" t="s">
        <v>716</v>
      </c>
      <c r="E143" s="142">
        <v>137</v>
      </c>
      <c r="F143" s="142">
        <v>0</v>
      </c>
      <c r="G143" s="142">
        <v>0</v>
      </c>
    </row>
    <row r="144" spans="2:7">
      <c r="B144" s="138" t="s">
        <v>712</v>
      </c>
      <c r="C144" s="138" t="s">
        <v>713</v>
      </c>
      <c r="D144" s="322" t="s">
        <v>714</v>
      </c>
      <c r="E144" s="142">
        <v>138</v>
      </c>
      <c r="F144" s="142">
        <v>0</v>
      </c>
      <c r="G144" s="142">
        <v>0</v>
      </c>
    </row>
    <row r="145" spans="2:7">
      <c r="B145" s="138" t="s">
        <v>924</v>
      </c>
      <c r="C145" s="237" t="s">
        <v>925</v>
      </c>
      <c r="D145" s="324" t="s">
        <v>922</v>
      </c>
      <c r="E145" s="142">
        <v>139</v>
      </c>
      <c r="F145" s="142">
        <v>0</v>
      </c>
      <c r="G145" s="142">
        <v>0</v>
      </c>
    </row>
    <row r="146" spans="2:7">
      <c r="B146" s="138" t="s">
        <v>927</v>
      </c>
      <c r="C146" s="59" t="s">
        <v>926</v>
      </c>
      <c r="D146" s="190" t="s">
        <v>923</v>
      </c>
      <c r="E146" s="142">
        <v>140</v>
      </c>
      <c r="F146" s="142">
        <v>0</v>
      </c>
      <c r="G146" s="142">
        <v>0</v>
      </c>
    </row>
    <row r="147" spans="2:7">
      <c r="B147" s="138" t="s">
        <v>919</v>
      </c>
      <c r="C147" s="138" t="s">
        <v>920</v>
      </c>
      <c r="D147" s="138" t="s">
        <v>921</v>
      </c>
      <c r="E147" s="142">
        <v>141</v>
      </c>
      <c r="F147" s="142">
        <v>0</v>
      </c>
      <c r="G147" s="142">
        <v>0</v>
      </c>
    </row>
    <row r="148" spans="2:7">
      <c r="B148" s="190" t="s">
        <v>954</v>
      </c>
      <c r="C148" s="190" t="s">
        <v>955</v>
      </c>
      <c r="D148" s="322" t="s">
        <v>956</v>
      </c>
      <c r="E148" s="142">
        <v>142</v>
      </c>
      <c r="F148" s="142">
        <v>0</v>
      </c>
      <c r="G148" s="142">
        <v>0</v>
      </c>
    </row>
    <row r="149" spans="2:7">
      <c r="B149" s="190" t="s">
        <v>957</v>
      </c>
      <c r="C149" s="190" t="s">
        <v>958</v>
      </c>
      <c r="D149" s="322" t="s">
        <v>959</v>
      </c>
      <c r="E149" s="142">
        <v>143</v>
      </c>
      <c r="F149" s="142">
        <v>0</v>
      </c>
      <c r="G149" s="142">
        <v>0</v>
      </c>
    </row>
    <row r="150" spans="2:7">
      <c r="B150" s="138" t="s">
        <v>315</v>
      </c>
      <c r="C150" s="138" t="s">
        <v>952</v>
      </c>
      <c r="D150" s="138" t="s">
        <v>953</v>
      </c>
      <c r="E150" s="142">
        <v>144</v>
      </c>
      <c r="F150" s="142">
        <v>0</v>
      </c>
      <c r="G150" s="142">
        <v>0</v>
      </c>
    </row>
    <row r="151" spans="2:7">
      <c r="B151" s="138" t="s">
        <v>966</v>
      </c>
      <c r="C151" s="138" t="s">
        <v>981</v>
      </c>
      <c r="D151" s="138" t="s">
        <v>967</v>
      </c>
      <c r="E151" s="142">
        <v>145</v>
      </c>
      <c r="F151" s="142">
        <v>0</v>
      </c>
      <c r="G151" s="142">
        <v>0</v>
      </c>
    </row>
    <row r="152" spans="2:7">
      <c r="B152" s="138" t="s">
        <v>968</v>
      </c>
      <c r="C152" s="138" t="s">
        <v>969</v>
      </c>
      <c r="D152" s="138" t="s">
        <v>970</v>
      </c>
      <c r="E152" s="142">
        <v>146</v>
      </c>
      <c r="F152" s="142">
        <v>0</v>
      </c>
      <c r="G152" s="142">
        <v>0</v>
      </c>
    </row>
    <row r="153" spans="2:7">
      <c r="B153" s="190" t="s">
        <v>971</v>
      </c>
      <c r="C153" s="190" t="s">
        <v>972</v>
      </c>
      <c r="D153" s="138" t="s">
        <v>973</v>
      </c>
      <c r="E153" s="142">
        <v>147</v>
      </c>
      <c r="F153" s="142">
        <v>0</v>
      </c>
      <c r="G153" s="142">
        <v>0</v>
      </c>
    </row>
    <row r="154" spans="2:7">
      <c r="B154" s="190" t="s">
        <v>974</v>
      </c>
      <c r="C154" s="190" t="s">
        <v>975</v>
      </c>
      <c r="D154" s="324" t="s">
        <v>976</v>
      </c>
      <c r="E154" s="142">
        <v>148</v>
      </c>
      <c r="F154" s="142">
        <v>0</v>
      </c>
      <c r="G154" s="142">
        <v>0</v>
      </c>
    </row>
    <row r="155" spans="2:7">
      <c r="B155" s="138" t="s">
        <v>982</v>
      </c>
      <c r="C155" s="138" t="s">
        <v>983</v>
      </c>
      <c r="D155" s="324" t="s">
        <v>984</v>
      </c>
      <c r="E155" s="142">
        <v>149</v>
      </c>
      <c r="F155" s="142">
        <v>0</v>
      </c>
      <c r="G155" s="142">
        <v>0</v>
      </c>
    </row>
    <row r="156" spans="2:7">
      <c r="B156" s="138" t="s">
        <v>985</v>
      </c>
      <c r="C156" s="138" t="s">
        <v>986</v>
      </c>
      <c r="D156" s="324" t="s">
        <v>987</v>
      </c>
      <c r="E156" s="142">
        <v>150</v>
      </c>
      <c r="F156" s="142">
        <v>0</v>
      </c>
      <c r="G156" s="142">
        <v>0</v>
      </c>
    </row>
    <row r="157" spans="2:7">
      <c r="B157" s="190" t="s">
        <v>979</v>
      </c>
      <c r="C157" s="190" t="s">
        <v>979</v>
      </c>
      <c r="D157" s="190" t="s">
        <v>979</v>
      </c>
      <c r="E157" s="142">
        <v>151</v>
      </c>
      <c r="F157" s="142">
        <v>0</v>
      </c>
      <c r="G157" s="142">
        <v>0</v>
      </c>
    </row>
    <row r="158" spans="2:7">
      <c r="B158" s="190" t="s">
        <v>988</v>
      </c>
      <c r="C158" s="190" t="s">
        <v>989</v>
      </c>
      <c r="D158" s="190" t="s">
        <v>990</v>
      </c>
      <c r="E158" s="142">
        <v>152</v>
      </c>
      <c r="F158" s="142">
        <v>0</v>
      </c>
      <c r="G158" s="142">
        <v>0</v>
      </c>
    </row>
    <row r="159" spans="2:7">
      <c r="B159" s="138" t="s">
        <v>1011</v>
      </c>
      <c r="C159" s="138" t="s">
        <v>1011</v>
      </c>
      <c r="D159" s="138" t="s">
        <v>994</v>
      </c>
      <c r="E159" s="142">
        <f>E158+1</f>
        <v>153</v>
      </c>
      <c r="F159" s="142">
        <v>0</v>
      </c>
      <c r="G159" s="142">
        <v>0</v>
      </c>
    </row>
    <row r="160" spans="2:7">
      <c r="B160" s="325" t="s">
        <v>1012</v>
      </c>
      <c r="C160" s="325" t="s">
        <v>1013</v>
      </c>
      <c r="D160" s="138" t="s">
        <v>995</v>
      </c>
      <c r="E160" s="142">
        <f t="shared" ref="E160:E175" si="0">E159+1</f>
        <v>154</v>
      </c>
      <c r="F160" s="142">
        <v>0</v>
      </c>
      <c r="G160" s="142">
        <v>0</v>
      </c>
    </row>
    <row r="161" spans="2:7">
      <c r="B161" s="138" t="s">
        <v>1014</v>
      </c>
      <c r="C161" s="138" t="s">
        <v>1014</v>
      </c>
      <c r="D161" s="138" t="s">
        <v>996</v>
      </c>
      <c r="E161" s="142">
        <f t="shared" si="0"/>
        <v>155</v>
      </c>
      <c r="F161" s="142">
        <v>0</v>
      </c>
      <c r="G161" s="142">
        <v>0</v>
      </c>
    </row>
    <row r="162" spans="2:7">
      <c r="B162" s="138" t="s">
        <v>1015</v>
      </c>
      <c r="C162" s="138" t="s">
        <v>1015</v>
      </c>
      <c r="D162" s="138" t="s">
        <v>997</v>
      </c>
      <c r="E162" s="142">
        <f t="shared" si="0"/>
        <v>156</v>
      </c>
      <c r="F162" s="142">
        <v>0</v>
      </c>
      <c r="G162" s="142">
        <v>0</v>
      </c>
    </row>
    <row r="163" spans="2:7">
      <c r="B163" s="138" t="s">
        <v>1016</v>
      </c>
      <c r="C163" s="138" t="s">
        <v>1016</v>
      </c>
      <c r="D163" s="138" t="s">
        <v>998</v>
      </c>
      <c r="E163" s="142">
        <f t="shared" si="0"/>
        <v>157</v>
      </c>
      <c r="F163" s="142">
        <v>0</v>
      </c>
      <c r="G163" s="142">
        <v>0</v>
      </c>
    </row>
    <row r="164" spans="2:7">
      <c r="B164" s="138" t="s">
        <v>926</v>
      </c>
      <c r="C164" s="138" t="s">
        <v>926</v>
      </c>
      <c r="D164" s="138" t="s">
        <v>999</v>
      </c>
      <c r="E164" s="142">
        <f t="shared" si="0"/>
        <v>158</v>
      </c>
      <c r="F164" s="142">
        <v>0</v>
      </c>
      <c r="G164" s="142">
        <v>0</v>
      </c>
    </row>
    <row r="165" spans="2:7">
      <c r="B165" s="138" t="s">
        <v>1017</v>
      </c>
      <c r="C165" s="138" t="s">
        <v>1017</v>
      </c>
      <c r="D165" s="138" t="s">
        <v>1000</v>
      </c>
      <c r="E165" s="142">
        <f t="shared" si="0"/>
        <v>159</v>
      </c>
      <c r="F165" s="142">
        <v>0</v>
      </c>
      <c r="G165" s="142">
        <v>0</v>
      </c>
    </row>
    <row r="166" spans="2:7">
      <c r="B166" s="138" t="s">
        <v>1018</v>
      </c>
      <c r="C166" s="138" t="s">
        <v>1018</v>
      </c>
      <c r="D166" s="138" t="s">
        <v>1001</v>
      </c>
      <c r="E166" s="142">
        <f t="shared" si="0"/>
        <v>160</v>
      </c>
      <c r="F166" s="142">
        <v>0</v>
      </c>
      <c r="G166" s="142">
        <v>0</v>
      </c>
    </row>
    <row r="167" spans="2:7">
      <c r="B167" s="138" t="s">
        <v>1019</v>
      </c>
      <c r="C167" s="138" t="s">
        <v>1019</v>
      </c>
      <c r="D167" s="138" t="s">
        <v>1002</v>
      </c>
      <c r="E167" s="142">
        <f t="shared" si="0"/>
        <v>161</v>
      </c>
      <c r="F167" s="142">
        <v>0</v>
      </c>
      <c r="G167" s="142">
        <v>0</v>
      </c>
    </row>
    <row r="168" spans="2:7">
      <c r="B168" s="138" t="s">
        <v>1020</v>
      </c>
      <c r="C168" s="138" t="s">
        <v>1020</v>
      </c>
      <c r="D168" s="138" t="s">
        <v>1003</v>
      </c>
      <c r="E168" s="142">
        <f t="shared" si="0"/>
        <v>162</v>
      </c>
      <c r="F168" s="142">
        <v>0</v>
      </c>
      <c r="G168" s="142">
        <v>0</v>
      </c>
    </row>
    <row r="169" spans="2:7">
      <c r="B169" s="138" t="s">
        <v>1021</v>
      </c>
      <c r="C169" s="138" t="s">
        <v>1021</v>
      </c>
      <c r="D169" s="138" t="s">
        <v>1004</v>
      </c>
      <c r="E169" s="142">
        <f t="shared" si="0"/>
        <v>163</v>
      </c>
      <c r="F169" s="142">
        <v>0</v>
      </c>
      <c r="G169" s="142">
        <v>0</v>
      </c>
    </row>
    <row r="170" spans="2:7">
      <c r="B170" s="138" t="s">
        <v>1022</v>
      </c>
      <c r="C170" s="138" t="s">
        <v>1022</v>
      </c>
      <c r="D170" s="138" t="s">
        <v>1005</v>
      </c>
      <c r="E170" s="142">
        <f t="shared" si="0"/>
        <v>164</v>
      </c>
      <c r="F170" s="142">
        <v>0</v>
      </c>
      <c r="G170" s="142">
        <v>0</v>
      </c>
    </row>
    <row r="171" spans="2:7">
      <c r="B171" s="138" t="s">
        <v>1023</v>
      </c>
      <c r="C171" s="138" t="s">
        <v>1023</v>
      </c>
      <c r="D171" s="138" t="s">
        <v>1006</v>
      </c>
      <c r="E171" s="142">
        <f t="shared" si="0"/>
        <v>165</v>
      </c>
      <c r="F171" s="142">
        <v>0</v>
      </c>
      <c r="G171" s="142">
        <v>0</v>
      </c>
    </row>
    <row r="172" spans="2:7">
      <c r="B172" s="138" t="s">
        <v>1024</v>
      </c>
      <c r="C172" s="138" t="s">
        <v>1024</v>
      </c>
      <c r="D172" s="138" t="s">
        <v>1007</v>
      </c>
      <c r="E172" s="142">
        <f t="shared" si="0"/>
        <v>166</v>
      </c>
      <c r="F172" s="142">
        <v>0</v>
      </c>
      <c r="G172" s="142">
        <v>0</v>
      </c>
    </row>
    <row r="173" spans="2:7">
      <c r="B173" s="138" t="s">
        <v>1025</v>
      </c>
      <c r="C173" s="138" t="s">
        <v>1025</v>
      </c>
      <c r="D173" s="138" t="s">
        <v>1008</v>
      </c>
      <c r="E173" s="142">
        <f t="shared" si="0"/>
        <v>167</v>
      </c>
      <c r="F173" s="142">
        <v>0</v>
      </c>
      <c r="G173" s="142">
        <v>0</v>
      </c>
    </row>
    <row r="174" spans="2:7">
      <c r="B174" s="138" t="s">
        <v>1026</v>
      </c>
      <c r="C174" s="138" t="s">
        <v>1009</v>
      </c>
      <c r="D174" s="138" t="s">
        <v>1009</v>
      </c>
      <c r="E174" s="142">
        <f t="shared" si="0"/>
        <v>168</v>
      </c>
      <c r="F174" s="142">
        <v>0</v>
      </c>
      <c r="G174" s="142">
        <v>0</v>
      </c>
    </row>
    <row r="175" spans="2:7">
      <c r="B175" s="138" t="s">
        <v>1027</v>
      </c>
      <c r="C175" s="138" t="s">
        <v>1010</v>
      </c>
      <c r="D175" s="138" t="s">
        <v>1010</v>
      </c>
      <c r="E175" s="142">
        <f t="shared" si="0"/>
        <v>169</v>
      </c>
      <c r="F175" s="142">
        <v>0</v>
      </c>
      <c r="G175" s="142">
        <v>0</v>
      </c>
    </row>
  </sheetData>
  <dataConsolidate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D344-9820-4E4E-9FB1-A82CAD0575B4}">
  <sheetPr codeName="Feuil5"/>
  <dimension ref="A1:AV1018"/>
  <sheetViews>
    <sheetView zoomScale="133" workbookViewId="0">
      <selection activeCell="D32" sqref="D32"/>
    </sheetView>
  </sheetViews>
  <sheetFormatPr baseColWidth="10" defaultRowHeight="16"/>
  <cols>
    <col min="1" max="1" width="27.1640625" customWidth="1"/>
    <col min="2" max="2" width="11.6640625" bestFit="1" customWidth="1"/>
    <col min="3" max="3" width="14.5" style="209" customWidth="1"/>
    <col min="4" max="4" width="17.5" customWidth="1"/>
    <col min="5" max="5" width="16.6640625" style="209" bestFit="1" customWidth="1"/>
    <col min="6" max="6" width="16.6640625" style="241" customWidth="1"/>
    <col min="7" max="7" width="18" customWidth="1"/>
    <col min="8" max="8" width="17.5" bestFit="1" customWidth="1"/>
    <col min="9" max="9" width="18.33203125" style="209" bestFit="1" customWidth="1"/>
    <col min="10" max="10" width="14" customWidth="1"/>
    <col min="11" max="11" width="17.1640625" customWidth="1"/>
    <col min="12" max="12" width="23.1640625" customWidth="1"/>
    <col min="13" max="13" width="17" style="209" bestFit="1" customWidth="1"/>
    <col min="14" max="14" width="19.83203125" style="209" customWidth="1"/>
    <col min="15" max="15" width="20.33203125" style="210" customWidth="1"/>
    <col min="16" max="16" width="21.1640625" style="210" customWidth="1"/>
    <col min="17" max="17" width="16.1640625" style="210" customWidth="1"/>
    <col min="18" max="18" width="21.6640625" style="210" bestFit="1" customWidth="1"/>
    <col min="19" max="22" width="21.6640625" style="250" customWidth="1"/>
    <col min="23" max="23" width="18" style="210" bestFit="1" customWidth="1"/>
    <col min="24" max="24" width="14.6640625" style="210" bestFit="1" customWidth="1"/>
    <col min="25" max="25" width="17.6640625" style="210" customWidth="1"/>
    <col min="26" max="26" width="14.83203125" style="62" customWidth="1"/>
    <col min="27" max="27" width="10.83203125" style="62"/>
    <col min="28" max="28" width="11.83203125" style="240" bestFit="1" customWidth="1"/>
    <col min="29" max="30" width="10.83203125" style="62"/>
    <col min="31" max="31" width="3.5" style="62" bestFit="1" customWidth="1"/>
    <col min="32" max="32" width="3.1640625" style="62" bestFit="1" customWidth="1"/>
    <col min="33" max="33" width="2.1640625" style="62" bestFit="1" customWidth="1"/>
    <col min="34" max="34" width="7.1640625" style="62" bestFit="1" customWidth="1"/>
    <col min="35" max="35" width="5.1640625" style="62" bestFit="1" customWidth="1"/>
    <col min="36" max="37" width="12.33203125" style="62" bestFit="1" customWidth="1"/>
    <col min="38" max="38" width="8.1640625" style="62" bestFit="1" customWidth="1"/>
    <col min="39" max="39" width="7.83203125" style="62" bestFit="1" customWidth="1"/>
    <col min="40" max="40" width="9.1640625" style="62" bestFit="1" customWidth="1"/>
    <col min="41" max="43" width="12.33203125" style="62" bestFit="1" customWidth="1"/>
    <col min="44" max="44" width="8.33203125" style="62" bestFit="1" customWidth="1"/>
    <col min="45" max="48" width="10.83203125" style="62"/>
  </cols>
  <sheetData>
    <row r="1" spans="1:48">
      <c r="A1" s="247" t="s">
        <v>736</v>
      </c>
      <c r="B1" s="247" t="s">
        <v>737</v>
      </c>
      <c r="K1" s="209"/>
      <c r="L1" s="209"/>
      <c r="AE1" s="215"/>
      <c r="AF1" s="239"/>
      <c r="AG1" s="239"/>
      <c r="AH1" s="239"/>
      <c r="AI1" s="239"/>
      <c r="AJ1" s="243"/>
      <c r="AL1" s="239"/>
      <c r="AM1" s="239"/>
      <c r="AN1" s="239"/>
      <c r="AR1" s="240"/>
    </row>
    <row r="2" spans="1:48">
      <c r="A2" s="14" t="s">
        <v>725</v>
      </c>
      <c r="B2" s="252">
        <f>sureau_ini.txt!CL32+sureau_ini.txt!CG32</f>
        <v>7</v>
      </c>
      <c r="D2" s="210" t="s">
        <v>688</v>
      </c>
      <c r="E2" s="210"/>
      <c r="F2" s="210" t="s">
        <v>690</v>
      </c>
      <c r="G2" s="62">
        <f>J3*LOG(G5)/LOG(B15/B7*10)</f>
        <v>2.0292286255510628</v>
      </c>
      <c r="H2" s="62"/>
      <c r="I2" s="209" t="s">
        <v>723</v>
      </c>
      <c r="J2">
        <f>(G4+2*B10)^2+8*G4*(B3)</f>
        <v>1.6255594647583568E-2</v>
      </c>
      <c r="L2" t="s">
        <v>765</v>
      </c>
      <c r="M2" s="209">
        <f>O3*sureau_ini.txt!CN32*1000</f>
        <v>31.767025587326692</v>
      </c>
      <c r="N2" s="209" t="s">
        <v>763</v>
      </c>
      <c r="O2" s="210">
        <f>MAX(U21:U121)</f>
        <v>3.4330355002788103E-2</v>
      </c>
      <c r="AE2" s="215"/>
      <c r="AF2" s="239"/>
      <c r="AG2" s="239"/>
      <c r="AH2" s="239"/>
      <c r="AI2" s="239"/>
      <c r="AJ2" s="243"/>
      <c r="AL2" s="239"/>
      <c r="AM2" s="239"/>
      <c r="AN2" s="239"/>
      <c r="AR2" s="240"/>
    </row>
    <row r="3" spans="1:48">
      <c r="A3" s="14" t="s">
        <v>726</v>
      </c>
      <c r="B3" s="252">
        <f>sureau_ini.txt!CG32</f>
        <v>2</v>
      </c>
      <c r="D3" s="209" t="s">
        <v>687</v>
      </c>
      <c r="F3" s="209" t="s">
        <v>689</v>
      </c>
      <c r="G3" s="62">
        <f>J3*LOG(G5)/LOG(B8/B6*10)</f>
        <v>1.8440273931256017</v>
      </c>
      <c r="H3" s="62"/>
      <c r="I3" s="209" t="s">
        <v>878</v>
      </c>
      <c r="J3">
        <f>(-(G4+2*B10)+SQRT(J2))/(2*G4)</f>
        <v>35.105646492650948</v>
      </c>
      <c r="L3" t="s">
        <v>766</v>
      </c>
      <c r="M3" s="209">
        <f>O3*sureau_ini.txt!CO32*1000</f>
        <v>11.912634595247509</v>
      </c>
      <c r="N3" s="209" t="s">
        <v>764</v>
      </c>
      <c r="O3" s="210">
        <f>T121-O2</f>
        <v>7.9417563968316729E-2</v>
      </c>
      <c r="P3" s="210" t="s">
        <v>993</v>
      </c>
      <c r="AE3" s="215"/>
      <c r="AF3" s="239"/>
      <c r="AG3" s="239"/>
      <c r="AH3" s="239"/>
      <c r="AI3" s="239"/>
      <c r="AJ3" s="243"/>
      <c r="AL3" s="239"/>
      <c r="AM3" s="239"/>
      <c r="AN3" s="239"/>
      <c r="AR3" s="240"/>
    </row>
    <row r="4" spans="1:48">
      <c r="A4" s="14" t="s">
        <v>727</v>
      </c>
      <c r="B4" s="252">
        <f>sureau_ini.txt!BM32</f>
        <v>18</v>
      </c>
      <c r="D4" s="209" t="s">
        <v>668</v>
      </c>
      <c r="F4" s="209" t="s">
        <v>669</v>
      </c>
      <c r="G4" s="62">
        <f>2*(B2-B10*101)/(101*100)</f>
        <v>3.8613861386138599E-4</v>
      </c>
      <c r="H4" s="62"/>
      <c r="J4" s="62"/>
      <c r="L4" t="s">
        <v>756</v>
      </c>
      <c r="M4" s="209">
        <f>O2*sureau_ini.txt!CI32*1000</f>
        <v>13.732142001115243</v>
      </c>
      <c r="N4" s="271" t="s">
        <v>992</v>
      </c>
      <c r="O4" s="271">
        <f>R121</f>
        <v>0.20510659597306852</v>
      </c>
      <c r="P4" s="271">
        <f>O4*1000000</f>
        <v>205106.59597306853</v>
      </c>
      <c r="AE4" s="215"/>
      <c r="AF4" s="239"/>
      <c r="AG4" s="239"/>
      <c r="AH4" s="239"/>
      <c r="AI4" s="239"/>
      <c r="AJ4" s="243"/>
      <c r="AL4" s="239"/>
      <c r="AM4" s="239"/>
      <c r="AN4" s="239"/>
      <c r="AR4" s="240"/>
    </row>
    <row r="5" spans="1:48">
      <c r="A5" s="14" t="s">
        <v>754</v>
      </c>
      <c r="B5" s="254">
        <v>200</v>
      </c>
      <c r="D5" s="209" t="s">
        <v>667</v>
      </c>
      <c r="F5" s="209" t="s">
        <v>666</v>
      </c>
      <c r="G5" s="62">
        <f>(B16)^(1/J3)</f>
        <v>1.2138161615798178</v>
      </c>
      <c r="H5" s="62"/>
      <c r="I5"/>
      <c r="L5" s="250" t="s">
        <v>757</v>
      </c>
      <c r="M5" s="209">
        <f>O2*sureau_ini.txt!CJ32*1000</f>
        <v>5.1495532504182151</v>
      </c>
      <c r="AE5" s="215"/>
      <c r="AF5" s="239"/>
      <c r="AG5" s="239"/>
      <c r="AH5" s="239"/>
      <c r="AI5" s="239"/>
      <c r="AJ5" s="243"/>
      <c r="AL5" s="239"/>
      <c r="AM5" s="239"/>
      <c r="AN5" s="239"/>
      <c r="AR5" s="240"/>
    </row>
    <row r="6" spans="1:48" s="210" customFormat="1">
      <c r="A6" s="14" t="s">
        <v>679</v>
      </c>
      <c r="B6" s="281">
        <f>IF(FRACTAL=1,sureau_ini.txt!CH32*1000,'Fractal shoot'!C6)</f>
        <v>5</v>
      </c>
      <c r="C6" s="255">
        <v>3</v>
      </c>
      <c r="D6" s="241"/>
      <c r="E6"/>
      <c r="F6"/>
      <c r="G6" s="209"/>
      <c r="H6"/>
      <c r="I6"/>
      <c r="J6" s="209"/>
      <c r="L6" s="210" t="s">
        <v>769</v>
      </c>
      <c r="M6" s="210">
        <f>Q121-M7</f>
        <v>3.1144142732673252</v>
      </c>
      <c r="S6" s="250"/>
      <c r="T6" s="250"/>
      <c r="U6" s="250"/>
      <c r="V6" s="250"/>
      <c r="Z6" s="62"/>
      <c r="AA6" s="62"/>
      <c r="AB6" s="240"/>
      <c r="AC6" s="62"/>
      <c r="AD6" s="62"/>
      <c r="AE6" s="215"/>
      <c r="AF6" s="239"/>
      <c r="AG6" s="239"/>
      <c r="AH6" s="239"/>
      <c r="AI6" s="239"/>
      <c r="AJ6" s="243"/>
      <c r="AK6" s="62"/>
      <c r="AL6" s="239"/>
      <c r="AM6" s="239"/>
      <c r="AN6" s="239"/>
      <c r="AO6" s="62"/>
      <c r="AP6" s="62"/>
      <c r="AQ6" s="62"/>
      <c r="AR6" s="240"/>
      <c r="AS6" s="62"/>
      <c r="AT6" s="62"/>
      <c r="AU6" s="62"/>
      <c r="AV6" s="62"/>
    </row>
    <row r="7" spans="1:48">
      <c r="A7" s="14" t="s">
        <v>691</v>
      </c>
      <c r="B7" s="252">
        <f>B6</f>
        <v>5</v>
      </c>
      <c r="D7" s="241"/>
      <c r="E7" s="241"/>
      <c r="G7" s="210"/>
      <c r="H7" s="210"/>
      <c r="I7" s="210"/>
      <c r="J7" s="210"/>
      <c r="L7" t="s">
        <v>770</v>
      </c>
      <c r="M7" s="209">
        <f>MAX(V21:V121)</f>
        <v>8.5567419750545852</v>
      </c>
      <c r="AE7" s="215"/>
      <c r="AF7" s="239"/>
      <c r="AG7" s="239"/>
      <c r="AH7" s="239"/>
      <c r="AI7" s="239"/>
      <c r="AJ7" s="243"/>
      <c r="AL7" s="239"/>
      <c r="AM7" s="239"/>
      <c r="AN7" s="239"/>
      <c r="AR7" s="240"/>
    </row>
    <row r="8" spans="1:48">
      <c r="A8" s="14" t="s">
        <v>720</v>
      </c>
      <c r="B8" s="252">
        <f>sureau_ini.txt!CM32*100</f>
        <v>20</v>
      </c>
      <c r="D8" t="s">
        <v>781</v>
      </c>
      <c r="E8" s="1">
        <f>AA21</f>
        <v>4.3788673122820429E-3</v>
      </c>
      <c r="L8" s="271" t="s">
        <v>991</v>
      </c>
      <c r="M8" s="271">
        <f>Q121</f>
        <v>11.67115624832191</v>
      </c>
      <c r="AE8" s="215"/>
      <c r="AF8" s="239"/>
      <c r="AG8" s="239"/>
      <c r="AH8" s="239"/>
      <c r="AI8" s="239"/>
      <c r="AJ8" s="243"/>
      <c r="AL8" s="239"/>
      <c r="AM8" s="239"/>
      <c r="AN8" s="239"/>
      <c r="AR8" s="240"/>
    </row>
    <row r="9" spans="1:48">
      <c r="A9" s="14" t="s">
        <v>722</v>
      </c>
      <c r="B9" s="252">
        <f>B8*sureau_ini.txt!CP32</f>
        <v>6</v>
      </c>
      <c r="D9" t="s">
        <v>778</v>
      </c>
      <c r="E9" s="1">
        <f>MAX(AB21:AB121)</f>
        <v>3.2958650759688417E-3</v>
      </c>
      <c r="AE9" s="215"/>
      <c r="AF9" s="239"/>
      <c r="AG9" s="239"/>
      <c r="AH9" s="239"/>
      <c r="AI9" s="239"/>
      <c r="AJ9" s="243"/>
      <c r="AL9" s="239"/>
      <c r="AM9" s="239"/>
      <c r="AN9" s="239"/>
      <c r="AR9" s="240"/>
    </row>
    <row r="10" spans="1:48">
      <c r="A10" s="14" t="s">
        <v>680</v>
      </c>
      <c r="B10" s="254">
        <v>0.05</v>
      </c>
      <c r="D10" t="s">
        <v>779</v>
      </c>
      <c r="E10" s="1">
        <f>E8-E9</f>
        <v>1.0830022363132012E-3</v>
      </c>
      <c r="AE10" s="215"/>
      <c r="AF10" s="239"/>
      <c r="AG10" s="239"/>
      <c r="AH10" s="239"/>
      <c r="AI10" s="239"/>
      <c r="AJ10" s="243"/>
      <c r="AL10" s="239"/>
      <c r="AM10" s="239"/>
      <c r="AN10" s="239"/>
      <c r="AR10" s="240"/>
    </row>
    <row r="11" spans="1:48" s="210" customFormat="1">
      <c r="A11" s="14" t="s">
        <v>735</v>
      </c>
      <c r="B11" s="253">
        <f>sureau_ini.txt!ET32</f>
        <v>10000</v>
      </c>
      <c r="S11" s="250"/>
      <c r="T11" s="250"/>
      <c r="U11" s="250"/>
      <c r="V11" s="250"/>
      <c r="Z11" s="62"/>
      <c r="AA11" s="62"/>
      <c r="AB11" s="240"/>
      <c r="AC11" s="62"/>
      <c r="AD11" s="62"/>
      <c r="AE11" s="62"/>
      <c r="AF11" s="62"/>
      <c r="AG11" s="62"/>
      <c r="AH11" s="215"/>
      <c r="AI11" s="239"/>
      <c r="AJ11" s="239"/>
      <c r="AK11" s="239"/>
      <c r="AL11" s="239"/>
      <c r="AM11" s="243"/>
      <c r="AN11" s="62"/>
      <c r="AO11" s="239"/>
      <c r="AP11" s="239"/>
      <c r="AQ11" s="239"/>
      <c r="AR11" s="62"/>
      <c r="AS11" s="62"/>
      <c r="AT11" s="62"/>
      <c r="AU11" s="240"/>
      <c r="AV11" s="62"/>
    </row>
    <row r="12" spans="1:48" s="241" customFormat="1">
      <c r="A12" s="14" t="s">
        <v>734</v>
      </c>
      <c r="B12" s="254">
        <v>1</v>
      </c>
      <c r="D12" t="s">
        <v>746</v>
      </c>
      <c r="E12" s="1">
        <f>1/E8</f>
        <v>228.36955967931598</v>
      </c>
      <c r="S12" s="250"/>
      <c r="T12" s="250"/>
      <c r="U12" s="250"/>
      <c r="V12" s="250"/>
      <c r="Z12" s="62"/>
      <c r="AA12" s="62"/>
      <c r="AB12" s="240"/>
      <c r="AC12" s="62"/>
      <c r="AD12" s="62"/>
      <c r="AE12" s="62"/>
      <c r="AF12" s="62"/>
      <c r="AG12" s="62"/>
      <c r="AH12" s="215"/>
      <c r="AI12" s="239"/>
      <c r="AJ12" s="239"/>
      <c r="AK12" s="239"/>
      <c r="AL12" s="239"/>
      <c r="AM12" s="243"/>
      <c r="AN12" s="62"/>
      <c r="AO12" s="239"/>
      <c r="AP12" s="239"/>
      <c r="AQ12" s="239"/>
      <c r="AR12" s="62"/>
      <c r="AS12" s="62"/>
      <c r="AT12" s="62"/>
      <c r="AU12" s="240"/>
      <c r="AV12" s="62"/>
    </row>
    <row r="13" spans="1:48" s="250" customFormat="1">
      <c r="A13" s="222" t="s">
        <v>739</v>
      </c>
      <c r="B13" s="368">
        <f>sureau_ini.txt!C27</f>
        <v>0.4</v>
      </c>
      <c r="D13" t="s">
        <v>733</v>
      </c>
      <c r="E13" s="90">
        <f>AC21</f>
        <v>-0.15763922324215354</v>
      </c>
      <c r="Z13" s="62"/>
      <c r="AA13" s="62"/>
      <c r="AB13" s="240"/>
      <c r="AC13" s="62"/>
      <c r="AD13" s="62"/>
      <c r="AE13" s="62"/>
      <c r="AF13" s="62"/>
      <c r="AG13" s="62"/>
      <c r="AH13" s="215"/>
      <c r="AI13" s="239"/>
      <c r="AJ13" s="239"/>
      <c r="AK13" s="239"/>
      <c r="AL13" s="239"/>
      <c r="AM13" s="243"/>
      <c r="AN13" s="62"/>
      <c r="AO13" s="239"/>
      <c r="AP13" s="239"/>
      <c r="AQ13" s="239"/>
      <c r="AR13" s="62"/>
      <c r="AS13" s="62"/>
      <c r="AT13" s="62"/>
      <c r="AU13" s="240"/>
      <c r="AV13" s="62"/>
    </row>
    <row r="14" spans="1:48" s="241" customFormat="1">
      <c r="A14" s="22" t="s">
        <v>729</v>
      </c>
      <c r="B14" s="258">
        <f>1/B11</f>
        <v>1E-4</v>
      </c>
      <c r="D14" s="210" t="s">
        <v>738</v>
      </c>
      <c r="E14" s="241">
        <f>R121</f>
        <v>0.20510659597306852</v>
      </c>
      <c r="S14" s="250"/>
      <c r="T14" s="250"/>
      <c r="U14" s="250"/>
      <c r="V14" s="250"/>
      <c r="Z14" s="62"/>
      <c r="AA14" s="62"/>
      <c r="AB14" s="240"/>
      <c r="AC14" s="62"/>
      <c r="AD14" s="62"/>
      <c r="AE14" s="62"/>
      <c r="AF14" s="62"/>
      <c r="AG14" s="62"/>
      <c r="AH14" s="215"/>
      <c r="AI14" s="239"/>
      <c r="AJ14" s="239"/>
      <c r="AK14" s="239"/>
      <c r="AL14" s="239"/>
      <c r="AM14" s="243"/>
      <c r="AN14" s="62"/>
      <c r="AO14" s="239"/>
      <c r="AP14" s="239"/>
      <c r="AQ14" s="239"/>
      <c r="AR14" s="62"/>
      <c r="AS14" s="62"/>
      <c r="AT14" s="62"/>
      <c r="AU14" s="240"/>
      <c r="AV14" s="62"/>
    </row>
    <row r="15" spans="1:48" s="241" customFormat="1">
      <c r="A15" s="19" t="s">
        <v>721</v>
      </c>
      <c r="B15" s="19">
        <f>SQRT(B9*(2*B8-B9))</f>
        <v>14.282856857085701</v>
      </c>
      <c r="S15" s="250"/>
      <c r="T15" s="250"/>
      <c r="U15" s="250"/>
      <c r="V15" s="250"/>
      <c r="Z15" s="62"/>
      <c r="AA15" s="62"/>
      <c r="AB15" s="240"/>
      <c r="AC15" s="62"/>
      <c r="AD15" s="62"/>
      <c r="AE15" s="62"/>
      <c r="AF15" s="62"/>
      <c r="AG15" s="62"/>
      <c r="AH15" s="215"/>
      <c r="AI15" s="239"/>
      <c r="AJ15" s="239"/>
      <c r="AK15" s="239"/>
      <c r="AL15" s="239"/>
      <c r="AM15" s="243"/>
      <c r="AN15" s="62"/>
      <c r="AO15" s="239"/>
      <c r="AP15" s="239"/>
      <c r="AQ15" s="239"/>
      <c r="AR15" s="62"/>
      <c r="AS15" s="62"/>
      <c r="AT15" s="62"/>
      <c r="AU15" s="240"/>
      <c r="AV15" s="62"/>
    </row>
    <row r="16" spans="1:48">
      <c r="A16" s="19" t="s">
        <v>681</v>
      </c>
      <c r="B16" s="19">
        <f>B4/B5*10000</f>
        <v>900</v>
      </c>
      <c r="E16" s="241"/>
      <c r="G16" s="241"/>
      <c r="H16" s="241"/>
      <c r="L16" s="209"/>
      <c r="M16"/>
      <c r="N16"/>
      <c r="O16"/>
      <c r="P16" s="209"/>
      <c r="Q16" s="209"/>
      <c r="AH16" s="215"/>
      <c r="AI16" s="239"/>
      <c r="AJ16" s="239"/>
      <c r="AK16" s="239"/>
      <c r="AL16" s="239"/>
      <c r="AM16" s="243"/>
      <c r="AO16" s="239"/>
      <c r="AP16" s="239"/>
      <c r="AQ16" s="239"/>
      <c r="AU16" s="240"/>
    </row>
    <row r="17" spans="1:48">
      <c r="A17" s="19" t="s">
        <v>794</v>
      </c>
      <c r="B17" s="258">
        <f>(3.1416/4*(B6/1000)^2)/B5*10000</f>
        <v>9.8174999999999998E-4</v>
      </c>
      <c r="E17" s="241"/>
      <c r="G17" s="241"/>
      <c r="H17" s="241"/>
      <c r="L17" s="209"/>
      <c r="M17"/>
      <c r="N17"/>
      <c r="O17"/>
      <c r="P17" s="209"/>
      <c r="Q17" s="209"/>
      <c r="AH17" s="215"/>
      <c r="AI17" s="239"/>
      <c r="AJ17" s="239"/>
      <c r="AK17" s="239"/>
      <c r="AL17" s="239"/>
      <c r="AM17" s="243"/>
      <c r="AO17" s="239"/>
      <c r="AP17" s="239"/>
      <c r="AQ17" s="239"/>
      <c r="AU17" s="240"/>
    </row>
    <row r="18" spans="1:48" s="250" customFormat="1">
      <c r="A18" s="22" t="s">
        <v>795</v>
      </c>
      <c r="B18" s="369">
        <f>G121/B4/10000</f>
        <v>8.9011999999999902E-4</v>
      </c>
      <c r="Z18" s="62"/>
      <c r="AA18" s="62"/>
      <c r="AB18" s="240"/>
      <c r="AC18" s="62"/>
      <c r="AD18" s="62"/>
      <c r="AE18" s="62"/>
      <c r="AF18" s="62"/>
      <c r="AG18" s="62"/>
      <c r="AH18" s="215"/>
      <c r="AI18" s="239"/>
      <c r="AJ18" s="239"/>
      <c r="AK18" s="239"/>
      <c r="AL18" s="239"/>
      <c r="AM18" s="243"/>
      <c r="AN18" s="62"/>
      <c r="AO18" s="239"/>
      <c r="AP18" s="239"/>
      <c r="AQ18" s="239"/>
      <c r="AR18" s="62"/>
      <c r="AS18" s="62"/>
      <c r="AT18" s="62"/>
      <c r="AU18" s="240"/>
      <c r="AV18" s="62"/>
    </row>
    <row r="19" spans="1:48" s="209" customFormat="1">
      <c r="F19" s="241"/>
      <c r="N19" s="210"/>
      <c r="O19" s="210"/>
      <c r="P19" s="210"/>
      <c r="Q19" s="210"/>
      <c r="R19" s="210"/>
      <c r="S19" s="250"/>
      <c r="T19" s="250"/>
      <c r="U19" s="250"/>
      <c r="V19" s="250"/>
      <c r="W19" s="210"/>
      <c r="X19" s="210"/>
      <c r="Y19" s="210"/>
      <c r="Z19" s="62"/>
      <c r="AA19" s="62"/>
      <c r="AB19" s="240"/>
      <c r="AC19" s="62"/>
      <c r="AD19" s="215"/>
      <c r="AE19" s="239"/>
      <c r="AF19" s="239"/>
      <c r="AG19" s="239"/>
      <c r="AH19" s="239"/>
      <c r="AI19" s="243"/>
      <c r="AJ19" s="62"/>
      <c r="AK19" s="239"/>
      <c r="AL19" s="239"/>
      <c r="AM19" s="239"/>
      <c r="AN19" s="62"/>
      <c r="AO19" s="62"/>
      <c r="AP19" s="62"/>
      <c r="AQ19" s="240"/>
      <c r="AR19" s="62"/>
      <c r="AS19" s="62"/>
      <c r="AT19" s="62"/>
      <c r="AU19" s="62"/>
      <c r="AV19" s="62"/>
    </row>
    <row r="20" spans="1:48">
      <c r="A20" t="s">
        <v>672</v>
      </c>
      <c r="B20" t="s">
        <v>673</v>
      </c>
      <c r="C20" s="255" t="s">
        <v>692</v>
      </c>
      <c r="D20" s="241" t="s">
        <v>670</v>
      </c>
      <c r="E20" s="255" t="s">
        <v>682</v>
      </c>
      <c r="F20" t="s">
        <v>719</v>
      </c>
      <c r="G20" s="255" t="s">
        <v>675</v>
      </c>
      <c r="H20" t="s">
        <v>683</v>
      </c>
      <c r="I20" s="209" t="s">
        <v>676</v>
      </c>
      <c r="J20" t="s">
        <v>684</v>
      </c>
      <c r="K20" t="s">
        <v>685</v>
      </c>
      <c r="L20" t="s">
        <v>686</v>
      </c>
      <c r="M20" s="209" t="s">
        <v>728</v>
      </c>
      <c r="N20" t="s">
        <v>674</v>
      </c>
      <c r="O20" s="60" t="s">
        <v>718</v>
      </c>
      <c r="P20" s="209" t="s">
        <v>677</v>
      </c>
      <c r="Q20" s="60" t="s">
        <v>759</v>
      </c>
      <c r="R20" t="s">
        <v>758</v>
      </c>
      <c r="S20" s="60" t="s">
        <v>760</v>
      </c>
      <c r="T20" s="60" t="s">
        <v>761</v>
      </c>
      <c r="U20" s="60" t="s">
        <v>762</v>
      </c>
      <c r="V20" s="60" t="s">
        <v>768</v>
      </c>
      <c r="W20" s="257" t="s">
        <v>678</v>
      </c>
      <c r="X20" s="60" t="s">
        <v>755</v>
      </c>
      <c r="Y20" s="256" t="s">
        <v>730</v>
      </c>
      <c r="Z20" s="256" t="s">
        <v>731</v>
      </c>
      <c r="AA20" s="238" t="s">
        <v>732</v>
      </c>
      <c r="AB20" s="259" t="s">
        <v>780</v>
      </c>
      <c r="AC20" s="215" t="s">
        <v>733</v>
      </c>
      <c r="AD20" s="239"/>
      <c r="AE20" s="239"/>
      <c r="AF20" s="239"/>
      <c r="AG20" s="239"/>
      <c r="AH20" s="243"/>
      <c r="AJ20" s="239"/>
      <c r="AK20" s="239"/>
      <c r="AL20" s="239"/>
      <c r="AP20" s="240"/>
    </row>
    <row r="21" spans="1:48">
      <c r="A21">
        <v>0</v>
      </c>
      <c r="B21">
        <f>MAX($B$16,1)</f>
        <v>900</v>
      </c>
      <c r="C21" s="241">
        <f t="shared" ref="C21:C52" si="0">$B$10+A21*$G$4</f>
        <v>0.05</v>
      </c>
      <c r="D21" s="241">
        <f t="shared" ref="D21:D52" si="1">(A21+1)*($B$10+$G$4*A21/2)</f>
        <v>0.05</v>
      </c>
      <c r="E21" s="209">
        <f>B6/10</f>
        <v>0.5</v>
      </c>
      <c r="F21" s="210">
        <f>B7/10</f>
        <v>0.5</v>
      </c>
      <c r="G21">
        <f>F21*F21*3.1416/4</f>
        <v>0.19635</v>
      </c>
      <c r="H21">
        <f t="shared" ref="H21:H52" si="2">E21*E21*3.1416/4</f>
        <v>0.19635</v>
      </c>
      <c r="I21" s="209">
        <f t="shared" ref="I21:I52" si="3">G21*B21</f>
        <v>176.715</v>
      </c>
      <c r="J21">
        <f t="shared" ref="J21:J52" si="4">H21*B21</f>
        <v>176.715</v>
      </c>
      <c r="K21">
        <f t="shared" ref="K21:K46" si="5">H21-G21</f>
        <v>0</v>
      </c>
      <c r="L21">
        <f>SQRT(4*K21/3.1416)</f>
        <v>0</v>
      </c>
      <c r="M21" s="209">
        <f t="shared" ref="M21:M52" si="6">(E21-L21)/2</f>
        <v>0.25</v>
      </c>
      <c r="N21" s="209">
        <f t="shared" ref="N21:N52" si="7">E21*3.1416</f>
        <v>1.5708</v>
      </c>
      <c r="O21">
        <f t="shared" ref="O21:O52" si="8">C21*3.1416*E21*B21/100</f>
        <v>0.70685999999999993</v>
      </c>
      <c r="P21" s="209">
        <f t="shared" ref="P21:P52" si="9">C21*E21/100*E21/100*3.1416/4*B21</f>
        <v>8.8357499999999994E-4</v>
      </c>
      <c r="Q21">
        <f>O21</f>
        <v>0.70685999999999993</v>
      </c>
      <c r="R21">
        <f>P21</f>
        <v>8.8357499999999994E-4</v>
      </c>
      <c r="S21" s="250">
        <f>G21/10000*C21*B21</f>
        <v>8.8357500000000016E-4</v>
      </c>
      <c r="T21" s="250">
        <f>S21</f>
        <v>8.8357500000000016E-4</v>
      </c>
      <c r="U21" s="250">
        <f>S21</f>
        <v>8.8357500000000016E-4</v>
      </c>
      <c r="V21" s="250">
        <f>O21</f>
        <v>0.70685999999999993</v>
      </c>
      <c r="W21" s="1">
        <f>G21/X21</f>
        <v>9.8174999999999998E-4</v>
      </c>
      <c r="X21" s="1">
        <f>B5</f>
        <v>200</v>
      </c>
      <c r="Y21" s="1">
        <f>C21/(G21/10000)*$B$14*($F$21/F21)^($B$12)</f>
        <v>0.25464731347084291</v>
      </c>
      <c r="Z21" s="240">
        <f t="shared" ref="Z21:Z52" si="10">Y21/B21</f>
        <v>2.8294145941204767E-4</v>
      </c>
      <c r="AA21" s="240">
        <f t="shared" ref="AA21:AA84" si="11">AA22+Z21</f>
        <v>4.3788673122820429E-3</v>
      </c>
      <c r="AB21" s="240">
        <f>Z21</f>
        <v>2.8294145941204767E-4</v>
      </c>
      <c r="AC21" s="248">
        <f>-AA21*$B$4*2</f>
        <v>-0.15763922324215354</v>
      </c>
      <c r="AD21" s="239"/>
      <c r="AE21" s="239"/>
      <c r="AF21" s="239"/>
      <c r="AG21" s="239"/>
      <c r="AH21" s="243"/>
      <c r="AJ21" s="239"/>
      <c r="AK21" s="239"/>
      <c r="AL21" s="239"/>
      <c r="AP21" s="240"/>
    </row>
    <row r="22" spans="1:48">
      <c r="A22" s="209">
        <f>A21+1</f>
        <v>1</v>
      </c>
      <c r="B22">
        <f t="shared" ref="B22:B53" si="12">MAX(B21/$G$5,1)</f>
        <v>741.46318733194596</v>
      </c>
      <c r="C22" s="241">
        <f t="shared" si="0"/>
        <v>5.0386138613861389E-2</v>
      </c>
      <c r="D22" s="241">
        <f t="shared" si="1"/>
        <v>0.10038613861386139</v>
      </c>
      <c r="E22" s="241">
        <f t="shared" ref="E22:E53" si="13">IF(A22&lt;$J$3,($B$6/10)*$G$5^(A22/$G$3),($B$6/10)*$G$5^($J$3/$G$3))</f>
        <v>0.55539938923079291</v>
      </c>
      <c r="F22" s="241">
        <f t="shared" ref="F22:F53" si="14">IF(A22&lt;$J$3,($B$7/10)*$G$5^(A22/$G$2),($B$7/10)*$G$5^($J$3/$G$2))</f>
        <v>0.55009842414077481</v>
      </c>
      <c r="G22" s="210">
        <f t="shared" ref="G22:G46" si="15">F22*F22*3.1416/4</f>
        <v>0.23766854016059544</v>
      </c>
      <c r="H22" s="210">
        <f t="shared" si="2"/>
        <v>0.24227114541560435</v>
      </c>
      <c r="I22" s="210">
        <f t="shared" si="3"/>
        <v>176.2224733160057</v>
      </c>
      <c r="J22" s="210">
        <f t="shared" si="4"/>
        <v>179.63513567841537</v>
      </c>
      <c r="K22" s="210">
        <f t="shared" si="5"/>
        <v>4.6026052550089125E-3</v>
      </c>
      <c r="L22" s="241">
        <f t="shared" ref="L22:L85" si="16">SQRT(4*K22/3.1416)</f>
        <v>7.6551977869771706E-2</v>
      </c>
      <c r="M22" s="210">
        <f t="shared" si="6"/>
        <v>0.23942370568051061</v>
      </c>
      <c r="N22">
        <f t="shared" si="7"/>
        <v>1.7448427212074589</v>
      </c>
      <c r="O22" s="241">
        <f t="shared" si="8"/>
        <v>0.65186393947950816</v>
      </c>
      <c r="P22" s="241">
        <f t="shared" si="9"/>
        <v>9.0511208462124341E-4</v>
      </c>
      <c r="Q22">
        <f t="shared" ref="Q22:Q45" si="17">Q21+O22</f>
        <v>1.3587239394795081</v>
      </c>
      <c r="R22">
        <f t="shared" ref="R22:R45" si="18">P22+R21</f>
        <v>1.7886870846212433E-3</v>
      </c>
      <c r="S22" s="250">
        <f t="shared" ref="S22:S85" si="19">G22/10000*C22*B22</f>
        <v>8.879169967377752E-4</v>
      </c>
      <c r="T22" s="250">
        <f>T21+S22</f>
        <v>1.7714919967377753E-3</v>
      </c>
      <c r="U22" s="250">
        <f>IF(B22&gt;1,U21+S22,0)</f>
        <v>1.7714919967377753E-3</v>
      </c>
      <c r="V22" s="250">
        <f>IF(B22&gt;1,V21+O22,0)</f>
        <v>1.3587239394795081</v>
      </c>
      <c r="W22" s="1">
        <f t="shared" ref="W22:W85" si="20">G22/X22</f>
        <v>9.7901374064447602E-4</v>
      </c>
      <c r="X22" s="1">
        <f t="shared" ref="X22:X53" si="21">X21*B21/B22</f>
        <v>242.76323231596356</v>
      </c>
      <c r="Y22" s="1">
        <f t="shared" ref="Y22:Y85" si="22">C22/(G22/10000)*$B$14*($F$21/F22)^($B$12)</f>
        <v>0.19269435049520617</v>
      </c>
      <c r="Z22" s="240">
        <f t="shared" si="10"/>
        <v>2.5988390764023021E-4</v>
      </c>
      <c r="AA22" s="240">
        <f t="shared" si="11"/>
        <v>4.0959258528699954E-3</v>
      </c>
      <c r="AB22" s="1">
        <f>IF(B22&gt;1,AB21+Z22,0)</f>
        <v>5.4282536705227793E-4</v>
      </c>
      <c r="AC22" s="248">
        <f t="shared" ref="AC22:AC85" si="23">-AA22*$B$4*2</f>
        <v>-0.14745333070331984</v>
      </c>
      <c r="AD22" s="239"/>
      <c r="AE22" s="239"/>
      <c r="AF22" s="239"/>
      <c r="AG22" s="239"/>
      <c r="AH22" s="243"/>
      <c r="AJ22" s="239"/>
      <c r="AK22" s="239"/>
      <c r="AL22" s="239"/>
      <c r="AP22" s="240"/>
    </row>
    <row r="23" spans="1:48">
      <c r="A23" s="209">
        <f t="shared" ref="A23:A34" si="24">A22+1</f>
        <v>2</v>
      </c>
      <c r="B23" s="209">
        <f t="shared" si="12"/>
        <v>610.8529535204982</v>
      </c>
      <c r="C23" s="241">
        <f t="shared" si="0"/>
        <v>5.0772277227722776E-2</v>
      </c>
      <c r="D23" s="241">
        <f t="shared" si="1"/>
        <v>0.15115841584158418</v>
      </c>
      <c r="E23" s="241">
        <f t="shared" si="13"/>
        <v>0.61693696311587576</v>
      </c>
      <c r="F23" s="241">
        <f t="shared" si="14"/>
        <v>0.6052165524843276</v>
      </c>
      <c r="G23" s="210">
        <f t="shared" si="15"/>
        <v>0.28768186901995707</v>
      </c>
      <c r="H23" s="210">
        <f t="shared" si="2"/>
        <v>0.29893204940661539</v>
      </c>
      <c r="I23" s="210">
        <f t="shared" si="3"/>
        <v>175.73131936513789</v>
      </c>
      <c r="J23" s="210">
        <f t="shared" si="4"/>
        <v>182.60352528196651</v>
      </c>
      <c r="K23" s="210">
        <f t="shared" si="5"/>
        <v>1.1250180386658315E-2</v>
      </c>
      <c r="L23" s="241">
        <f t="shared" si="16"/>
        <v>0.11968350369881617</v>
      </c>
      <c r="M23" s="210">
        <f t="shared" si="6"/>
        <v>0.24862672970852978</v>
      </c>
      <c r="N23" s="209">
        <f t="shared" si="7"/>
        <v>1.9381691633248352</v>
      </c>
      <c r="O23" s="241">
        <f t="shared" si="8"/>
        <v>0.60111144980198783</v>
      </c>
      <c r="P23" s="241">
        <f t="shared" si="9"/>
        <v>9.2711968083754879E-4</v>
      </c>
      <c r="Q23" s="209">
        <f t="shared" si="17"/>
        <v>1.9598353892814959</v>
      </c>
      <c r="R23" s="209">
        <f t="shared" si="18"/>
        <v>2.7158067654587921E-3</v>
      </c>
      <c r="S23" s="250">
        <f t="shared" si="19"/>
        <v>8.922279264400269E-4</v>
      </c>
      <c r="T23" s="250">
        <f t="shared" ref="T23:T86" si="25">T22+S23</f>
        <v>2.6637199231778022E-3</v>
      </c>
      <c r="U23" s="250">
        <f t="shared" ref="U23:U86" si="26">IF(B23&gt;1,U22+S23,0)</f>
        <v>2.6637199231778022E-3</v>
      </c>
      <c r="V23" s="250">
        <f t="shared" ref="V23:V86" si="27">IF(B23&gt;1,V22+O23,0)</f>
        <v>1.9598353892814959</v>
      </c>
      <c r="W23" s="1">
        <f t="shared" si="20"/>
        <v>9.7628510758409942E-4</v>
      </c>
      <c r="X23" s="1">
        <f t="shared" si="21"/>
        <v>294.66993482247244</v>
      </c>
      <c r="Y23" s="1">
        <f t="shared" si="22"/>
        <v>0.14580531588887879</v>
      </c>
      <c r="Z23" s="240">
        <f t="shared" si="10"/>
        <v>2.3869134960969956E-4</v>
      </c>
      <c r="AA23" s="240">
        <f t="shared" si="11"/>
        <v>3.8360419452297652E-3</v>
      </c>
      <c r="AB23" s="1">
        <f t="shared" ref="AB23:AB86" si="28">IF(B23&gt;1,AB22+Z23,0)</f>
        <v>7.8151671666197749E-4</v>
      </c>
      <c r="AC23" s="248">
        <f t="shared" si="23"/>
        <v>-0.13809751002827156</v>
      </c>
      <c r="AD23" s="239"/>
      <c r="AE23" s="239"/>
      <c r="AF23" s="239"/>
      <c r="AG23" s="239"/>
      <c r="AH23" s="243"/>
      <c r="AJ23" s="239"/>
      <c r="AK23" s="239"/>
      <c r="AL23" s="239"/>
      <c r="AP23" s="240"/>
    </row>
    <row r="24" spans="1:48">
      <c r="A24" s="209">
        <f t="shared" si="24"/>
        <v>3</v>
      </c>
      <c r="B24" s="209">
        <f t="shared" si="12"/>
        <v>503.24997545382405</v>
      </c>
      <c r="C24" s="241">
        <f t="shared" si="0"/>
        <v>5.1158415841584162E-2</v>
      </c>
      <c r="D24" s="241">
        <f t="shared" si="1"/>
        <v>0.20231683168316833</v>
      </c>
      <c r="E24" s="241">
        <f t="shared" si="13"/>
        <v>0.68529282501691524</v>
      </c>
      <c r="F24" s="241">
        <f t="shared" si="14"/>
        <v>0.66585734357108228</v>
      </c>
      <c r="G24" s="210">
        <f t="shared" si="15"/>
        <v>0.34821965796101262</v>
      </c>
      <c r="H24" s="210">
        <f t="shared" si="2"/>
        <v>0.36884446147784439</v>
      </c>
      <c r="I24" s="210">
        <f t="shared" si="3"/>
        <v>175.24153432141861</v>
      </c>
      <c r="J24" s="210">
        <f t="shared" si="4"/>
        <v>185.62096618500414</v>
      </c>
      <c r="K24" s="210">
        <f t="shared" si="5"/>
        <v>2.0624803516831769E-2</v>
      </c>
      <c r="L24" s="241">
        <f t="shared" si="16"/>
        <v>0.16205015900061934</v>
      </c>
      <c r="M24" s="210">
        <f t="shared" si="6"/>
        <v>0.26162133300814794</v>
      </c>
      <c r="N24" s="209">
        <f t="shared" si="7"/>
        <v>2.1529159390731407</v>
      </c>
      <c r="O24" s="241">
        <f t="shared" si="8"/>
        <v>0.55427835986899066</v>
      </c>
      <c r="P24" s="241">
        <f t="shared" si="9"/>
        <v>9.4960745770090744E-4</v>
      </c>
      <c r="Q24" s="209">
        <f t="shared" si="17"/>
        <v>2.5141137491504866</v>
      </c>
      <c r="R24" s="209">
        <f t="shared" si="18"/>
        <v>3.6654142231596996E-3</v>
      </c>
      <c r="S24" s="250">
        <f t="shared" si="19"/>
        <v>8.9650792855323761E-4</v>
      </c>
      <c r="T24" s="250">
        <f t="shared" si="25"/>
        <v>3.5602278517310399E-3</v>
      </c>
      <c r="U24" s="250">
        <f t="shared" si="26"/>
        <v>3.5602278517310399E-3</v>
      </c>
      <c r="V24" s="250">
        <f t="shared" si="27"/>
        <v>2.5141137491504866</v>
      </c>
      <c r="W24" s="1">
        <f t="shared" si="20"/>
        <v>9.7356407956343668E-4</v>
      </c>
      <c r="X24" s="1">
        <f t="shared" si="21"/>
        <v>357.67512921918859</v>
      </c>
      <c r="Y24" s="1">
        <f t="shared" si="22"/>
        <v>0.11031958353424809</v>
      </c>
      <c r="Z24" s="240">
        <f t="shared" si="10"/>
        <v>2.1921428497788473E-4</v>
      </c>
      <c r="AA24" s="240">
        <f t="shared" si="11"/>
        <v>3.5973505956200654E-3</v>
      </c>
      <c r="AB24" s="1">
        <f t="shared" si="28"/>
        <v>1.0007310016398622E-3</v>
      </c>
      <c r="AC24" s="248">
        <f t="shared" si="23"/>
        <v>-0.12950462144232236</v>
      </c>
      <c r="AD24" s="239"/>
      <c r="AE24" s="239"/>
      <c r="AF24" s="239"/>
      <c r="AG24" s="239"/>
      <c r="AH24" s="243"/>
      <c r="AJ24" s="239"/>
      <c r="AK24" s="239"/>
      <c r="AL24" s="239"/>
      <c r="AP24" s="240"/>
    </row>
    <row r="25" spans="1:48">
      <c r="A25" s="209">
        <f t="shared" si="24"/>
        <v>4</v>
      </c>
      <c r="B25" s="209">
        <f t="shared" si="12"/>
        <v>414.60147869412884</v>
      </c>
      <c r="C25" s="241">
        <f t="shared" si="0"/>
        <v>5.1544554455445549E-2</v>
      </c>
      <c r="D25" s="241">
        <f t="shared" si="1"/>
        <v>0.25386138613861386</v>
      </c>
      <c r="E25" s="241">
        <f t="shared" si="13"/>
        <v>0.76122243291727876</v>
      </c>
      <c r="F25" s="241">
        <f t="shared" si="14"/>
        <v>0.7325741508020297</v>
      </c>
      <c r="G25" s="210">
        <f t="shared" si="15"/>
        <v>0.4214966017968716</v>
      </c>
      <c r="H25" s="210">
        <f t="shared" si="2"/>
        <v>0.45510756385250378</v>
      </c>
      <c r="I25" s="210">
        <f t="shared" si="3"/>
        <v>174.75311436953336</v>
      </c>
      <c r="J25" s="210">
        <f t="shared" si="4"/>
        <v>188.68826893813073</v>
      </c>
      <c r="K25" s="210">
        <f t="shared" si="5"/>
        <v>3.3610962055632188E-2</v>
      </c>
      <c r="L25" s="241">
        <f t="shared" si="16"/>
        <v>0.20686881338951477</v>
      </c>
      <c r="M25" s="210">
        <f t="shared" si="6"/>
        <v>0.27717680976388198</v>
      </c>
      <c r="N25" s="209">
        <f t="shared" si="7"/>
        <v>2.3914563952529231</v>
      </c>
      <c r="O25" s="241">
        <f t="shared" si="8"/>
        <v>0.51106495724842271</v>
      </c>
      <c r="P25" s="241">
        <f t="shared" si="9"/>
        <v>9.7258527533852356E-4</v>
      </c>
      <c r="Q25" s="209">
        <f t="shared" si="17"/>
        <v>3.0251787063989095</v>
      </c>
      <c r="R25" s="209">
        <f t="shared" si="18"/>
        <v>4.637999498498223E-3</v>
      </c>
      <c r="S25" s="250">
        <f t="shared" si="19"/>
        <v>9.0075714198791163E-4</v>
      </c>
      <c r="T25" s="250">
        <f t="shared" si="25"/>
        <v>4.4609849937189512E-3</v>
      </c>
      <c r="U25" s="250">
        <f t="shared" si="26"/>
        <v>4.4609849937189512E-3</v>
      </c>
      <c r="V25" s="271">
        <f t="shared" si="27"/>
        <v>3.0251787063989095</v>
      </c>
      <c r="W25" s="1">
        <f t="shared" si="20"/>
        <v>9.7085063538629641E-4</v>
      </c>
      <c r="X25" s="1">
        <f t="shared" si="21"/>
        <v>434.15185244140082</v>
      </c>
      <c r="Y25" s="1">
        <f t="shared" si="22"/>
        <v>8.3465524415205258E-2</v>
      </c>
      <c r="Z25" s="240">
        <f t="shared" si="10"/>
        <v>2.0131506688807961E-4</v>
      </c>
      <c r="AA25" s="240">
        <f t="shared" si="11"/>
        <v>3.3781363106421807E-3</v>
      </c>
      <c r="AB25" s="1">
        <f t="shared" si="28"/>
        <v>1.2020460685279418E-3</v>
      </c>
      <c r="AC25" s="248">
        <f t="shared" si="23"/>
        <v>-0.12161290718311851</v>
      </c>
      <c r="AD25" s="239"/>
      <c r="AE25" s="239"/>
      <c r="AF25" s="239"/>
      <c r="AG25" s="239"/>
      <c r="AH25" s="243"/>
      <c r="AJ25" s="239"/>
      <c r="AK25" s="239"/>
      <c r="AL25" s="239"/>
      <c r="AP25" s="240"/>
    </row>
    <row r="26" spans="1:48">
      <c r="A26" s="209">
        <f t="shared" si="24"/>
        <v>5</v>
      </c>
      <c r="B26" s="209">
        <f t="shared" si="12"/>
        <v>341.56859318342964</v>
      </c>
      <c r="C26" s="241">
        <f t="shared" si="0"/>
        <v>5.1930693069306935E-2</v>
      </c>
      <c r="D26" s="241">
        <f t="shared" si="1"/>
        <v>0.30579207920792084</v>
      </c>
      <c r="E26" s="241">
        <f t="shared" si="13"/>
        <v>0.84556494862206988</v>
      </c>
      <c r="F26" s="241">
        <f t="shared" si="14"/>
        <v>0.80597577184492586</v>
      </c>
      <c r="G26" s="210">
        <f t="shared" si="15"/>
        <v>0.51019344044672432</v>
      </c>
      <c r="H26" s="210">
        <f t="shared" si="2"/>
        <v>0.56154535666845662</v>
      </c>
      <c r="I26" s="210">
        <f t="shared" si="3"/>
        <v>174.26605570480152</v>
      </c>
      <c r="J26" s="210">
        <f t="shared" si="4"/>
        <v>191.80625748593195</v>
      </c>
      <c r="K26" s="210">
        <f t="shared" si="5"/>
        <v>5.1351916221732297E-2</v>
      </c>
      <c r="L26" s="241">
        <f t="shared" si="16"/>
        <v>0.25570126620183098</v>
      </c>
      <c r="M26" s="210">
        <f t="shared" si="6"/>
        <v>0.29493184121011945</v>
      </c>
      <c r="N26" s="209">
        <f t="shared" si="7"/>
        <v>2.6564268425910949</v>
      </c>
      <c r="O26" s="241">
        <f t="shared" si="8"/>
        <v>0.47119417154205379</v>
      </c>
      <c r="P26" s="241">
        <f t="shared" si="9"/>
        <v>9.960631886274387E-4</v>
      </c>
      <c r="Q26" s="209">
        <f t="shared" si="17"/>
        <v>3.4963728779409635</v>
      </c>
      <c r="R26" s="209">
        <f t="shared" si="18"/>
        <v>5.6340626871256615E-3</v>
      </c>
      <c r="S26" s="250">
        <f t="shared" si="19"/>
        <v>9.0497570512047929E-4</v>
      </c>
      <c r="T26" s="250">
        <f t="shared" si="25"/>
        <v>5.3659606988394302E-3</v>
      </c>
      <c r="U26" s="250">
        <f t="shared" si="26"/>
        <v>5.3659606988394302E-3</v>
      </c>
      <c r="V26" s="250">
        <f t="shared" si="27"/>
        <v>3.4963728779409635</v>
      </c>
      <c r="W26" s="1">
        <f t="shared" si="20"/>
        <v>9.6814475391556387E-4</v>
      </c>
      <c r="X26" s="1">
        <f t="shared" si="21"/>
        <v>526.98053507318855</v>
      </c>
      <c r="Y26" s="1">
        <f t="shared" si="22"/>
        <v>6.3144752547130908E-2</v>
      </c>
      <c r="Z26" s="240">
        <f t="shared" si="10"/>
        <v>1.8486697491306182E-4</v>
      </c>
      <c r="AA26" s="240">
        <f t="shared" si="11"/>
        <v>3.1768212437541009E-3</v>
      </c>
      <c r="AB26" s="1">
        <f t="shared" si="28"/>
        <v>1.3869130434410037E-3</v>
      </c>
      <c r="AC26" s="248">
        <f t="shared" si="23"/>
        <v>-0.11436556477514763</v>
      </c>
      <c r="AD26" s="239"/>
      <c r="AE26" s="239"/>
      <c r="AF26" s="239"/>
      <c r="AG26" s="239"/>
      <c r="AH26" s="243"/>
      <c r="AJ26" s="239"/>
      <c r="AK26" s="239"/>
      <c r="AL26" s="239"/>
      <c r="AP26" s="240"/>
    </row>
    <row r="27" spans="1:48">
      <c r="A27" s="209">
        <f t="shared" si="24"/>
        <v>6</v>
      </c>
      <c r="B27" s="209">
        <f t="shared" si="12"/>
        <v>281.40059754919395</v>
      </c>
      <c r="C27" s="241">
        <f t="shared" si="0"/>
        <v>5.2316831683168322E-2</v>
      </c>
      <c r="D27" s="241">
        <f t="shared" si="1"/>
        <v>0.35810891089108915</v>
      </c>
      <c r="E27" s="241">
        <f t="shared" si="13"/>
        <v>0.9392525120393288</v>
      </c>
      <c r="F27" s="241">
        <f t="shared" si="14"/>
        <v>0.88673200397507668</v>
      </c>
      <c r="G27" s="210">
        <f t="shared" si="15"/>
        <v>0.61755503025456893</v>
      </c>
      <c r="H27" s="210">
        <f t="shared" si="2"/>
        <v>0.69287617398971757</v>
      </c>
      <c r="I27" s="210">
        <f t="shared" si="3"/>
        <v>173.78035453314624</v>
      </c>
      <c r="J27" s="210">
        <f t="shared" si="4"/>
        <v>194.97576938830579</v>
      </c>
      <c r="K27" s="210">
        <f t="shared" si="5"/>
        <v>7.5321143735148643E-2</v>
      </c>
      <c r="L27" s="241">
        <f t="shared" si="16"/>
        <v>0.30967989036831894</v>
      </c>
      <c r="M27" s="210">
        <f t="shared" si="6"/>
        <v>0.3147863108355049</v>
      </c>
      <c r="N27" s="209">
        <f t="shared" si="7"/>
        <v>2.9507556918227551</v>
      </c>
      <c r="O27" s="241">
        <f t="shared" si="8"/>
        <v>0.43440988993414026</v>
      </c>
      <c r="P27" s="241">
        <f t="shared" si="9"/>
        <v>1.0200514509384237E-3</v>
      </c>
      <c r="Q27" s="209">
        <f t="shared" si="17"/>
        <v>3.9307827678751037</v>
      </c>
      <c r="R27" s="209">
        <f t="shared" si="18"/>
        <v>6.6541141380640854E-3</v>
      </c>
      <c r="S27" s="250">
        <f t="shared" si="19"/>
        <v>9.0916375579519287E-4</v>
      </c>
      <c r="T27" s="250">
        <f t="shared" si="25"/>
        <v>6.2751244546346233E-3</v>
      </c>
      <c r="U27" s="250">
        <f t="shared" si="26"/>
        <v>6.2751244546346233E-3</v>
      </c>
      <c r="V27" s="250">
        <f t="shared" si="27"/>
        <v>3.9307827678751037</v>
      </c>
      <c r="W27" s="1">
        <f t="shared" si="20"/>
        <v>9.6544641407303455E-4</v>
      </c>
      <c r="X27" s="1">
        <f t="shared" si="21"/>
        <v>639.65749030981624</v>
      </c>
      <c r="Y27" s="1">
        <f t="shared" si="22"/>
        <v>4.7768696726276955E-2</v>
      </c>
      <c r="Z27" s="240">
        <f t="shared" si="10"/>
        <v>1.6975335924056137E-4</v>
      </c>
      <c r="AA27" s="240">
        <f t="shared" si="11"/>
        <v>2.9919542688410391E-3</v>
      </c>
      <c r="AB27" s="1">
        <f t="shared" si="28"/>
        <v>1.5566664026815651E-3</v>
      </c>
      <c r="AC27" s="248">
        <f t="shared" si="23"/>
        <v>-0.1077103536782774</v>
      </c>
      <c r="AD27" s="239"/>
      <c r="AE27" s="239"/>
      <c r="AF27" s="239"/>
      <c r="AG27" s="239"/>
      <c r="AH27" s="243"/>
      <c r="AJ27" s="239"/>
      <c r="AK27" s="239"/>
      <c r="AL27" s="239"/>
      <c r="AP27" s="240"/>
    </row>
    <row r="28" spans="1:48">
      <c r="A28" s="209">
        <f t="shared" si="24"/>
        <v>7</v>
      </c>
      <c r="B28" s="209">
        <f t="shared" si="12"/>
        <v>231.8313155288217</v>
      </c>
      <c r="C28" s="241">
        <f t="shared" si="0"/>
        <v>5.2702970297029708E-2</v>
      </c>
      <c r="D28" s="241">
        <f t="shared" si="1"/>
        <v>0.41081188118811884</v>
      </c>
      <c r="E28" s="241">
        <f t="shared" si="13"/>
        <v>1.0433205430402626</v>
      </c>
      <c r="F28" s="241">
        <f t="shared" si="14"/>
        <v>0.97557975604376201</v>
      </c>
      <c r="G28" s="210">
        <f t="shared" si="15"/>
        <v>0.74750905276004986</v>
      </c>
      <c r="H28" s="210">
        <f t="shared" si="2"/>
        <v>0.85492184519312719</v>
      </c>
      <c r="I28" s="210">
        <f t="shared" si="3"/>
        <v>173.29600707106576</v>
      </c>
      <c r="J28" s="210">
        <f t="shared" si="4"/>
        <v>198.19765604545034</v>
      </c>
      <c r="K28" s="210">
        <f t="shared" si="5"/>
        <v>0.10741279243307733</v>
      </c>
      <c r="L28" s="241">
        <f t="shared" si="16"/>
        <v>0.36981332470237216</v>
      </c>
      <c r="M28" s="210">
        <f t="shared" si="6"/>
        <v>0.3367536091689452</v>
      </c>
      <c r="N28" s="209">
        <f t="shared" si="7"/>
        <v>3.2776958180152889</v>
      </c>
      <c r="O28" s="241">
        <f t="shared" si="8"/>
        <v>0.40047539556982253</v>
      </c>
      <c r="P28" s="241">
        <f t="shared" si="9"/>
        <v>1.0445605179504279E-3</v>
      </c>
      <c r="Q28" s="209">
        <f t="shared" si="17"/>
        <v>4.3312581634449261</v>
      </c>
      <c r="R28" s="209">
        <f t="shared" si="18"/>
        <v>7.6986746560145135E-3</v>
      </c>
      <c r="S28" s="250">
        <f t="shared" si="19"/>
        <v>9.1332143132602278E-4</v>
      </c>
      <c r="T28" s="250">
        <f t="shared" si="25"/>
        <v>7.1884458859606459E-3</v>
      </c>
      <c r="U28" s="250">
        <f t="shared" si="26"/>
        <v>7.1884458859606459E-3</v>
      </c>
      <c r="V28" s="250">
        <f t="shared" si="27"/>
        <v>4.3312581634449261</v>
      </c>
      <c r="W28" s="1">
        <f t="shared" si="20"/>
        <v>9.6275559483925395E-4</v>
      </c>
      <c r="X28" s="1">
        <f t="shared" si="21"/>
        <v>776.42659961364063</v>
      </c>
      <c r="Y28" s="1">
        <f t="shared" si="22"/>
        <v>3.6134817057260488E-2</v>
      </c>
      <c r="Z28" s="240">
        <f t="shared" si="10"/>
        <v>1.558668507523874E-4</v>
      </c>
      <c r="AA28" s="240">
        <f t="shared" si="11"/>
        <v>2.8222009096004778E-3</v>
      </c>
      <c r="AB28" s="1">
        <f t="shared" si="28"/>
        <v>1.7125332534339525E-3</v>
      </c>
      <c r="AC28" s="248">
        <f t="shared" si="23"/>
        <v>-0.1015992327456172</v>
      </c>
      <c r="AD28" s="239"/>
      <c r="AE28" s="239"/>
      <c r="AF28" s="239"/>
      <c r="AG28" s="239"/>
      <c r="AH28" s="243"/>
      <c r="AJ28" s="239"/>
      <c r="AK28" s="239"/>
      <c r="AL28" s="239"/>
      <c r="AP28" s="240"/>
    </row>
    <row r="29" spans="1:48">
      <c r="A29" s="209">
        <f t="shared" si="24"/>
        <v>8</v>
      </c>
      <c r="B29" s="209">
        <f t="shared" si="12"/>
        <v>190.99376237262021</v>
      </c>
      <c r="C29" s="241">
        <f t="shared" si="0"/>
        <v>5.3089108910891088E-2</v>
      </c>
      <c r="D29" s="241">
        <f t="shared" si="1"/>
        <v>0.46390099009900992</v>
      </c>
      <c r="E29" s="241">
        <f t="shared" si="13"/>
        <v>1.158919184753002</v>
      </c>
      <c r="F29" s="241">
        <f t="shared" si="14"/>
        <v>1.07332977284663</v>
      </c>
      <c r="G29" s="210">
        <f t="shared" si="15"/>
        <v>0.90480970372452529</v>
      </c>
      <c r="H29" s="210">
        <f t="shared" si="2"/>
        <v>1.0548657737497373</v>
      </c>
      <c r="I29" s="210">
        <f t="shared" si="3"/>
        <v>172.81300954560288</v>
      </c>
      <c r="J29" s="210">
        <f t="shared" si="4"/>
        <v>201.47278292656748</v>
      </c>
      <c r="K29" s="210">
        <f t="shared" si="5"/>
        <v>0.15005607002521204</v>
      </c>
      <c r="L29" s="241">
        <f t="shared" si="16"/>
        <v>0.43710053249746172</v>
      </c>
      <c r="M29" s="210">
        <f t="shared" si="6"/>
        <v>0.36090932612777016</v>
      </c>
      <c r="N29" s="209">
        <f t="shared" si="7"/>
        <v>3.6408605108200311</v>
      </c>
      <c r="O29" s="241">
        <f t="shared" si="8"/>
        <v>0.36917192004715937</v>
      </c>
      <c r="P29" s="241">
        <f t="shared" si="9"/>
        <v>1.069601051536886E-3</v>
      </c>
      <c r="Q29" s="209">
        <f t="shared" si="17"/>
        <v>4.7004300834920851</v>
      </c>
      <c r="R29" s="209">
        <f t="shared" si="18"/>
        <v>8.7682757075514001E-3</v>
      </c>
      <c r="S29" s="250">
        <f t="shared" si="19"/>
        <v>9.1744886849853715E-4</v>
      </c>
      <c r="T29" s="250">
        <f t="shared" si="25"/>
        <v>8.1058947544591833E-3</v>
      </c>
      <c r="U29" s="250">
        <f t="shared" si="26"/>
        <v>8.1058947544591833E-3</v>
      </c>
      <c r="V29" s="250">
        <f t="shared" si="27"/>
        <v>4.7004300834920851</v>
      </c>
      <c r="W29" s="1">
        <f t="shared" si="20"/>
        <v>9.6007227525334927E-4</v>
      </c>
      <c r="X29" s="1">
        <f t="shared" si="21"/>
        <v>942.43915489149924</v>
      </c>
      <c r="Y29" s="1">
        <f t="shared" si="22"/>
        <v>2.7332856060862065E-2</v>
      </c>
      <c r="Z29" s="240">
        <f t="shared" si="10"/>
        <v>1.4310863203761018E-4</v>
      </c>
      <c r="AA29" s="240">
        <f t="shared" si="11"/>
        <v>2.6663340588480903E-3</v>
      </c>
      <c r="AB29" s="1">
        <f t="shared" si="28"/>
        <v>1.8556418854715627E-3</v>
      </c>
      <c r="AC29" s="248">
        <f t="shared" si="23"/>
        <v>-9.5988026118531244E-2</v>
      </c>
      <c r="AD29" s="239"/>
      <c r="AE29" s="239"/>
      <c r="AF29" s="239"/>
      <c r="AG29" s="239"/>
      <c r="AH29" s="243"/>
      <c r="AJ29" s="239"/>
      <c r="AK29" s="239"/>
      <c r="AL29" s="239"/>
      <c r="AP29" s="240"/>
    </row>
    <row r="30" spans="1:48">
      <c r="A30" s="209">
        <f t="shared" si="24"/>
        <v>9</v>
      </c>
      <c r="B30" s="209">
        <f t="shared" si="12"/>
        <v>157.34982645480363</v>
      </c>
      <c r="C30" s="241">
        <f t="shared" si="0"/>
        <v>5.3475247524752474E-2</v>
      </c>
      <c r="D30" s="241">
        <f t="shared" si="1"/>
        <v>0.51737623762376239</v>
      </c>
      <c r="E30" s="241">
        <f t="shared" si="13"/>
        <v>1.2873260147593317</v>
      </c>
      <c r="F30" s="241">
        <f t="shared" si="14"/>
        <v>1.180874033252614</v>
      </c>
      <c r="G30" s="210">
        <f t="shared" si="15"/>
        <v>1.0952116190850463</v>
      </c>
      <c r="H30" s="210">
        <f t="shared" si="2"/>
        <v>1.3015713739040828</v>
      </c>
      <c r="I30" s="210">
        <f t="shared" si="3"/>
        <v>172.33135819431652</v>
      </c>
      <c r="J30" s="210">
        <f t="shared" si="4"/>
        <v>204.80202980234776</v>
      </c>
      <c r="K30" s="210">
        <f t="shared" si="5"/>
        <v>0.20635975481903657</v>
      </c>
      <c r="L30" s="241">
        <f t="shared" si="16"/>
        <v>0.5125863691767929</v>
      </c>
      <c r="M30" s="210">
        <f t="shared" si="6"/>
        <v>0.38736982279126941</v>
      </c>
      <c r="N30" s="209">
        <f t="shared" si="7"/>
        <v>4.0442634079679163</v>
      </c>
      <c r="O30" s="241">
        <f t="shared" si="8"/>
        <v>0.34029730190140678</v>
      </c>
      <c r="P30" s="241">
        <f t="shared" si="9"/>
        <v>1.095183923725228E-3</v>
      </c>
      <c r="Q30" s="209">
        <f t="shared" si="17"/>
        <v>5.0407273853934917</v>
      </c>
      <c r="R30" s="209">
        <f t="shared" si="18"/>
        <v>9.863459631276628E-3</v>
      </c>
      <c r="S30" s="250">
        <f t="shared" si="19"/>
        <v>9.2154620357178571E-4</v>
      </c>
      <c r="T30" s="250">
        <f t="shared" si="25"/>
        <v>9.0274409580309682E-3</v>
      </c>
      <c r="U30" s="250">
        <f t="shared" si="26"/>
        <v>9.0274409580309682E-3</v>
      </c>
      <c r="V30" s="250">
        <f t="shared" si="27"/>
        <v>5.0407273853934917</v>
      </c>
      <c r="W30" s="1">
        <f t="shared" si="20"/>
        <v>9.573964344128694E-4</v>
      </c>
      <c r="X30" s="1">
        <f t="shared" si="21"/>
        <v>1143.9478775129271</v>
      </c>
      <c r="Y30" s="1">
        <f t="shared" si="22"/>
        <v>2.0673841980420677E-2</v>
      </c>
      <c r="Z30" s="240">
        <f t="shared" si="10"/>
        <v>1.313877647418882E-4</v>
      </c>
      <c r="AA30" s="240">
        <f t="shared" si="11"/>
        <v>2.5232254268104802E-3</v>
      </c>
      <c r="AB30" s="1">
        <f t="shared" si="28"/>
        <v>1.9870296502134508E-3</v>
      </c>
      <c r="AC30" s="248">
        <f t="shared" si="23"/>
        <v>-9.0836115365177286E-2</v>
      </c>
      <c r="AD30" s="239"/>
      <c r="AE30" s="239"/>
      <c r="AF30" s="239"/>
      <c r="AG30" s="239"/>
      <c r="AH30" s="243"/>
      <c r="AJ30" s="239"/>
      <c r="AK30" s="239"/>
      <c r="AL30" s="239"/>
      <c r="AP30" s="240"/>
    </row>
    <row r="31" spans="1:48">
      <c r="A31" s="209">
        <f t="shared" si="24"/>
        <v>10</v>
      </c>
      <c r="B31" s="209">
        <f t="shared" si="12"/>
        <v>129.63233761034138</v>
      </c>
      <c r="C31" s="241">
        <f t="shared" si="0"/>
        <v>5.3861386138613861E-2</v>
      </c>
      <c r="D31" s="241">
        <f t="shared" si="1"/>
        <v>0.5712376237623763</v>
      </c>
      <c r="E31" s="241">
        <f t="shared" si="13"/>
        <v>1.4299601646764872</v>
      </c>
      <c r="F31" s="241">
        <f t="shared" si="14"/>
        <v>1.2991938896020478</v>
      </c>
      <c r="G31" s="210">
        <f t="shared" si="15"/>
        <v>1.3256804006868605</v>
      </c>
      <c r="H31" s="210">
        <f t="shared" si="2"/>
        <v>1.6059749813898856</v>
      </c>
      <c r="I31" s="210">
        <f t="shared" si="3"/>
        <v>171.85104926525173</v>
      </c>
      <c r="J31" s="210">
        <f t="shared" si="4"/>
        <v>208.18629098129537</v>
      </c>
      <c r="K31" s="210">
        <f t="shared" si="5"/>
        <v>0.28029458070302504</v>
      </c>
      <c r="L31" s="241">
        <f t="shared" si="16"/>
        <v>0.59739543836750919</v>
      </c>
      <c r="M31" s="210">
        <f t="shared" si="6"/>
        <v>0.41628236315448902</v>
      </c>
      <c r="N31" s="209">
        <f t="shared" si="7"/>
        <v>4.4923628533476521</v>
      </c>
      <c r="O31" s="241">
        <f t="shared" si="8"/>
        <v>0.31366474351671852</v>
      </c>
      <c r="P31" s="241">
        <f t="shared" si="9"/>
        <v>1.1213202207309375E-3</v>
      </c>
      <c r="Q31" s="209">
        <f t="shared" si="17"/>
        <v>5.3543921289102103</v>
      </c>
      <c r="R31" s="209">
        <f t="shared" si="18"/>
        <v>1.0984779852007565E-2</v>
      </c>
      <c r="S31" s="250">
        <f t="shared" si="19"/>
        <v>9.2561357228016785E-4</v>
      </c>
      <c r="T31" s="250">
        <f t="shared" si="25"/>
        <v>9.9530545303111364E-3</v>
      </c>
      <c r="U31" s="250">
        <f t="shared" si="26"/>
        <v>9.9530545303111364E-3</v>
      </c>
      <c r="V31" s="250">
        <f t="shared" si="27"/>
        <v>5.3543921289102103</v>
      </c>
      <c r="W31" s="1">
        <f t="shared" si="20"/>
        <v>9.5472805147362057E-4</v>
      </c>
      <c r="X31" s="1">
        <f t="shared" si="21"/>
        <v>1388.5424217301209</v>
      </c>
      <c r="Y31" s="1">
        <f t="shared" si="22"/>
        <v>1.5636326322266299E-2</v>
      </c>
      <c r="Z31" s="240">
        <f t="shared" si="10"/>
        <v>1.2062056899156709E-4</v>
      </c>
      <c r="AA31" s="240">
        <f t="shared" si="11"/>
        <v>2.3918376620685922E-3</v>
      </c>
      <c r="AB31" s="1">
        <f t="shared" si="28"/>
        <v>2.1076502192050178E-3</v>
      </c>
      <c r="AC31" s="248">
        <f t="shared" si="23"/>
        <v>-8.6106155834469317E-2</v>
      </c>
      <c r="AD31" s="239"/>
      <c r="AE31" s="239"/>
      <c r="AF31" s="239"/>
      <c r="AG31" s="239"/>
      <c r="AH31" s="243"/>
      <c r="AJ31" s="239"/>
      <c r="AK31" s="239"/>
      <c r="AL31" s="239"/>
      <c r="AP31" s="240"/>
    </row>
    <row r="32" spans="1:48">
      <c r="A32" s="209">
        <f t="shared" si="24"/>
        <v>11</v>
      </c>
      <c r="B32" s="209">
        <f t="shared" si="12"/>
        <v>106.79734025094957</v>
      </c>
      <c r="C32" s="241">
        <f t="shared" si="0"/>
        <v>5.4247524752475247E-2</v>
      </c>
      <c r="D32" s="241">
        <f t="shared" si="1"/>
        <v>0.6254851485148516</v>
      </c>
      <c r="E32" s="241">
        <f t="shared" si="13"/>
        <v>1.5883980041713706</v>
      </c>
      <c r="F32" s="241">
        <f t="shared" si="14"/>
        <v>1.4293690226468208</v>
      </c>
      <c r="G32" s="210">
        <f t="shared" si="15"/>
        <v>1.604647443599488</v>
      </c>
      <c r="H32" s="210">
        <f t="shared" si="2"/>
        <v>1.9815706557175028</v>
      </c>
      <c r="I32" s="210">
        <f t="shared" si="3"/>
        <v>171.37207901691093</v>
      </c>
      <c r="J32" s="210">
        <f t="shared" si="4"/>
        <v>211.62647554995939</v>
      </c>
      <c r="K32" s="210">
        <f t="shared" si="5"/>
        <v>0.37692321211801483</v>
      </c>
      <c r="L32" s="241">
        <f t="shared" si="16"/>
        <v>0.69275711238013693</v>
      </c>
      <c r="M32" s="210">
        <f t="shared" si="6"/>
        <v>0.44782044589561681</v>
      </c>
      <c r="N32" s="209">
        <f t="shared" si="7"/>
        <v>4.990111169904778</v>
      </c>
      <c r="O32" s="241">
        <f t="shared" si="8"/>
        <v>0.28910165942104604</v>
      </c>
      <c r="P32" s="241">
        <f t="shared" si="9"/>
        <v>1.1480212470675521E-3</v>
      </c>
      <c r="Q32" s="209">
        <f t="shared" si="17"/>
        <v>5.6434937883312566</v>
      </c>
      <c r="R32" s="209">
        <f t="shared" si="18"/>
        <v>1.2132801099075118E-2</v>
      </c>
      <c r="S32" s="250">
        <f t="shared" si="19"/>
        <v>9.2965110983530197E-4</v>
      </c>
      <c r="T32" s="250">
        <f t="shared" si="25"/>
        <v>1.0882705640146439E-2</v>
      </c>
      <c r="U32" s="250">
        <f t="shared" si="26"/>
        <v>1.0882705640146439E-2</v>
      </c>
      <c r="V32" s="250">
        <f t="shared" si="27"/>
        <v>5.6434937883312566</v>
      </c>
      <c r="W32" s="1">
        <f t="shared" si="20"/>
        <v>9.520671056495049E-4</v>
      </c>
      <c r="X32" s="1">
        <f t="shared" si="21"/>
        <v>1685.4352325351999</v>
      </c>
      <c r="Y32" s="1">
        <f t="shared" si="22"/>
        <v>1.1825674926687384E-2</v>
      </c>
      <c r="Z32" s="240">
        <f t="shared" si="10"/>
        <v>1.1073005094415016E-4</v>
      </c>
      <c r="AA32" s="240">
        <f t="shared" si="11"/>
        <v>2.2712170930770251E-3</v>
      </c>
      <c r="AB32" s="1">
        <f t="shared" si="28"/>
        <v>2.2183802701491681E-3</v>
      </c>
      <c r="AC32" s="248">
        <f t="shared" si="23"/>
        <v>-8.17638153507729E-2</v>
      </c>
      <c r="AD32" s="239"/>
      <c r="AE32" s="239"/>
      <c r="AF32" s="239"/>
      <c r="AG32" s="239"/>
      <c r="AH32" s="243"/>
      <c r="AJ32" s="239"/>
      <c r="AK32" s="239"/>
      <c r="AL32" s="239"/>
      <c r="AP32" s="240"/>
    </row>
    <row r="33" spans="1:42">
      <c r="A33" s="209">
        <f t="shared" si="24"/>
        <v>12</v>
      </c>
      <c r="B33" s="209">
        <f t="shared" si="12"/>
        <v>87.984773667825991</v>
      </c>
      <c r="C33" s="241">
        <f t="shared" si="0"/>
        <v>5.4633663366336634E-2</v>
      </c>
      <c r="D33" s="241">
        <f t="shared" si="1"/>
        <v>0.68011881188118817</v>
      </c>
      <c r="E33" s="241">
        <f t="shared" si="13"/>
        <v>1.7643905627443792</v>
      </c>
      <c r="F33" s="241">
        <f t="shared" si="14"/>
        <v>1.5725872937473109</v>
      </c>
      <c r="G33" s="210">
        <f t="shared" si="15"/>
        <v>1.9423183875361425</v>
      </c>
      <c r="H33" s="210">
        <f t="shared" si="2"/>
        <v>2.4450083650757808</v>
      </c>
      <c r="I33" s="210">
        <f t="shared" si="3"/>
        <v>170.89444371822424</v>
      </c>
      <c r="J33" s="210">
        <f t="shared" si="4"/>
        <v>215.12350761713384</v>
      </c>
      <c r="K33" s="210">
        <f t="shared" si="5"/>
        <v>0.50268997753963829</v>
      </c>
      <c r="L33" s="241">
        <f t="shared" si="16"/>
        <v>0.80002703794680352</v>
      </c>
      <c r="M33" s="210">
        <f t="shared" si="6"/>
        <v>0.48218176239878785</v>
      </c>
      <c r="N33" s="209">
        <f t="shared" si="7"/>
        <v>5.5430093919177414</v>
      </c>
      <c r="O33" s="241">
        <f t="shared" si="8"/>
        <v>0.26644860940673237</v>
      </c>
      <c r="P33" s="241">
        <f t="shared" si="9"/>
        <v>1.1752985297340047E-3</v>
      </c>
      <c r="Q33" s="209">
        <f t="shared" si="17"/>
        <v>5.9099423977379892</v>
      </c>
      <c r="R33" s="209">
        <f t="shared" si="18"/>
        <v>1.3308099628809123E-2</v>
      </c>
      <c r="S33" s="250">
        <f t="shared" si="19"/>
        <v>9.3365895092788252E-4</v>
      </c>
      <c r="T33" s="250">
        <f t="shared" si="25"/>
        <v>1.1816364591074321E-2</v>
      </c>
      <c r="U33" s="250">
        <f t="shared" si="26"/>
        <v>1.1816364591074321E-2</v>
      </c>
      <c r="V33" s="250">
        <f t="shared" si="27"/>
        <v>5.9099423977379892</v>
      </c>
      <c r="W33" s="1">
        <f t="shared" si="20"/>
        <v>9.4941357621235645E-4</v>
      </c>
      <c r="X33" s="1">
        <f t="shared" si="21"/>
        <v>2045.8085245472641</v>
      </c>
      <c r="Y33" s="1">
        <f t="shared" si="22"/>
        <v>8.9432452968373696E-3</v>
      </c>
      <c r="Z33" s="240">
        <f t="shared" si="10"/>
        <v>1.0164537480770617E-4</v>
      </c>
      <c r="AA33" s="240">
        <f t="shared" si="11"/>
        <v>2.1604870421328749E-3</v>
      </c>
      <c r="AB33" s="1">
        <f t="shared" si="28"/>
        <v>2.3200256449568742E-3</v>
      </c>
      <c r="AC33" s="248">
        <f t="shared" si="23"/>
        <v>-7.7777533516783501E-2</v>
      </c>
      <c r="AD33" s="239"/>
      <c r="AE33" s="239"/>
      <c r="AF33" s="239"/>
      <c r="AG33" s="239"/>
      <c r="AH33" s="243"/>
      <c r="AJ33" s="239"/>
      <c r="AK33" s="239"/>
      <c r="AL33" s="239"/>
      <c r="AP33" s="240"/>
    </row>
    <row r="34" spans="1:42">
      <c r="A34" s="209">
        <f t="shared" si="24"/>
        <v>13</v>
      </c>
      <c r="B34" s="209">
        <f t="shared" si="12"/>
        <v>72.486078578251252</v>
      </c>
      <c r="C34" s="241">
        <f t="shared" si="0"/>
        <v>5.501980198019802E-2</v>
      </c>
      <c r="D34" s="241">
        <f t="shared" si="1"/>
        <v>0.73513861386138624</v>
      </c>
      <c r="E34" s="241">
        <f t="shared" si="13"/>
        <v>1.9598828818256067</v>
      </c>
      <c r="F34" s="241">
        <f t="shared" si="14"/>
        <v>1.7301555842284031</v>
      </c>
      <c r="G34" s="210">
        <f t="shared" si="15"/>
        <v>2.3510464766630852</v>
      </c>
      <c r="H34" s="210">
        <f t="shared" si="2"/>
        <v>3.0168320710855294</v>
      </c>
      <c r="I34" s="210">
        <f t="shared" si="3"/>
        <v>170.41813964852113</v>
      </c>
      <c r="J34" s="210">
        <f t="shared" si="4"/>
        <v>218.67832656209416</v>
      </c>
      <c r="K34" s="210">
        <f t="shared" si="5"/>
        <v>0.66578559442244423</v>
      </c>
      <c r="L34" s="241">
        <f t="shared" si="16"/>
        <v>0.92070764352009049</v>
      </c>
      <c r="M34" s="210">
        <f t="shared" si="6"/>
        <v>0.51958761915275808</v>
      </c>
      <c r="N34" s="209">
        <f t="shared" si="7"/>
        <v>6.1571680615433255</v>
      </c>
      <c r="O34" s="241">
        <f t="shared" si="8"/>
        <v>0.24555831037414183</v>
      </c>
      <c r="P34" s="241">
        <f t="shared" si="9"/>
        <v>1.2031638224807501E-3</v>
      </c>
      <c r="Q34" s="209">
        <f t="shared" si="17"/>
        <v>6.1555007081121307</v>
      </c>
      <c r="R34" s="209">
        <f t="shared" si="18"/>
        <v>1.4511263451289873E-2</v>
      </c>
      <c r="S34" s="250">
        <f t="shared" si="19"/>
        <v>9.3763722972953667E-4</v>
      </c>
      <c r="T34" s="250">
        <f t="shared" si="25"/>
        <v>1.2754001820803858E-2</v>
      </c>
      <c r="U34" s="250">
        <f t="shared" si="26"/>
        <v>1.2754001820803858E-2</v>
      </c>
      <c r="V34" s="250">
        <f t="shared" si="27"/>
        <v>6.1555007081121307</v>
      </c>
      <c r="W34" s="1">
        <f t="shared" si="20"/>
        <v>9.4676744249178383E-4</v>
      </c>
      <c r="X34" s="1">
        <f t="shared" si="21"/>
        <v>2483.2354505932303</v>
      </c>
      <c r="Y34" s="1">
        <f t="shared" si="22"/>
        <v>6.7630508680030423E-3</v>
      </c>
      <c r="Z34" s="240">
        <f t="shared" si="10"/>
        <v>9.3301375942169261E-5</v>
      </c>
      <c r="AA34" s="240">
        <f t="shared" si="11"/>
        <v>2.0588416673251687E-3</v>
      </c>
      <c r="AB34" s="1">
        <f t="shared" si="28"/>
        <v>2.4133270208990436E-3</v>
      </c>
      <c r="AC34" s="248">
        <f t="shared" si="23"/>
        <v>-7.4118300023706077E-2</v>
      </c>
      <c r="AD34" s="239"/>
      <c r="AE34" s="239"/>
      <c r="AF34" s="239"/>
      <c r="AG34" s="239"/>
      <c r="AH34" s="243"/>
      <c r="AJ34" s="239"/>
      <c r="AK34" s="239"/>
      <c r="AL34" s="239"/>
      <c r="AP34" s="240"/>
    </row>
    <row r="35" spans="1:42">
      <c r="A35" s="209">
        <f t="shared" ref="A35:A98" si="29">A34+1</f>
        <v>14</v>
      </c>
      <c r="B35" s="209">
        <f t="shared" si="12"/>
        <v>59.717509844248958</v>
      </c>
      <c r="C35" s="241">
        <f t="shared" si="0"/>
        <v>5.5405940594059407E-2</v>
      </c>
      <c r="D35" s="241">
        <f t="shared" si="1"/>
        <v>0.79054455445544558</v>
      </c>
      <c r="E35" s="241">
        <f t="shared" si="13"/>
        <v>2.1770355110596564</v>
      </c>
      <c r="F35" s="241">
        <f t="shared" si="14"/>
        <v>1.9035117208048125</v>
      </c>
      <c r="G35" s="210">
        <f t="shared" si="15"/>
        <v>2.8457844866729158</v>
      </c>
      <c r="H35" s="210">
        <f t="shared" si="2"/>
        <v>3.7223904323321677</v>
      </c>
      <c r="I35" s="210">
        <f t="shared" si="3"/>
        <v>169.94316309750081</v>
      </c>
      <c r="J35" s="210">
        <f t="shared" si="4"/>
        <v>222.29188728693435</v>
      </c>
      <c r="K35" s="210">
        <f t="shared" si="5"/>
        <v>0.87660594565925187</v>
      </c>
      <c r="L35" s="241">
        <f t="shared" si="16"/>
        <v>1.0564689986807378</v>
      </c>
      <c r="M35" s="210">
        <f t="shared" si="6"/>
        <v>0.56028325618945929</v>
      </c>
      <c r="N35" s="209">
        <f t="shared" si="7"/>
        <v>6.8393747615450167</v>
      </c>
      <c r="O35" s="241">
        <f t="shared" si="8"/>
        <v>0.22629472122053479</v>
      </c>
      <c r="P35" s="241">
        <f t="shared" si="9"/>
        <v>1.2316291101561233E-3</v>
      </c>
      <c r="Q35" s="209">
        <f t="shared" si="17"/>
        <v>6.3817954293326657</v>
      </c>
      <c r="R35" s="209">
        <f t="shared" si="18"/>
        <v>1.5742892561445995E-2</v>
      </c>
      <c r="S35" s="250">
        <f t="shared" si="19"/>
        <v>9.4158607989466793E-4</v>
      </c>
      <c r="T35" s="250">
        <f t="shared" si="25"/>
        <v>1.3695587900698527E-2</v>
      </c>
      <c r="U35" s="250">
        <f t="shared" si="26"/>
        <v>1.3695587900698527E-2</v>
      </c>
      <c r="V35" s="250">
        <f t="shared" si="27"/>
        <v>6.3817954293326657</v>
      </c>
      <c r="W35" s="1">
        <f t="shared" si="20"/>
        <v>9.4412868387500418E-4</v>
      </c>
      <c r="X35" s="1">
        <f t="shared" si="21"/>
        <v>3014.1913229380043</v>
      </c>
      <c r="Y35" s="1">
        <f t="shared" si="22"/>
        <v>5.1140947908292602E-3</v>
      </c>
      <c r="Z35" s="240">
        <f t="shared" si="10"/>
        <v>8.5638111906666655E-5</v>
      </c>
      <c r="AA35" s="240">
        <f t="shared" si="11"/>
        <v>1.9655402913829993E-3</v>
      </c>
      <c r="AB35" s="1">
        <f t="shared" si="28"/>
        <v>2.4989651328057101E-3</v>
      </c>
      <c r="AC35" s="248">
        <f t="shared" si="23"/>
        <v>-7.0759450489787976E-2</v>
      </c>
      <c r="AD35" s="239"/>
      <c r="AE35" s="239"/>
      <c r="AF35" s="239"/>
      <c r="AG35" s="239"/>
      <c r="AH35" s="243"/>
      <c r="AJ35" s="239"/>
      <c r="AK35" s="239"/>
      <c r="AL35" s="239"/>
      <c r="AP35" s="240"/>
    </row>
    <row r="36" spans="1:42">
      <c r="A36" s="209">
        <f t="shared" si="29"/>
        <v>15</v>
      </c>
      <c r="B36" s="209">
        <f t="shared" si="12"/>
        <v>49.198150209604101</v>
      </c>
      <c r="C36" s="241">
        <f t="shared" si="0"/>
        <v>5.5792079207920793E-2</v>
      </c>
      <c r="D36" s="241">
        <f t="shared" si="1"/>
        <v>0.84633663366336642</v>
      </c>
      <c r="E36" s="241">
        <f t="shared" si="13"/>
        <v>2.4182483863525608</v>
      </c>
      <c r="F36" s="241">
        <f t="shared" si="14"/>
        <v>2.0942375958964434</v>
      </c>
      <c r="G36" s="210">
        <f t="shared" si="15"/>
        <v>3.4446317522751264</v>
      </c>
      <c r="H36" s="210">
        <f t="shared" si="2"/>
        <v>4.5929604977091989</v>
      </c>
      <c r="I36" s="210">
        <f t="shared" si="3"/>
        <v>169.46951036520346</v>
      </c>
      <c r="J36" s="210">
        <f t="shared" si="4"/>
        <v>225.96516047307517</v>
      </c>
      <c r="K36" s="210">
        <f t="shared" si="5"/>
        <v>1.1483287454340725</v>
      </c>
      <c r="L36" s="241">
        <f t="shared" si="16"/>
        <v>1.2091708522912095</v>
      </c>
      <c r="M36" s="210">
        <f t="shared" si="6"/>
        <v>0.60453876703067566</v>
      </c>
      <c r="N36" s="209">
        <f t="shared" si="7"/>
        <v>7.5971691305652049</v>
      </c>
      <c r="O36" s="241">
        <f t="shared" si="8"/>
        <v>0.20853219549311153</v>
      </c>
      <c r="P36" s="241">
        <f t="shared" si="9"/>
        <v>1.260706613134434E-3</v>
      </c>
      <c r="Q36" s="209">
        <f t="shared" si="17"/>
        <v>6.5903276248257772</v>
      </c>
      <c r="R36" s="209">
        <f t="shared" si="18"/>
        <v>1.7003599174580428E-2</v>
      </c>
      <c r="S36" s="250">
        <f t="shared" si="19"/>
        <v>9.4550563456229856E-4</v>
      </c>
      <c r="T36" s="250">
        <f t="shared" si="25"/>
        <v>1.4641093535260824E-2</v>
      </c>
      <c r="U36" s="250">
        <f t="shared" si="26"/>
        <v>1.4641093535260824E-2</v>
      </c>
      <c r="V36" s="250">
        <f t="shared" si="27"/>
        <v>6.5903276248257772</v>
      </c>
      <c r="W36" s="1">
        <f t="shared" si="20"/>
        <v>9.4149727980668565E-4</v>
      </c>
      <c r="X36" s="1">
        <f t="shared" si="21"/>
        <v>3658.6741418758011</v>
      </c>
      <c r="Y36" s="1">
        <f t="shared" si="22"/>
        <v>3.8669966743180985E-3</v>
      </c>
      <c r="Z36" s="240">
        <f t="shared" si="10"/>
        <v>7.8600448550263013E-5</v>
      </c>
      <c r="AA36" s="240">
        <f t="shared" si="11"/>
        <v>1.8799021794763328E-3</v>
      </c>
      <c r="AB36" s="1">
        <f t="shared" si="28"/>
        <v>2.5775655813559733E-3</v>
      </c>
      <c r="AC36" s="248">
        <f t="shared" si="23"/>
        <v>-6.7676478461147979E-2</v>
      </c>
      <c r="AD36" s="239"/>
      <c r="AE36" s="239"/>
      <c r="AF36" s="239"/>
      <c r="AG36" s="239"/>
      <c r="AH36" s="243"/>
      <c r="AJ36" s="239"/>
      <c r="AK36" s="239"/>
      <c r="AL36" s="239"/>
      <c r="AP36" s="240"/>
    </row>
    <row r="37" spans="1:42">
      <c r="A37" s="209">
        <f t="shared" si="29"/>
        <v>16</v>
      </c>
      <c r="B37" s="209">
        <f t="shared" si="12"/>
        <v>40.53179696138767</v>
      </c>
      <c r="C37" s="241">
        <f t="shared" si="0"/>
        <v>5.617821782178218E-2</v>
      </c>
      <c r="D37" s="241">
        <f t="shared" si="1"/>
        <v>0.90251485148514854</v>
      </c>
      <c r="E37" s="241">
        <f t="shared" si="13"/>
        <v>2.6861873535771257</v>
      </c>
      <c r="F37" s="241">
        <f t="shared" si="14"/>
        <v>2.3040736025579971</v>
      </c>
      <c r="G37" s="210">
        <f t="shared" si="15"/>
        <v>4.1694963073800029</v>
      </c>
      <c r="H37" s="210">
        <f t="shared" si="2"/>
        <v>5.6671342023357871</v>
      </c>
      <c r="I37" s="210">
        <f t="shared" si="3"/>
        <v>168.9971777619819</v>
      </c>
      <c r="J37" s="210">
        <f t="shared" si="4"/>
        <v>229.69913284200979</v>
      </c>
      <c r="K37" s="210">
        <f t="shared" si="5"/>
        <v>1.4976378949557843</v>
      </c>
      <c r="L37" s="241">
        <f t="shared" si="16"/>
        <v>1.3808864299836878</v>
      </c>
      <c r="M37" s="210">
        <f t="shared" si="6"/>
        <v>0.65265046179671893</v>
      </c>
      <c r="N37" s="209">
        <f t="shared" si="7"/>
        <v>8.4389261899978987</v>
      </c>
      <c r="O37" s="241">
        <f t="shared" si="8"/>
        <v>0.19215469689541748</v>
      </c>
      <c r="P37" s="241">
        <f t="shared" si="9"/>
        <v>1.2904087918272906E-3</v>
      </c>
      <c r="Q37" s="209">
        <f t="shared" si="17"/>
        <v>6.7824823217211945</v>
      </c>
      <c r="R37" s="209">
        <f t="shared" si="18"/>
        <v>1.8294007966407719E-2</v>
      </c>
      <c r="S37" s="250">
        <f t="shared" si="19"/>
        <v>9.4939602635790634E-4</v>
      </c>
      <c r="T37" s="250">
        <f t="shared" si="25"/>
        <v>1.5590489561618731E-2</v>
      </c>
      <c r="U37" s="250">
        <f t="shared" si="26"/>
        <v>1.5590489561618731E-2</v>
      </c>
      <c r="V37" s="250">
        <f t="shared" si="27"/>
        <v>6.7824823217211945</v>
      </c>
      <c r="W37" s="1">
        <f t="shared" si="20"/>
        <v>9.3887320978878802E-4</v>
      </c>
      <c r="X37" s="1">
        <f t="shared" si="21"/>
        <v>4440.9578033630187</v>
      </c>
      <c r="Y37" s="1">
        <f t="shared" si="22"/>
        <v>2.9238697366082166E-3</v>
      </c>
      <c r="Z37" s="240">
        <f t="shared" si="10"/>
        <v>7.213767846004016E-5</v>
      </c>
      <c r="AA37" s="240">
        <f t="shared" si="11"/>
        <v>1.8013017309260698E-3</v>
      </c>
      <c r="AB37" s="1">
        <f t="shared" si="28"/>
        <v>2.6497032598160135E-3</v>
      </c>
      <c r="AC37" s="248">
        <f t="shared" si="23"/>
        <v>-6.4846862313338513E-2</v>
      </c>
      <c r="AD37" s="239"/>
      <c r="AE37" s="239"/>
      <c r="AF37" s="239"/>
      <c r="AG37" s="239"/>
      <c r="AH37" s="243"/>
      <c r="AJ37" s="239"/>
      <c r="AK37" s="239"/>
      <c r="AL37" s="239"/>
      <c r="AP37" s="240"/>
    </row>
    <row r="38" spans="1:42">
      <c r="A38" s="209">
        <f t="shared" si="29"/>
        <v>17</v>
      </c>
      <c r="B38" s="209">
        <f t="shared" si="12"/>
        <v>33.392039292535316</v>
      </c>
      <c r="C38" s="241">
        <f t="shared" si="0"/>
        <v>5.6564356435643566E-2</v>
      </c>
      <c r="D38" s="241">
        <f t="shared" si="1"/>
        <v>0.95907920792079204</v>
      </c>
      <c r="E38" s="241">
        <f t="shared" si="13"/>
        <v>2.9838136310724317</v>
      </c>
      <c r="F38" s="241">
        <f t="shared" si="14"/>
        <v>2.5349345157430241</v>
      </c>
      <c r="G38" s="210">
        <f t="shared" si="15"/>
        <v>5.0468963614973186</v>
      </c>
      <c r="H38" s="210">
        <f t="shared" si="2"/>
        <v>6.9925291287183038</v>
      </c>
      <c r="I38" s="210">
        <f t="shared" si="3"/>
        <v>168.52616160847197</v>
      </c>
      <c r="J38" s="210">
        <f t="shared" si="4"/>
        <v>233.49480742035934</v>
      </c>
      <c r="K38" s="210">
        <f t="shared" si="5"/>
        <v>1.9456327672209852</v>
      </c>
      <c r="L38" s="241">
        <f t="shared" si="16"/>
        <v>1.5739284564008391</v>
      </c>
      <c r="M38" s="210">
        <f t="shared" si="6"/>
        <v>0.70494258733579629</v>
      </c>
      <c r="N38" s="209">
        <f t="shared" si="7"/>
        <v>9.3739489033771513</v>
      </c>
      <c r="O38" s="241">
        <f t="shared" si="8"/>
        <v>0.17705507308176177</v>
      </c>
      <c r="P38" s="241">
        <f t="shared" si="9"/>
        <v>1.3207483512797157E-3</v>
      </c>
      <c r="Q38" s="209">
        <f t="shared" si="17"/>
        <v>6.9595373948029566</v>
      </c>
      <c r="R38" s="209">
        <f t="shared" si="18"/>
        <v>1.9614756317687436E-2</v>
      </c>
      <c r="S38" s="250">
        <f t="shared" si="19"/>
        <v>9.5325738739524804E-4</v>
      </c>
      <c r="T38" s="250">
        <f t="shared" si="25"/>
        <v>1.654374694901398E-2</v>
      </c>
      <c r="U38" s="250">
        <f t="shared" si="26"/>
        <v>1.654374694901398E-2</v>
      </c>
      <c r="V38" s="250">
        <f t="shared" si="27"/>
        <v>6.9595373948029566</v>
      </c>
      <c r="W38" s="1">
        <f t="shared" si="20"/>
        <v>9.3625645338039963E-4</v>
      </c>
      <c r="X38" s="1">
        <f t="shared" si="21"/>
        <v>5390.5063546160382</v>
      </c>
      <c r="Y38" s="1">
        <f t="shared" si="22"/>
        <v>2.2106588299340376E-3</v>
      </c>
      <c r="Z38" s="240">
        <f t="shared" si="10"/>
        <v>6.6203169281374904E-5</v>
      </c>
      <c r="AA38" s="240">
        <f t="shared" si="11"/>
        <v>1.7291640524660296E-3</v>
      </c>
      <c r="AB38" s="1">
        <f t="shared" si="28"/>
        <v>2.7159064290973884E-3</v>
      </c>
      <c r="AC38" s="248">
        <f t="shared" si="23"/>
        <v>-6.2249905888777067E-2</v>
      </c>
      <c r="AD38" s="239"/>
      <c r="AE38" s="239"/>
      <c r="AF38" s="239"/>
      <c r="AG38" s="239"/>
      <c r="AH38" s="243"/>
      <c r="AJ38" s="239"/>
      <c r="AK38" s="239"/>
      <c r="AL38" s="239"/>
      <c r="AP38" s="240"/>
    </row>
    <row r="39" spans="1:42">
      <c r="A39" s="209">
        <f t="shared" si="29"/>
        <v>18</v>
      </c>
      <c r="B39" s="209">
        <f t="shared" si="12"/>
        <v>27.509964317063126</v>
      </c>
      <c r="C39" s="241">
        <f t="shared" si="0"/>
        <v>5.6950495049504953E-2</v>
      </c>
      <c r="D39" s="241">
        <f t="shared" si="1"/>
        <v>1.0160297029702969</v>
      </c>
      <c r="E39" s="241">
        <f t="shared" si="13"/>
        <v>3.3144165365522857</v>
      </c>
      <c r="F39" s="241">
        <f t="shared" si="14"/>
        <v>2.7889269648205914</v>
      </c>
      <c r="G39" s="210">
        <f t="shared" si="15"/>
        <v>6.1089304333022074</v>
      </c>
      <c r="H39" s="210">
        <f t="shared" si="2"/>
        <v>8.6278993703415399</v>
      </c>
      <c r="I39" s="210">
        <f t="shared" si="3"/>
        <v>168.05645823556472</v>
      </c>
      <c r="J39" s="210">
        <f t="shared" si="4"/>
        <v>237.35320380930719</v>
      </c>
      <c r="K39" s="210">
        <f t="shared" si="5"/>
        <v>2.5189689370393324</v>
      </c>
      <c r="L39" s="241">
        <f t="shared" si="16"/>
        <v>1.7908778190227981</v>
      </c>
      <c r="M39" s="210">
        <f t="shared" si="6"/>
        <v>0.76176935876474383</v>
      </c>
      <c r="N39" s="209">
        <f t="shared" si="7"/>
        <v>10.412570991232661</v>
      </c>
      <c r="O39" s="241">
        <f t="shared" si="8"/>
        <v>0.16313438349649445</v>
      </c>
      <c r="P39" s="241">
        <f t="shared" si="9"/>
        <v>1.351738245852609E-3</v>
      </c>
      <c r="Q39" s="209">
        <f t="shared" si="17"/>
        <v>7.1226717782994511</v>
      </c>
      <c r="R39" s="209">
        <f t="shared" si="18"/>
        <v>2.0966494563540043E-2</v>
      </c>
      <c r="S39" s="250">
        <f t="shared" si="19"/>
        <v>9.5708984927818635E-4</v>
      </c>
      <c r="T39" s="250">
        <f t="shared" si="25"/>
        <v>1.7500836798292167E-2</v>
      </c>
      <c r="U39" s="250">
        <f t="shared" si="26"/>
        <v>1.7500836798292167E-2</v>
      </c>
      <c r="V39" s="250">
        <f t="shared" si="27"/>
        <v>7.1226717782994511</v>
      </c>
      <c r="W39" s="1">
        <f t="shared" si="20"/>
        <v>9.3364699019758137E-4</v>
      </c>
      <c r="X39" s="1">
        <f t="shared" si="21"/>
        <v>6543.0837323316555</v>
      </c>
      <c r="Y39" s="1">
        <f t="shared" si="22"/>
        <v>1.6713414618349752E-3</v>
      </c>
      <c r="Z39" s="240">
        <f t="shared" si="10"/>
        <v>6.0754039611687948E-5</v>
      </c>
      <c r="AA39" s="240">
        <f t="shared" si="11"/>
        <v>1.6629608831846548E-3</v>
      </c>
      <c r="AB39" s="1">
        <f t="shared" si="28"/>
        <v>2.7766604687090761E-3</v>
      </c>
      <c r="AC39" s="248">
        <f t="shared" si="23"/>
        <v>-5.9866591794647574E-2</v>
      </c>
      <c r="AD39" s="239"/>
      <c r="AE39" s="239"/>
      <c r="AF39" s="239"/>
      <c r="AG39" s="239"/>
      <c r="AH39" s="243"/>
      <c r="AJ39" s="239"/>
      <c r="AK39" s="239"/>
      <c r="AL39" s="239"/>
      <c r="AP39" s="240"/>
    </row>
    <row r="40" spans="1:42">
      <c r="A40" s="209">
        <f t="shared" si="29"/>
        <v>19</v>
      </c>
      <c r="B40" s="209">
        <f t="shared" si="12"/>
        <v>22.66402869546414</v>
      </c>
      <c r="C40" s="241">
        <f t="shared" si="0"/>
        <v>5.7336633663366339E-2</v>
      </c>
      <c r="D40" s="241">
        <f t="shared" si="1"/>
        <v>1.0733663366336634</v>
      </c>
      <c r="E40" s="241">
        <f t="shared" si="13"/>
        <v>3.6816498401151598</v>
      </c>
      <c r="F40" s="241">
        <f t="shared" si="14"/>
        <v>3.0683686567830439</v>
      </c>
      <c r="G40" s="210">
        <f t="shared" si="15"/>
        <v>7.3944516324195071</v>
      </c>
      <c r="H40" s="210">
        <f t="shared" si="2"/>
        <v>10.645740071215775</v>
      </c>
      <c r="I40" s="210">
        <f t="shared" si="3"/>
        <v>167.58806398437736</v>
      </c>
      <c r="J40" s="210">
        <f t="shared" si="4"/>
        <v>241.27535845848678</v>
      </c>
      <c r="K40" s="210">
        <f t="shared" si="5"/>
        <v>3.2512884387962675</v>
      </c>
      <c r="L40" s="241">
        <f t="shared" si="16"/>
        <v>2.0346152784473537</v>
      </c>
      <c r="M40" s="210">
        <f t="shared" si="6"/>
        <v>0.82351728083390308</v>
      </c>
      <c r="N40" s="209">
        <f t="shared" si="7"/>
        <v>11.566271137705787</v>
      </c>
      <c r="O40" s="241">
        <f t="shared" si="8"/>
        <v>0.1503012773153781</v>
      </c>
      <c r="P40" s="241">
        <f t="shared" si="9"/>
        <v>1.3833916839931649E-3</v>
      </c>
      <c r="Q40" s="209">
        <f t="shared" si="17"/>
        <v>7.2729730556148295</v>
      </c>
      <c r="R40" s="209">
        <f t="shared" si="18"/>
        <v>2.2349886247533209E-2</v>
      </c>
      <c r="S40" s="250">
        <f t="shared" si="19"/>
        <v>9.6089354310250437E-4</v>
      </c>
      <c r="T40" s="250">
        <f t="shared" si="25"/>
        <v>1.8461730341394672E-2</v>
      </c>
      <c r="U40" s="250">
        <f t="shared" si="26"/>
        <v>1.8461730341394672E-2</v>
      </c>
      <c r="V40" s="250">
        <f t="shared" si="27"/>
        <v>7.2729730556148295</v>
      </c>
      <c r="W40" s="1">
        <f t="shared" si="20"/>
        <v>9.3104479991320719E-4</v>
      </c>
      <c r="X40" s="1">
        <f t="shared" si="21"/>
        <v>7942.1007808741579</v>
      </c>
      <c r="Y40" s="1">
        <f t="shared" si="22"/>
        <v>1.2635390985840228E-3</v>
      </c>
      <c r="Z40" s="240">
        <f t="shared" si="10"/>
        <v>5.5750860341828852E-5</v>
      </c>
      <c r="AA40" s="240">
        <f t="shared" si="11"/>
        <v>1.6022068435729668E-3</v>
      </c>
      <c r="AB40" s="1">
        <f t="shared" si="28"/>
        <v>2.832411329050905E-3</v>
      </c>
      <c r="AC40" s="248">
        <f t="shared" si="23"/>
        <v>-5.7679446368626805E-2</v>
      </c>
      <c r="AD40" s="239"/>
      <c r="AE40" s="239"/>
      <c r="AF40" s="239"/>
      <c r="AG40" s="239"/>
      <c r="AH40" s="243"/>
      <c r="AJ40" s="239"/>
      <c r="AK40" s="239"/>
      <c r="AL40" s="239"/>
      <c r="AP40" s="240"/>
    </row>
    <row r="41" spans="1:42">
      <c r="A41" s="209">
        <f t="shared" si="29"/>
        <v>20</v>
      </c>
      <c r="B41" s="209">
        <f t="shared" si="12"/>
        <v>18.671714393690586</v>
      </c>
      <c r="C41" s="241">
        <f t="shared" si="0"/>
        <v>5.7722772277227725E-2</v>
      </c>
      <c r="D41" s="241">
        <f t="shared" si="1"/>
        <v>1.131089108910891</v>
      </c>
      <c r="E41" s="241">
        <f t="shared" si="13"/>
        <v>4.0895721451232134</v>
      </c>
      <c r="F41" s="241">
        <f t="shared" si="14"/>
        <v>3.375809525558596</v>
      </c>
      <c r="G41" s="210">
        <f t="shared" si="15"/>
        <v>8.9504890489700806</v>
      </c>
      <c r="H41" s="210">
        <f t="shared" si="2"/>
        <v>13.135501099313698</v>
      </c>
      <c r="I41" s="210">
        <f t="shared" si="3"/>
        <v>167.12097520622461</v>
      </c>
      <c r="J41" s="210">
        <f t="shared" si="4"/>
        <v>245.26232494439409</v>
      </c>
      <c r="K41" s="210">
        <f t="shared" si="5"/>
        <v>4.1850120503436177</v>
      </c>
      <c r="L41" s="241">
        <f t="shared" si="16"/>
        <v>2.3083566399747526</v>
      </c>
      <c r="M41" s="210">
        <f t="shared" si="6"/>
        <v>0.89060775257423042</v>
      </c>
      <c r="N41" s="209">
        <f t="shared" si="7"/>
        <v>12.847799851119087</v>
      </c>
      <c r="O41" s="241">
        <f t="shared" si="8"/>
        <v>0.13847141782624939</v>
      </c>
      <c r="P41" s="241">
        <f t="shared" si="9"/>
        <v>1.415722133094869E-3</v>
      </c>
      <c r="Q41" s="209">
        <f t="shared" si="17"/>
        <v>7.4114444734410787</v>
      </c>
      <c r="R41" s="209">
        <f t="shared" si="18"/>
        <v>2.3765608380628078E-2</v>
      </c>
      <c r="S41" s="250">
        <f t="shared" si="19"/>
        <v>9.6466859945771243E-4</v>
      </c>
      <c r="T41" s="250">
        <f t="shared" si="25"/>
        <v>1.9426398940852383E-2</v>
      </c>
      <c r="U41" s="250">
        <f t="shared" si="26"/>
        <v>1.9426398940852383E-2</v>
      </c>
      <c r="V41" s="250">
        <f t="shared" si="27"/>
        <v>7.4114444734410787</v>
      </c>
      <c r="W41" s="1">
        <f t="shared" si="20"/>
        <v>9.284498622568031E-4</v>
      </c>
      <c r="X41" s="1">
        <f t="shared" si="21"/>
        <v>9640.2502847207434</v>
      </c>
      <c r="Y41" s="1">
        <f t="shared" si="22"/>
        <v>9.551959787717719E-4</v>
      </c>
      <c r="Z41" s="240">
        <f t="shared" si="10"/>
        <v>5.115737947954822E-5</v>
      </c>
      <c r="AA41" s="240">
        <f t="shared" si="11"/>
        <v>1.546455983231138E-3</v>
      </c>
      <c r="AB41" s="1">
        <f t="shared" si="28"/>
        <v>2.883568708530453E-3</v>
      </c>
      <c r="AC41" s="248">
        <f t="shared" si="23"/>
        <v>-5.5672415396320965E-2</v>
      </c>
      <c r="AD41" s="239"/>
      <c r="AE41" s="239"/>
      <c r="AF41" s="239"/>
      <c r="AG41" s="239"/>
      <c r="AH41" s="243"/>
      <c r="AJ41" s="239"/>
      <c r="AK41" s="239"/>
      <c r="AL41" s="239"/>
      <c r="AP41" s="240"/>
    </row>
    <row r="42" spans="1:42">
      <c r="A42" s="209">
        <f t="shared" si="29"/>
        <v>21</v>
      </c>
      <c r="B42" s="209">
        <f t="shared" si="12"/>
        <v>15.382654296997327</v>
      </c>
      <c r="C42" s="241">
        <f t="shared" si="0"/>
        <v>5.8108910891089105E-2</v>
      </c>
      <c r="D42" s="241">
        <f t="shared" si="1"/>
        <v>1.1891980198019803</v>
      </c>
      <c r="E42" s="241">
        <f t="shared" si="13"/>
        <v>4.5426917432333935</v>
      </c>
      <c r="F42" s="241">
        <f t="shared" si="14"/>
        <v>3.7140550004184014</v>
      </c>
      <c r="G42" s="210">
        <f t="shared" si="15"/>
        <v>10.833968250532804</v>
      </c>
      <c r="H42" s="210">
        <f t="shared" si="2"/>
        <v>16.207552314431684</v>
      </c>
      <c r="I42" s="210">
        <f t="shared" si="3"/>
        <v>166.65518826259105</v>
      </c>
      <c r="J42" s="210">
        <f t="shared" si="4"/>
        <v>249.31517425340152</v>
      </c>
      <c r="K42" s="210">
        <f t="shared" si="5"/>
        <v>5.3735840638988801</v>
      </c>
      <c r="L42" s="241">
        <f t="shared" si="16"/>
        <v>2.6156918258670916</v>
      </c>
      <c r="M42" s="210">
        <f t="shared" si="6"/>
        <v>0.96349995868315097</v>
      </c>
      <c r="N42" s="209">
        <f t="shared" si="7"/>
        <v>14.271320380542029</v>
      </c>
      <c r="O42" s="241">
        <f t="shared" si="8"/>
        <v>0.12756694984701211</v>
      </c>
      <c r="P42" s="241">
        <f t="shared" si="9"/>
        <v>1.4487433244487259E-3</v>
      </c>
      <c r="Q42" s="209">
        <f t="shared" si="17"/>
        <v>7.5390114232880912</v>
      </c>
      <c r="R42" s="209">
        <f t="shared" si="18"/>
        <v>2.5214351705076805E-2</v>
      </c>
      <c r="S42" s="250">
        <f t="shared" si="19"/>
        <v>9.6841514842885832E-4</v>
      </c>
      <c r="T42" s="250">
        <f t="shared" si="25"/>
        <v>2.0394814089281243E-2</v>
      </c>
      <c r="U42" s="250">
        <f t="shared" si="26"/>
        <v>2.0394814089281243E-2</v>
      </c>
      <c r="V42" s="250">
        <f t="shared" si="27"/>
        <v>7.5390114232880912</v>
      </c>
      <c r="W42" s="1">
        <f t="shared" si="20"/>
        <v>9.2586215701439439E-4</v>
      </c>
      <c r="X42" s="1">
        <f t="shared" si="21"/>
        <v>11701.491597268478</v>
      </c>
      <c r="Y42" s="1">
        <f t="shared" si="22"/>
        <v>7.2206592506780451E-4</v>
      </c>
      <c r="Z42" s="240">
        <f t="shared" si="10"/>
        <v>4.6940268638082233E-5</v>
      </c>
      <c r="AA42" s="240">
        <f t="shared" si="11"/>
        <v>1.4952986037515897E-3</v>
      </c>
      <c r="AB42" s="1">
        <f t="shared" si="28"/>
        <v>2.9305089771685354E-3</v>
      </c>
      <c r="AC42" s="248">
        <f t="shared" si="23"/>
        <v>-5.3830749735057228E-2</v>
      </c>
      <c r="AD42" s="239"/>
      <c r="AE42" s="239"/>
      <c r="AF42" s="239"/>
      <c r="AG42" s="239"/>
      <c r="AH42" s="243"/>
      <c r="AJ42" s="239"/>
      <c r="AK42" s="239"/>
      <c r="AL42" s="239"/>
      <c r="AP42" s="240"/>
    </row>
    <row r="43" spans="1:42">
      <c r="A43" s="209">
        <f t="shared" si="29"/>
        <v>22</v>
      </c>
      <c r="B43" s="209">
        <f t="shared" si="12"/>
        <v>12.672968760752324</v>
      </c>
      <c r="C43" s="241">
        <f t="shared" si="0"/>
        <v>5.8495049504950491E-2</v>
      </c>
      <c r="D43" s="241">
        <f t="shared" si="1"/>
        <v>1.2476930693069306</v>
      </c>
      <c r="E43" s="241">
        <f t="shared" si="13"/>
        <v>5.0460164393111864</v>
      </c>
      <c r="F43" s="241">
        <f t="shared" si="14"/>
        <v>4.0861916058046548</v>
      </c>
      <c r="G43" s="210">
        <f t="shared" si="15"/>
        <v>13.113793828624249</v>
      </c>
      <c r="H43" s="210">
        <f t="shared" si="2"/>
        <v>19.998076208814332</v>
      </c>
      <c r="I43" s="210">
        <f t="shared" si="3"/>
        <v>166.19069952510173</v>
      </c>
      <c r="J43" s="210">
        <f t="shared" si="4"/>
        <v>253.43499506944832</v>
      </c>
      <c r="K43" s="210">
        <f t="shared" si="5"/>
        <v>6.8842823801900828</v>
      </c>
      <c r="L43" s="241">
        <f t="shared" si="16"/>
        <v>2.9606283229156478</v>
      </c>
      <c r="M43" s="210">
        <f t="shared" si="6"/>
        <v>1.0426940581977693</v>
      </c>
      <c r="N43" s="209">
        <f t="shared" si="7"/>
        <v>15.852565245740022</v>
      </c>
      <c r="O43" s="241">
        <f t="shared" si="8"/>
        <v>0.11751600702195039</v>
      </c>
      <c r="P43" s="241">
        <f t="shared" si="9"/>
        <v>1.4824692582874265E-3</v>
      </c>
      <c r="Q43" s="209">
        <f t="shared" si="17"/>
        <v>7.6565274303100415</v>
      </c>
      <c r="R43" s="209">
        <f t="shared" si="18"/>
        <v>2.6696820963364232E-2</v>
      </c>
      <c r="S43" s="250">
        <f t="shared" si="19"/>
        <v>9.7213331959831789E-4</v>
      </c>
      <c r="T43" s="250">
        <f t="shared" si="25"/>
        <v>2.1366947408879559E-2</v>
      </c>
      <c r="U43" s="250">
        <f t="shared" si="26"/>
        <v>2.1366947408879559E-2</v>
      </c>
      <c r="V43" s="250">
        <f t="shared" si="27"/>
        <v>7.6565274303100415</v>
      </c>
      <c r="W43" s="1">
        <f t="shared" si="20"/>
        <v>9.2328166402834259E-4</v>
      </c>
      <c r="X43" s="1">
        <f t="shared" si="21"/>
        <v>14203.459615354916</v>
      </c>
      <c r="Y43" s="1">
        <f t="shared" si="22"/>
        <v>5.4581069132744048E-4</v>
      </c>
      <c r="Z43" s="240">
        <f t="shared" si="10"/>
        <v>4.3068889510545809E-5</v>
      </c>
      <c r="AA43" s="240">
        <f t="shared" si="11"/>
        <v>1.4483583351135075E-3</v>
      </c>
      <c r="AB43" s="1">
        <f t="shared" si="28"/>
        <v>2.9735778666790812E-3</v>
      </c>
      <c r="AC43" s="248">
        <f t="shared" si="23"/>
        <v>-5.2140900064086268E-2</v>
      </c>
      <c r="AD43" s="239"/>
      <c r="AE43" s="239"/>
      <c r="AF43" s="239"/>
      <c r="AG43" s="239"/>
      <c r="AH43" s="243"/>
      <c r="AJ43" s="239"/>
      <c r="AK43" s="239"/>
      <c r="AL43" s="239"/>
      <c r="AP43" s="240"/>
    </row>
    <row r="44" spans="1:42">
      <c r="A44" s="209">
        <f t="shared" si="29"/>
        <v>23</v>
      </c>
      <c r="B44" s="209">
        <f t="shared" si="12"/>
        <v>10.440599789228443</v>
      </c>
      <c r="C44" s="241">
        <f t="shared" si="0"/>
        <v>5.8881188118811878E-2</v>
      </c>
      <c r="D44" s="241">
        <f t="shared" si="1"/>
        <v>1.3065742574257426</v>
      </c>
      <c r="E44" s="241">
        <f t="shared" si="13"/>
        <v>5.6051088968839444</v>
      </c>
      <c r="F44" s="241">
        <f t="shared" si="14"/>
        <v>4.4956151261808062</v>
      </c>
      <c r="G44" s="210">
        <f t="shared" si="15"/>
        <v>15.873370181900446</v>
      </c>
      <c r="H44" s="210">
        <f t="shared" si="2"/>
        <v>24.675104808851497</v>
      </c>
      <c r="I44" s="210">
        <f t="shared" si="3"/>
        <v>165.72750537549484</v>
      </c>
      <c r="J44" s="210">
        <f t="shared" si="4"/>
        <v>257.62289406648466</v>
      </c>
      <c r="K44" s="210">
        <f t="shared" si="5"/>
        <v>8.8017346269510508</v>
      </c>
      <c r="L44" s="241">
        <f t="shared" si="16"/>
        <v>3.3476395240798977</v>
      </c>
      <c r="M44" s="210">
        <f t="shared" si="6"/>
        <v>1.1287346864020233</v>
      </c>
      <c r="N44" s="209">
        <f t="shared" si="7"/>
        <v>17.609010110450601</v>
      </c>
      <c r="O44" s="241">
        <f t="shared" si="8"/>
        <v>0.1082522560635668</v>
      </c>
      <c r="P44" s="241">
        <f t="shared" si="9"/>
        <v>1.5169142089241424E-3</v>
      </c>
      <c r="Q44" s="209">
        <f t="shared" si="17"/>
        <v>7.7647796863736085</v>
      </c>
      <c r="R44" s="209">
        <f t="shared" si="18"/>
        <v>2.8213735172288375E-2</v>
      </c>
      <c r="S44" s="250">
        <f t="shared" si="19"/>
        <v>9.7582324204759194E-4</v>
      </c>
      <c r="T44" s="250">
        <f t="shared" si="25"/>
        <v>2.234277065092715E-2</v>
      </c>
      <c r="U44" s="250">
        <f t="shared" si="26"/>
        <v>2.234277065092715E-2</v>
      </c>
      <c r="V44" s="250">
        <f t="shared" si="27"/>
        <v>7.7647796863736085</v>
      </c>
      <c r="W44" s="1">
        <f t="shared" si="20"/>
        <v>9.2070836319719347E-4</v>
      </c>
      <c r="X44" s="1">
        <f t="shared" si="21"/>
        <v>17240.388831464057</v>
      </c>
      <c r="Y44" s="1">
        <f t="shared" si="22"/>
        <v>4.1256112316472889E-4</v>
      </c>
      <c r="Z44" s="240">
        <f t="shared" si="10"/>
        <v>3.9515078778363651E-5</v>
      </c>
      <c r="AA44" s="240">
        <f t="shared" si="11"/>
        <v>1.4052894456029618E-3</v>
      </c>
      <c r="AB44" s="1">
        <f t="shared" si="28"/>
        <v>3.0130929454574447E-3</v>
      </c>
      <c r="AC44" s="248">
        <f t="shared" si="23"/>
        <v>-5.0590420041706621E-2</v>
      </c>
      <c r="AD44" s="239"/>
      <c r="AE44" s="239"/>
      <c r="AF44" s="239"/>
      <c r="AG44" s="239"/>
      <c r="AH44" s="243"/>
      <c r="AJ44" s="239"/>
      <c r="AK44" s="239"/>
      <c r="AL44" s="239"/>
      <c r="AP44" s="240"/>
    </row>
    <row r="45" spans="1:42">
      <c r="A45" s="209">
        <f t="shared" si="29"/>
        <v>24</v>
      </c>
      <c r="B45" s="209">
        <f t="shared" si="12"/>
        <v>8.6014671081984044</v>
      </c>
      <c r="C45" s="241">
        <f t="shared" si="0"/>
        <v>5.9267326732673264E-2</v>
      </c>
      <c r="D45" s="241">
        <f t="shared" si="1"/>
        <v>1.3658415841584159</v>
      </c>
      <c r="E45" s="241">
        <f t="shared" si="13"/>
        <v>6.2261481158028538</v>
      </c>
      <c r="F45" s="241">
        <f t="shared" si="14"/>
        <v>4.9460615929109819</v>
      </c>
      <c r="G45" s="210">
        <f t="shared" si="15"/>
        <v>19.213652755594605</v>
      </c>
      <c r="H45" s="210">
        <f t="shared" si="2"/>
        <v>30.445968450677576</v>
      </c>
      <c r="I45" s="210">
        <f t="shared" si="3"/>
        <v>165.26560220559264</v>
      </c>
      <c r="J45" s="210">
        <f t="shared" si="4"/>
        <v>261.87999620574948</v>
      </c>
      <c r="K45" s="210">
        <f t="shared" si="5"/>
        <v>11.232315695082971</v>
      </c>
      <c r="L45" s="241">
        <f t="shared" si="16"/>
        <v>3.7817185351432898</v>
      </c>
      <c r="M45" s="210">
        <f t="shared" si="6"/>
        <v>1.222214790329782</v>
      </c>
      <c r="N45" s="209">
        <f t="shared" si="7"/>
        <v>19.560066920606246</v>
      </c>
      <c r="O45" s="241">
        <f t="shared" si="8"/>
        <v>9.9714475217722864E-2</v>
      </c>
      <c r="P45" s="241">
        <f t="shared" si="9"/>
        <v>1.552092729987739E-3</v>
      </c>
      <c r="Q45" s="209">
        <f t="shared" si="17"/>
        <v>7.8644941615913311</v>
      </c>
      <c r="R45" s="209">
        <f t="shared" si="18"/>
        <v>2.9765827902276113E-2</v>
      </c>
      <c r="S45" s="250">
        <f t="shared" si="19"/>
        <v>9.7948504435908671E-4</v>
      </c>
      <c r="T45" s="250">
        <f t="shared" si="25"/>
        <v>2.3322255695286238E-2</v>
      </c>
      <c r="U45" s="250">
        <f t="shared" si="26"/>
        <v>2.3322255695286238E-2</v>
      </c>
      <c r="V45" s="250">
        <f t="shared" si="27"/>
        <v>7.8644941615913311</v>
      </c>
      <c r="W45" s="1">
        <f t="shared" si="20"/>
        <v>9.1814223447551457E-4</v>
      </c>
      <c r="X45" s="1">
        <f t="shared" si="21"/>
        <v>20926.662595551261</v>
      </c>
      <c r="Y45" s="1">
        <f t="shared" si="22"/>
        <v>3.1182855717293935E-4</v>
      </c>
      <c r="Z45" s="240">
        <f t="shared" si="10"/>
        <v>3.6252950020087037E-5</v>
      </c>
      <c r="AA45" s="240">
        <f t="shared" si="11"/>
        <v>1.3657743668245982E-3</v>
      </c>
      <c r="AB45" s="1">
        <f t="shared" si="28"/>
        <v>3.0493458954775317E-3</v>
      </c>
      <c r="AC45" s="248">
        <f t="shared" si="23"/>
        <v>-4.9167877205685537E-2</v>
      </c>
      <c r="AD45" s="239"/>
      <c r="AE45" s="239"/>
      <c r="AF45" s="239"/>
      <c r="AG45" s="239"/>
      <c r="AH45" s="243"/>
      <c r="AJ45" s="239"/>
      <c r="AK45" s="239"/>
      <c r="AL45" s="239"/>
      <c r="AP45" s="240"/>
    </row>
    <row r="46" spans="1:42">
      <c r="A46" s="210">
        <f t="shared" si="29"/>
        <v>25</v>
      </c>
      <c r="B46" s="210">
        <f t="shared" si="12"/>
        <v>7.0863013530840941</v>
      </c>
      <c r="C46" s="241">
        <f t="shared" si="0"/>
        <v>5.9653465346534651E-2</v>
      </c>
      <c r="D46" s="241">
        <f t="shared" si="1"/>
        <v>1.4254950495049505</v>
      </c>
      <c r="E46" s="241">
        <f t="shared" si="13"/>
        <v>6.9159977215547155</v>
      </c>
      <c r="F46" s="241">
        <f t="shared" si="14"/>
        <v>5.4416413759270839</v>
      </c>
      <c r="G46" s="210">
        <f t="shared" si="15"/>
        <v>23.256841362743941</v>
      </c>
      <c r="H46" s="210">
        <f t="shared" si="2"/>
        <v>37.566486630165578</v>
      </c>
      <c r="I46" s="210">
        <f t="shared" si="3"/>
        <v>164.80498641727451</v>
      </c>
      <c r="J46" s="210">
        <f t="shared" si="4"/>
        <v>266.20744503795788</v>
      </c>
      <c r="K46" s="210">
        <f t="shared" si="5"/>
        <v>14.309645267421637</v>
      </c>
      <c r="L46" s="241">
        <f t="shared" si="16"/>
        <v>4.268438077370738</v>
      </c>
      <c r="M46" s="210">
        <f t="shared" si="6"/>
        <v>1.3237798220919887</v>
      </c>
      <c r="N46" s="210">
        <f t="shared" si="7"/>
        <v>21.727298442036293</v>
      </c>
      <c r="O46" s="241">
        <f t="shared" si="8"/>
        <v>9.1846164425811783E-2</v>
      </c>
      <c r="P46" s="241">
        <f t="shared" si="9"/>
        <v>1.5880196597561347E-3</v>
      </c>
      <c r="Q46" s="210">
        <f t="shared" ref="Q46:Q109" si="30">Q45+O46</f>
        <v>7.956340326017143</v>
      </c>
      <c r="R46" s="210">
        <f t="shared" ref="R46:R109" si="31">P46+R45</f>
        <v>3.1353847562032244E-2</v>
      </c>
      <c r="S46" s="250">
        <f t="shared" si="19"/>
        <v>9.8311885461789994E-4</v>
      </c>
      <c r="T46" s="250">
        <f t="shared" si="25"/>
        <v>2.4305374549904137E-2</v>
      </c>
      <c r="U46" s="250">
        <f t="shared" si="26"/>
        <v>2.4305374549904137E-2</v>
      </c>
      <c r="V46" s="250">
        <f t="shared" si="27"/>
        <v>7.956340326017143</v>
      </c>
      <c r="W46" s="1">
        <f t="shared" si="20"/>
        <v>9.1558325787374718E-4</v>
      </c>
      <c r="X46" s="1">
        <f t="shared" si="21"/>
        <v>25401.121266407979</v>
      </c>
      <c r="Y46" s="1">
        <f t="shared" si="22"/>
        <v>2.3568125086084366E-4</v>
      </c>
      <c r="Z46" s="240">
        <f t="shared" si="10"/>
        <v>3.3258711296305607E-5</v>
      </c>
      <c r="AA46" s="240">
        <f t="shared" si="11"/>
        <v>1.3295214168045112E-3</v>
      </c>
      <c r="AB46" s="1">
        <f t="shared" si="28"/>
        <v>3.0826046067738374E-3</v>
      </c>
      <c r="AC46" s="248">
        <f t="shared" si="23"/>
        <v>-4.7862771004962404E-2</v>
      </c>
      <c r="AD46" s="239"/>
      <c r="AE46" s="239"/>
      <c r="AF46" s="239"/>
      <c r="AG46" s="239"/>
      <c r="AH46" s="243"/>
      <c r="AJ46" s="239"/>
      <c r="AK46" s="239"/>
      <c r="AL46" s="239"/>
      <c r="AP46" s="240"/>
    </row>
    <row r="47" spans="1:42">
      <c r="A47" s="241">
        <f t="shared" si="29"/>
        <v>26</v>
      </c>
      <c r="B47" s="241">
        <f t="shared" si="12"/>
        <v>5.8380350973915709</v>
      </c>
      <c r="C47" s="241">
        <f t="shared" si="0"/>
        <v>6.0039603960396037E-2</v>
      </c>
      <c r="D47" s="241">
        <f t="shared" si="1"/>
        <v>1.4855346534653466</v>
      </c>
      <c r="E47" s="241">
        <f t="shared" si="13"/>
        <v>7.6822818209460904</v>
      </c>
      <c r="F47" s="241">
        <f t="shared" si="14"/>
        <v>5.9868766912734541</v>
      </c>
      <c r="G47" s="241">
        <f t="shared" ref="G47:G110" si="32">F47*F47*3.1416/4</f>
        <v>28.150850702469608</v>
      </c>
      <c r="H47" s="241">
        <f t="shared" si="2"/>
        <v>46.352308353095019</v>
      </c>
      <c r="I47" s="241">
        <f t="shared" si="3"/>
        <v>164.34565442244772</v>
      </c>
      <c r="J47" s="241">
        <f t="shared" si="4"/>
        <v>270.60640301048522</v>
      </c>
      <c r="K47" s="241">
        <f t="shared" ref="K47:K110" si="33">H47-G47</f>
        <v>18.201457650625411</v>
      </c>
      <c r="L47" s="241">
        <f t="shared" si="16"/>
        <v>4.8140171852544738</v>
      </c>
      <c r="M47" s="241">
        <f t="shared" si="6"/>
        <v>1.4341323178458083</v>
      </c>
      <c r="N47" s="241">
        <f t="shared" si="7"/>
        <v>24.134656568684235</v>
      </c>
      <c r="O47" s="241">
        <f t="shared" si="8"/>
        <v>8.4595184839995813E-2</v>
      </c>
      <c r="P47" s="241">
        <f t="shared" si="9"/>
        <v>1.6247101265896853E-3</v>
      </c>
      <c r="Q47" s="241">
        <f t="shared" si="30"/>
        <v>8.040935510857139</v>
      </c>
      <c r="R47" s="241">
        <f t="shared" si="31"/>
        <v>3.2978557688621929E-2</v>
      </c>
      <c r="S47" s="250">
        <f t="shared" si="19"/>
        <v>9.8672480041358699E-4</v>
      </c>
      <c r="T47" s="250">
        <f t="shared" si="25"/>
        <v>2.5292099350317725E-2</v>
      </c>
      <c r="U47" s="250">
        <f t="shared" si="26"/>
        <v>2.5292099350317725E-2</v>
      </c>
      <c r="V47" s="250">
        <f t="shared" si="27"/>
        <v>8.040935510857139</v>
      </c>
      <c r="W47" s="1">
        <f t="shared" si="20"/>
        <v>9.1303141345804278E-4</v>
      </c>
      <c r="X47" s="1">
        <f t="shared" si="21"/>
        <v>30832.291515414814</v>
      </c>
      <c r="Y47" s="1">
        <f t="shared" si="22"/>
        <v>1.7812135342009397E-4</v>
      </c>
      <c r="Z47" s="240">
        <f t="shared" si="10"/>
        <v>3.0510497187603145E-5</v>
      </c>
      <c r="AA47" s="240">
        <f t="shared" si="11"/>
        <v>1.2962627055082055E-3</v>
      </c>
      <c r="AB47" s="1">
        <f t="shared" si="28"/>
        <v>3.1131151039614407E-3</v>
      </c>
      <c r="AC47" s="248">
        <f t="shared" si="23"/>
        <v>-4.6665457398295397E-2</v>
      </c>
      <c r="AD47" s="239"/>
      <c r="AE47" s="239"/>
      <c r="AF47" s="239"/>
      <c r="AG47" s="239"/>
      <c r="AH47" s="243"/>
      <c r="AJ47" s="239"/>
      <c r="AK47" s="239"/>
      <c r="AL47" s="239"/>
      <c r="AP47" s="240"/>
    </row>
    <row r="48" spans="1:42">
      <c r="A48" s="241">
        <f t="shared" si="29"/>
        <v>27</v>
      </c>
      <c r="B48" s="241">
        <f t="shared" si="12"/>
        <v>4.8096534567419127</v>
      </c>
      <c r="C48" s="241">
        <f t="shared" si="0"/>
        <v>6.0425742574257424E-2</v>
      </c>
      <c r="D48" s="241">
        <f t="shared" si="1"/>
        <v>1.545960396039604</v>
      </c>
      <c r="E48" s="241">
        <f t="shared" si="13"/>
        <v>8.5334692625045623</v>
      </c>
      <c r="F48" s="241">
        <f t="shared" si="14"/>
        <v>6.5867428667893266</v>
      </c>
      <c r="G48" s="241">
        <f t="shared" si="32"/>
        <v>34.07472162329934</v>
      </c>
      <c r="H48" s="241">
        <f t="shared" si="2"/>
        <v>57.192904697538118</v>
      </c>
      <c r="I48" s="241">
        <f t="shared" si="3"/>
        <v>163.88760264302007</v>
      </c>
      <c r="J48" s="241">
        <f t="shared" si="4"/>
        <v>275.07805177962501</v>
      </c>
      <c r="K48" s="241">
        <f t="shared" si="33"/>
        <v>23.118183074238779</v>
      </c>
      <c r="L48" s="241">
        <f t="shared" si="16"/>
        <v>5.4253954750700046</v>
      </c>
      <c r="M48" s="241">
        <f t="shared" si="6"/>
        <v>1.5540368937172788</v>
      </c>
      <c r="N48" s="241">
        <f t="shared" si="7"/>
        <v>26.808747035084334</v>
      </c>
      <c r="O48" s="241">
        <f t="shared" si="8"/>
        <v>7.7913425517093376E-2</v>
      </c>
      <c r="P48" s="241">
        <f t="shared" si="9"/>
        <v>1.6621795544663875E-3</v>
      </c>
      <c r="Q48" s="241">
        <f t="shared" si="30"/>
        <v>8.1188489363742331</v>
      </c>
      <c r="R48" s="241">
        <f t="shared" si="31"/>
        <v>3.4640737243088318E-2</v>
      </c>
      <c r="S48" s="250">
        <f t="shared" si="19"/>
        <v>9.9030300884193206E-4</v>
      </c>
      <c r="T48" s="250">
        <f t="shared" si="25"/>
        <v>2.6282402359159657E-2</v>
      </c>
      <c r="U48" s="250">
        <f t="shared" si="26"/>
        <v>2.6282402359159657E-2</v>
      </c>
      <c r="V48" s="250">
        <f t="shared" si="27"/>
        <v>8.1188489363742331</v>
      </c>
      <c r="W48" s="1">
        <f t="shared" si="20"/>
        <v>9.1048668135011127E-4</v>
      </c>
      <c r="X48" s="1">
        <f t="shared" si="21"/>
        <v>37424.733739950796</v>
      </c>
      <c r="Y48" s="1">
        <f t="shared" si="22"/>
        <v>1.3461361096437041E-4</v>
      </c>
      <c r="Z48" s="240">
        <f t="shared" si="10"/>
        <v>2.7988214156193793E-5</v>
      </c>
      <c r="AA48" s="240">
        <f t="shared" si="11"/>
        <v>1.2657522083206023E-3</v>
      </c>
      <c r="AB48" s="1">
        <f t="shared" si="28"/>
        <v>3.1411033181176344E-3</v>
      </c>
      <c r="AC48" s="248">
        <f t="shared" si="23"/>
        <v>-4.5567079499541682E-2</v>
      </c>
      <c r="AD48" s="239"/>
      <c r="AE48" s="239"/>
      <c r="AF48" s="239"/>
      <c r="AG48" s="239"/>
      <c r="AH48" s="243"/>
      <c r="AJ48" s="239"/>
      <c r="AK48" s="239"/>
      <c r="AL48" s="239"/>
      <c r="AP48" s="240"/>
    </row>
    <row r="49" spans="1:39">
      <c r="A49" s="241">
        <f t="shared" si="29"/>
        <v>28</v>
      </c>
      <c r="B49" s="241">
        <f t="shared" si="12"/>
        <v>3.9624233133310782</v>
      </c>
      <c r="C49" s="241">
        <f t="shared" si="0"/>
        <v>6.081188118811881E-2</v>
      </c>
      <c r="D49" s="241">
        <f t="shared" si="1"/>
        <v>1.6067722772277229</v>
      </c>
      <c r="E49" s="241">
        <f t="shared" si="13"/>
        <v>9.4789672328295591</v>
      </c>
      <c r="F49" s="241">
        <f t="shared" si="14"/>
        <v>7.2467137424825969</v>
      </c>
      <c r="G49" s="241">
        <f t="shared" si="32"/>
        <v>41.245171095432802</v>
      </c>
      <c r="H49" s="241">
        <f t="shared" si="2"/>
        <v>70.56883387174976</v>
      </c>
      <c r="I49" s="241">
        <f t="shared" si="3"/>
        <v>163.43082751087206</v>
      </c>
      <c r="J49" s="241">
        <f t="shared" si="4"/>
        <v>279.62359252800911</v>
      </c>
      <c r="K49" s="241">
        <f t="shared" si="33"/>
        <v>29.323662776316958</v>
      </c>
      <c r="L49" s="241">
        <f t="shared" si="16"/>
        <v>6.1103158458111109</v>
      </c>
      <c r="M49" s="241">
        <f t="shared" si="6"/>
        <v>1.6843256935092241</v>
      </c>
      <c r="N49" s="241">
        <f t="shared" si="7"/>
        <v>29.779123458657342</v>
      </c>
      <c r="O49" s="241">
        <f t="shared" si="8"/>
        <v>7.1756495274358081E-2</v>
      </c>
      <c r="P49" s="241">
        <f t="shared" si="9"/>
        <v>1.7004436686208235E-3</v>
      </c>
      <c r="Q49" s="241">
        <f t="shared" si="30"/>
        <v>8.1906054316485903</v>
      </c>
      <c r="R49" s="241">
        <f t="shared" si="31"/>
        <v>3.6341180911709139E-2</v>
      </c>
      <c r="S49" s="250">
        <f t="shared" si="19"/>
        <v>9.9385360650670906E-4</v>
      </c>
      <c r="T49" s="250">
        <f t="shared" si="25"/>
        <v>2.7276255965666366E-2</v>
      </c>
      <c r="U49" s="250">
        <f t="shared" si="26"/>
        <v>2.7276255965666366E-2</v>
      </c>
      <c r="V49" s="250">
        <f t="shared" si="27"/>
        <v>8.1906054316485903</v>
      </c>
      <c r="W49" s="1">
        <f t="shared" si="20"/>
        <v>9.0794904172706691E-4</v>
      </c>
      <c r="X49" s="1">
        <f t="shared" si="21"/>
        <v>45426.746656373769</v>
      </c>
      <c r="Y49" s="1">
        <f t="shared" si="22"/>
        <v>1.0172887151480555E-4</v>
      </c>
      <c r="Z49" s="240">
        <f t="shared" si="10"/>
        <v>2.5673398188565941E-5</v>
      </c>
      <c r="AA49" s="240">
        <f t="shared" si="11"/>
        <v>1.2377639941644086E-3</v>
      </c>
      <c r="AB49" s="1">
        <f t="shared" si="28"/>
        <v>3.1667767163062002E-3</v>
      </c>
      <c r="AC49" s="248">
        <f t="shared" si="23"/>
        <v>-4.4559503789918707E-2</v>
      </c>
      <c r="AD49" s="239"/>
      <c r="AE49" s="243"/>
      <c r="AG49" s="239"/>
      <c r="AH49" s="239"/>
      <c r="AI49" s="239"/>
      <c r="AM49" s="240"/>
    </row>
    <row r="50" spans="1:39">
      <c r="A50" s="241">
        <f t="shared" si="29"/>
        <v>29</v>
      </c>
      <c r="B50" s="241">
        <f t="shared" si="12"/>
        <v>3.2644344660676348</v>
      </c>
      <c r="C50" s="241">
        <f t="shared" si="0"/>
        <v>6.1198019801980197E-2</v>
      </c>
      <c r="D50" s="241">
        <f t="shared" si="1"/>
        <v>1.667970297029703</v>
      </c>
      <c r="E50" s="241">
        <f t="shared" si="13"/>
        <v>10.529225223304474</v>
      </c>
      <c r="F50" s="241">
        <f t="shared" si="14"/>
        <v>7.9728116198779473</v>
      </c>
      <c r="G50" s="241">
        <f t="shared" si="32"/>
        <v>49.924520514008165</v>
      </c>
      <c r="H50" s="241">
        <f t="shared" si="2"/>
        <v>87.073044118932074</v>
      </c>
      <c r="I50" s="241">
        <f t="shared" si="3"/>
        <v>162.97532546782892</v>
      </c>
      <c r="J50" s="241">
        <f t="shared" si="4"/>
        <v>284.24424628726962</v>
      </c>
      <c r="K50" s="241">
        <f t="shared" si="33"/>
        <v>37.148523604923909</v>
      </c>
      <c r="L50" s="241">
        <f t="shared" si="16"/>
        <v>6.8774165699781715</v>
      </c>
      <c r="M50" s="241">
        <f t="shared" si="6"/>
        <v>1.8259043266631512</v>
      </c>
      <c r="N50" s="241">
        <f t="shared" si="7"/>
        <v>33.078613961533335</v>
      </c>
      <c r="O50" s="241">
        <f t="shared" si="8"/>
        <v>6.6083437836950323E-2</v>
      </c>
      <c r="P50" s="241">
        <f t="shared" si="9"/>
        <v>1.7395185012887265E-3</v>
      </c>
      <c r="Q50" s="241">
        <f t="shared" si="30"/>
        <v>8.25668886948554</v>
      </c>
      <c r="R50" s="241">
        <f t="shared" si="31"/>
        <v>3.8080699412997868E-2</v>
      </c>
      <c r="S50" s="250">
        <f t="shared" si="19"/>
        <v>9.9737671952143626E-4</v>
      </c>
      <c r="T50" s="250">
        <f t="shared" si="25"/>
        <v>2.8273632685187802E-2</v>
      </c>
      <c r="U50" s="250">
        <f t="shared" si="26"/>
        <v>2.8273632685187802E-2</v>
      </c>
      <c r="V50" s="250">
        <f t="shared" si="27"/>
        <v>8.25668886948554</v>
      </c>
      <c r="W50" s="1">
        <f t="shared" si="20"/>
        <v>9.0541847482127167E-4</v>
      </c>
      <c r="X50" s="1">
        <f t="shared" si="21"/>
        <v>55139.71925949843</v>
      </c>
      <c r="Y50" s="1">
        <f t="shared" si="22"/>
        <v>7.6874440659520263E-5</v>
      </c>
      <c r="Z50" s="240">
        <f t="shared" si="10"/>
        <v>2.3549083756649542E-5</v>
      </c>
      <c r="AA50" s="240">
        <f t="shared" si="11"/>
        <v>1.2120905959758425E-3</v>
      </c>
      <c r="AB50" s="1">
        <f t="shared" si="28"/>
        <v>3.1903258000628497E-3</v>
      </c>
      <c r="AC50" s="248">
        <f t="shared" si="23"/>
        <v>-4.3635261455130331E-2</v>
      </c>
      <c r="AD50" s="239"/>
      <c r="AE50" s="243"/>
      <c r="AG50" s="239"/>
      <c r="AH50" s="239"/>
      <c r="AI50" s="239"/>
      <c r="AM50" s="240"/>
    </row>
    <row r="51" spans="1:39">
      <c r="A51" s="241">
        <f t="shared" si="29"/>
        <v>30</v>
      </c>
      <c r="B51" s="241">
        <f t="shared" si="12"/>
        <v>2.6893977600519641</v>
      </c>
      <c r="C51" s="241">
        <f t="shared" si="0"/>
        <v>6.1584158415841583E-2</v>
      </c>
      <c r="D51" s="241">
        <f t="shared" si="1"/>
        <v>1.7295544554455446</v>
      </c>
      <c r="E51" s="241">
        <f t="shared" si="13"/>
        <v>11.695850516193531</v>
      </c>
      <c r="F51" s="241">
        <f t="shared" si="14"/>
        <v>8.7716622161322313</v>
      </c>
      <c r="G51" s="241">
        <f t="shared" si="32"/>
        <v>60.430292379842186</v>
      </c>
      <c r="H51" s="241">
        <f t="shared" si="2"/>
        <v>107.43715881597726</v>
      </c>
      <c r="I51" s="241">
        <f t="shared" si="3"/>
        <v>162.52109296563285</v>
      </c>
      <c r="J51" s="241">
        <f t="shared" si="4"/>
        <v>288.94125426603637</v>
      </c>
      <c r="K51" s="241">
        <f t="shared" si="33"/>
        <v>47.00686643613507</v>
      </c>
      <c r="L51" s="241">
        <f t="shared" si="16"/>
        <v>7.7363338386617375</v>
      </c>
      <c r="M51" s="241">
        <f t="shared" si="6"/>
        <v>1.9797583387658966</v>
      </c>
      <c r="N51" s="241">
        <f t="shared" si="7"/>
        <v>36.743683981673598</v>
      </c>
      <c r="O51" s="241">
        <f t="shared" si="8"/>
        <v>6.085646854311115E-2</v>
      </c>
      <c r="P51" s="241">
        <f t="shared" si="9"/>
        <v>1.7794203975591545E-3</v>
      </c>
      <c r="Q51" s="241">
        <f t="shared" si="30"/>
        <v>8.3175453380286513</v>
      </c>
      <c r="R51" s="241">
        <f t="shared" si="31"/>
        <v>3.9860119810557024E-2</v>
      </c>
      <c r="S51" s="250">
        <f t="shared" si="19"/>
        <v>1.0008724735111251E-3</v>
      </c>
      <c r="T51" s="250">
        <f t="shared" si="25"/>
        <v>2.9274505158698928E-2</v>
      </c>
      <c r="U51" s="250">
        <f t="shared" si="26"/>
        <v>2.9274505158698928E-2</v>
      </c>
      <c r="V51" s="250">
        <f t="shared" si="27"/>
        <v>8.3175453380286513</v>
      </c>
      <c r="W51" s="1">
        <f t="shared" si="20"/>
        <v>9.0289496092018241E-4</v>
      </c>
      <c r="X51" s="1">
        <f t="shared" si="21"/>
        <v>66929.482382153132</v>
      </c>
      <c r="Y51" s="1">
        <f t="shared" si="22"/>
        <v>5.8090139640620235E-5</v>
      </c>
      <c r="Z51" s="240">
        <f t="shared" si="10"/>
        <v>2.1599683209187261E-5</v>
      </c>
      <c r="AA51" s="240">
        <f t="shared" si="11"/>
        <v>1.188541512219193E-3</v>
      </c>
      <c r="AB51" s="1">
        <f t="shared" si="28"/>
        <v>3.211925483272037E-3</v>
      </c>
      <c r="AC51" s="248">
        <f t="shared" si="23"/>
        <v>-4.2787494439890952E-2</v>
      </c>
      <c r="AD51" s="239"/>
      <c r="AE51" s="243"/>
      <c r="AG51" s="239"/>
      <c r="AH51" s="239"/>
      <c r="AI51" s="239"/>
      <c r="AM51" s="240"/>
    </row>
    <row r="52" spans="1:39">
      <c r="A52" s="241">
        <f t="shared" si="29"/>
        <v>31</v>
      </c>
      <c r="B52" s="241">
        <f t="shared" si="12"/>
        <v>2.2156549279683615</v>
      </c>
      <c r="C52" s="241">
        <f t="shared" si="0"/>
        <v>6.197029702970297E-2</v>
      </c>
      <c r="D52" s="241">
        <f t="shared" si="1"/>
        <v>1.7915247524752476</v>
      </c>
      <c r="E52" s="241">
        <f t="shared" si="13"/>
        <v>12.991736466457084</v>
      </c>
      <c r="F52" s="241">
        <f t="shared" si="14"/>
        <v>9.6505551243790393</v>
      </c>
      <c r="G52" s="241">
        <f t="shared" si="32"/>
        <v>73.146826439496124</v>
      </c>
      <c r="H52" s="241">
        <f t="shared" si="2"/>
        <v>132.56390897145414</v>
      </c>
      <c r="I52" s="241">
        <f t="shared" si="3"/>
        <v>162.06812646591604</v>
      </c>
      <c r="J52" s="241">
        <f t="shared" si="4"/>
        <v>293.71587818335166</v>
      </c>
      <c r="K52" s="241">
        <f t="shared" si="33"/>
        <v>59.417082531958016</v>
      </c>
      <c r="L52" s="241">
        <f t="shared" si="16"/>
        <v>8.6978159445456349</v>
      </c>
      <c r="M52" s="241">
        <f t="shared" si="6"/>
        <v>2.1469602609557246</v>
      </c>
      <c r="N52" s="241">
        <f t="shared" si="7"/>
        <v>40.814839283021577</v>
      </c>
      <c r="O52" s="241">
        <f t="shared" si="8"/>
        <v>5.6040730999606075E-2</v>
      </c>
      <c r="P52" s="241">
        <f t="shared" si="9"/>
        <v>1.8201660213362353E-3</v>
      </c>
      <c r="Q52" s="241">
        <f t="shared" si="30"/>
        <v>8.3735860690282582</v>
      </c>
      <c r="R52" s="241">
        <f t="shared" si="31"/>
        <v>4.168028583189326E-2</v>
      </c>
      <c r="S52" s="250">
        <f t="shared" si="19"/>
        <v>1.0043409936140281E-3</v>
      </c>
      <c r="T52" s="250">
        <f t="shared" si="25"/>
        <v>3.0278846152312956E-2</v>
      </c>
      <c r="U52" s="250">
        <f t="shared" si="26"/>
        <v>3.0278846152312956E-2</v>
      </c>
      <c r="V52" s="250">
        <f t="shared" si="27"/>
        <v>8.3735860690282582</v>
      </c>
      <c r="W52" s="1">
        <f t="shared" si="20"/>
        <v>9.0037848036620001E-4</v>
      </c>
      <c r="X52" s="1">
        <f t="shared" si="21"/>
        <v>81240.087401629149</v>
      </c>
      <c r="Y52" s="1">
        <f t="shared" si="22"/>
        <v>4.3894064535068909E-5</v>
      </c>
      <c r="Z52" s="240">
        <f t="shared" si="10"/>
        <v>1.9810875773565265E-5</v>
      </c>
      <c r="AA52" s="240">
        <f t="shared" si="11"/>
        <v>1.1669418290100057E-3</v>
      </c>
      <c r="AB52" s="1">
        <f t="shared" si="28"/>
        <v>3.2317363590456021E-3</v>
      </c>
      <c r="AC52" s="248">
        <f t="shared" si="23"/>
        <v>-4.2009905844360207E-2</v>
      </c>
      <c r="AD52" s="239"/>
      <c r="AE52" s="243"/>
      <c r="AG52" s="239"/>
      <c r="AH52" s="239"/>
      <c r="AI52" s="239"/>
      <c r="AM52" s="240"/>
    </row>
    <row r="53" spans="1:39">
      <c r="A53" s="241">
        <f t="shared" si="29"/>
        <v>32</v>
      </c>
      <c r="B53" s="241">
        <f t="shared" si="12"/>
        <v>1.8253628499101717</v>
      </c>
      <c r="C53" s="241">
        <f t="shared" ref="C53:C84" si="34">$B$10+A53*$G$4</f>
        <v>6.2356435643564356E-2</v>
      </c>
      <c r="D53" s="241">
        <f t="shared" ref="D53:D84" si="35">(A53+1)*($B$10+$G$4*A53/2)</f>
        <v>1.853881188118812</v>
      </c>
      <c r="E53" s="241">
        <f t="shared" si="13"/>
        <v>14.431204997035364</v>
      </c>
      <c r="F53" s="241">
        <f t="shared" si="14"/>
        <v>10.617510332009173</v>
      </c>
      <c r="G53" s="241">
        <f t="shared" si="32"/>
        <v>88.539340245762546</v>
      </c>
      <c r="H53" s="241">
        <f t="shared" ref="H53:H84" si="36">E53*E53*3.1416/4</f>
        <v>163.56715083923646</v>
      </c>
      <c r="I53" s="241">
        <f t="shared" ref="I53:I84" si="37">G53*B53</f>
        <v>161.61642244017148</v>
      </c>
      <c r="J53" s="241">
        <f t="shared" ref="J53:J84" si="38">H53*B53</f>
        <v>298.56940060759558</v>
      </c>
      <c r="K53" s="241">
        <f t="shared" si="33"/>
        <v>75.027810593473916</v>
      </c>
      <c r="L53" s="241">
        <f t="shared" si="16"/>
        <v>9.7738504191611657</v>
      </c>
      <c r="M53" s="241">
        <f t="shared" ref="M53:M84" si="39">(E53-L53)/2</f>
        <v>2.328677288937099</v>
      </c>
      <c r="N53" s="241">
        <f t="shared" ref="N53:N84" si="40">E53*3.1416</f>
        <v>45.337073618686297</v>
      </c>
      <c r="O53" s="241">
        <f t="shared" ref="O53:O84" si="41">C53*3.1416*E53*B53/100</f>
        <v>5.160407219757409E-2</v>
      </c>
      <c r="P53" s="241">
        <f t="shared" ref="P53:P84" si="42">C53*E53/100*E53/100*3.1416/4*B53</f>
        <v>1.8617723614125117E-3</v>
      </c>
      <c r="Q53" s="241">
        <f t="shared" si="30"/>
        <v>8.4251901412258317</v>
      </c>
      <c r="R53" s="241">
        <f t="shared" si="31"/>
        <v>4.3542058193305769E-2</v>
      </c>
      <c r="S53" s="250">
        <f t="shared" si="19"/>
        <v>1.0077824044833663E-3</v>
      </c>
      <c r="T53" s="250">
        <f t="shared" si="25"/>
        <v>3.1286628556796321E-2</v>
      </c>
      <c r="U53" s="250">
        <f t="shared" si="26"/>
        <v>3.1286628556796321E-2</v>
      </c>
      <c r="V53" s="250">
        <f t="shared" si="27"/>
        <v>8.4251901412258317</v>
      </c>
      <c r="W53" s="1">
        <f t="shared" si="20"/>
        <v>8.9786901355650805E-4</v>
      </c>
      <c r="X53" s="1">
        <f t="shared" si="21"/>
        <v>98610.531056254404</v>
      </c>
      <c r="Y53" s="1">
        <f t="shared" si="22"/>
        <v>3.3165940179862781E-5</v>
      </c>
      <c r="Z53" s="240">
        <f t="shared" ref="Z53:Z84" si="43">Y53/B53</f>
        <v>1.8169505411756854E-5</v>
      </c>
      <c r="AA53" s="240">
        <f t="shared" si="11"/>
        <v>1.1471309532364404E-3</v>
      </c>
      <c r="AB53" s="1">
        <f t="shared" si="28"/>
        <v>3.249905864457359E-3</v>
      </c>
      <c r="AC53" s="248">
        <f t="shared" si="23"/>
        <v>-4.1296714316511857E-2</v>
      </c>
      <c r="AD53" s="239"/>
      <c r="AE53" s="243"/>
      <c r="AG53" s="239"/>
      <c r="AH53" s="239"/>
      <c r="AI53" s="239"/>
      <c r="AM53" s="240"/>
    </row>
    <row r="54" spans="1:39">
      <c r="A54" s="241">
        <f t="shared" si="29"/>
        <v>33</v>
      </c>
      <c r="B54" s="241">
        <f t="shared" ref="B54:B85" si="44">MAX(B53/$G$5,1)</f>
        <v>1.5038215074796895</v>
      </c>
      <c r="C54" s="241">
        <f t="shared" si="34"/>
        <v>6.2742574257425743E-2</v>
      </c>
      <c r="D54" s="241">
        <f t="shared" si="35"/>
        <v>1.9166237623762377</v>
      </c>
      <c r="E54" s="241">
        <f t="shared" ref="E54:E85" si="45">IF(A54&lt;$J$3,($B$6/10)*$G$5^(A54/$G$3),($B$6/10)*$G$5^($J$3/$G$3))</f>
        <v>16.030164882435621</v>
      </c>
      <c r="F54" s="241">
        <f t="shared" ref="F54:F85" si="46">IF(A54&lt;$J$3,($B$7/10)*$G$5^(A54/$G$2),($B$7/10)*$G$5^($J$3/$G$2))</f>
        <v>11.681351403873288</v>
      </c>
      <c r="G54" s="241">
        <f t="shared" si="32"/>
        <v>107.17094852555466</v>
      </c>
      <c r="H54" s="241">
        <f t="shared" si="36"/>
        <v>201.82124260854991</v>
      </c>
      <c r="I54" s="241">
        <f t="shared" si="37"/>
        <v>161.16597736972781</v>
      </c>
      <c r="J54" s="241">
        <f t="shared" si="38"/>
        <v>303.50312530101365</v>
      </c>
      <c r="K54" s="241">
        <f t="shared" si="33"/>
        <v>94.650294082995245</v>
      </c>
      <c r="L54" s="241">
        <f t="shared" si="16"/>
        <v>10.977805588427032</v>
      </c>
      <c r="M54" s="241">
        <f t="shared" si="39"/>
        <v>2.5261796470042945</v>
      </c>
      <c r="N54" s="241">
        <f t="shared" si="40"/>
        <v>50.360365994659745</v>
      </c>
      <c r="O54" s="241">
        <f t="shared" si="41"/>
        <v>4.7516834708106422E-2</v>
      </c>
      <c r="P54" s="241">
        <f t="shared" si="42"/>
        <v>1.9042567376559641E-3</v>
      </c>
      <c r="Q54" s="241">
        <f t="shared" si="30"/>
        <v>8.4727069759339386</v>
      </c>
      <c r="R54" s="241">
        <f t="shared" si="31"/>
        <v>4.5446314930961733E-2</v>
      </c>
      <c r="S54" s="250">
        <f t="shared" si="19"/>
        <v>1.0111968302890745E-3</v>
      </c>
      <c r="T54" s="250">
        <f t="shared" si="25"/>
        <v>3.2297825387085394E-2</v>
      </c>
      <c r="U54" s="250">
        <f t="shared" si="26"/>
        <v>3.2297825387085394E-2</v>
      </c>
      <c r="V54" s="250">
        <f t="shared" si="27"/>
        <v>8.4727069759339386</v>
      </c>
      <c r="W54" s="1">
        <f t="shared" si="20"/>
        <v>8.9536654094293214E-4</v>
      </c>
      <c r="X54" s="1">
        <f t="shared" ref="X54:X85" si="47">X53*B53/B54</f>
        <v>119695.05629805013</v>
      </c>
      <c r="Y54" s="1">
        <f t="shared" si="22"/>
        <v>2.5058909888507586E-5</v>
      </c>
      <c r="Z54" s="240">
        <f t="shared" si="43"/>
        <v>1.6663486832626E-5</v>
      </c>
      <c r="AA54" s="240">
        <f t="shared" si="11"/>
        <v>1.1289614478246835E-3</v>
      </c>
      <c r="AB54" s="1">
        <f t="shared" si="28"/>
        <v>3.2665693512899849E-3</v>
      </c>
      <c r="AC54" s="248">
        <f t="shared" si="23"/>
        <v>-4.0642612121688605E-2</v>
      </c>
      <c r="AD54" s="239"/>
      <c r="AE54" s="243"/>
      <c r="AG54" s="239"/>
      <c r="AH54" s="239"/>
      <c r="AI54" s="239"/>
      <c r="AM54" s="240"/>
    </row>
    <row r="55" spans="1:39">
      <c r="A55" s="241">
        <f t="shared" si="29"/>
        <v>34</v>
      </c>
      <c r="B55" s="241">
        <f t="shared" si="44"/>
        <v>1.2389203201269137</v>
      </c>
      <c r="C55" s="241">
        <f t="shared" si="34"/>
        <v>6.3128712871287129E-2</v>
      </c>
      <c r="D55" s="241">
        <f t="shared" si="35"/>
        <v>1.9797524752475248</v>
      </c>
      <c r="E55" s="241">
        <f t="shared" si="45"/>
        <v>17.806287569947298</v>
      </c>
      <c r="F55" s="241">
        <f t="shared" si="46"/>
        <v>12.851785998210643</v>
      </c>
      <c r="G55" s="241">
        <f t="shared" si="32"/>
        <v>129.72326398622297</v>
      </c>
      <c r="H55" s="241">
        <f t="shared" si="36"/>
        <v>249.02196901438228</v>
      </c>
      <c r="I55" s="241">
        <f t="shared" si="37"/>
        <v>160.7167877457195</v>
      </c>
      <c r="J55" s="241">
        <f t="shared" si="38"/>
        <v>308.51837756993285</v>
      </c>
      <c r="K55" s="241">
        <f t="shared" si="33"/>
        <v>119.2987050281593</v>
      </c>
      <c r="L55" s="241">
        <f t="shared" si="16"/>
        <v>12.324588174858278</v>
      </c>
      <c r="M55" s="241">
        <f t="shared" si="39"/>
        <v>2.74084969754451</v>
      </c>
      <c r="N55" s="241">
        <f t="shared" si="40"/>
        <v>55.94023302974643</v>
      </c>
      <c r="O55" s="241">
        <f t="shared" si="41"/>
        <v>4.3751664678265752E-2</v>
      </c>
      <c r="P55" s="241">
        <f t="shared" si="42"/>
        <v>1.9476368073127646E-3</v>
      </c>
      <c r="Q55" s="241">
        <f t="shared" si="30"/>
        <v>8.5164586406122051</v>
      </c>
      <c r="R55" s="241">
        <f t="shared" si="31"/>
        <v>4.7393951738274501E-2</v>
      </c>
      <c r="S55" s="250">
        <f t="shared" si="19"/>
        <v>1.0145843947195125E-3</v>
      </c>
      <c r="T55" s="250">
        <f t="shared" si="25"/>
        <v>3.3312409781804907E-2</v>
      </c>
      <c r="U55" s="250">
        <f t="shared" si="26"/>
        <v>3.3312409781804907E-2</v>
      </c>
      <c r="V55" s="250">
        <f t="shared" si="27"/>
        <v>8.5164586406122051</v>
      </c>
      <c r="W55" s="1">
        <f t="shared" si="20"/>
        <v>8.9287104303177481E-4</v>
      </c>
      <c r="X55" s="1">
        <f t="shared" si="47"/>
        <v>145287.79379577941</v>
      </c>
      <c r="Y55" s="1">
        <f t="shared" si="22"/>
        <v>1.8932832216618739E-5</v>
      </c>
      <c r="Z55" s="240">
        <f t="shared" si="43"/>
        <v>1.5281719016989955E-5</v>
      </c>
      <c r="AA55" s="240">
        <f t="shared" si="11"/>
        <v>1.1122979609920576E-3</v>
      </c>
      <c r="AB55" s="1">
        <f t="shared" si="28"/>
        <v>3.2818510703069748E-3</v>
      </c>
      <c r="AC55" s="248">
        <f t="shared" si="23"/>
        <v>-4.0042726595714076E-2</v>
      </c>
      <c r="AD55" s="239"/>
      <c r="AE55" s="243"/>
      <c r="AG55" s="239"/>
      <c r="AH55" s="239"/>
      <c r="AI55" s="239"/>
      <c r="AM55" s="240"/>
    </row>
    <row r="56" spans="1:39">
      <c r="A56" s="241">
        <f t="shared" si="29"/>
        <v>35</v>
      </c>
      <c r="B56" s="241">
        <f t="shared" si="44"/>
        <v>1.0206820104573513</v>
      </c>
      <c r="C56" s="241">
        <f t="shared" si="34"/>
        <v>6.3514851485148516E-2</v>
      </c>
      <c r="D56" s="241">
        <f t="shared" si="35"/>
        <v>2.0432673267326735</v>
      </c>
      <c r="E56" s="241">
        <f t="shared" si="45"/>
        <v>19.779202481633185</v>
      </c>
      <c r="F56" s="241">
        <f t="shared" si="46"/>
        <v>14.139494450020299</v>
      </c>
      <c r="G56" s="241">
        <f t="shared" si="32"/>
        <v>157.02133321351241</v>
      </c>
      <c r="H56" s="241">
        <f t="shared" si="36"/>
        <v>307.26171462573757</v>
      </c>
      <c r="I56" s="241">
        <f t="shared" si="37"/>
        <v>160.2688500690615</v>
      </c>
      <c r="J56" s="241">
        <f t="shared" si="38"/>
        <v>313.61650462077074</v>
      </c>
      <c r="K56" s="241">
        <f t="shared" si="33"/>
        <v>150.24038141222516</v>
      </c>
      <c r="L56" s="241">
        <f t="shared" si="16"/>
        <v>13.830818757661801</v>
      </c>
      <c r="M56" s="241">
        <f t="shared" si="39"/>
        <v>2.974191861985692</v>
      </c>
      <c r="N56" s="241">
        <f t="shared" si="40"/>
        <v>62.138342516298813</v>
      </c>
      <c r="O56" s="241">
        <f t="shared" si="41"/>
        <v>4.0283334442380199E-2</v>
      </c>
      <c r="P56" s="241">
        <f t="shared" si="42"/>
        <v>1.9919305714279647E-3</v>
      </c>
      <c r="Q56" s="241">
        <f t="shared" si="30"/>
        <v>8.5567419750545852</v>
      </c>
      <c r="R56" s="241">
        <f t="shared" si="31"/>
        <v>4.9385882309702464E-2</v>
      </c>
      <c r="S56" s="250">
        <f t="shared" si="19"/>
        <v>1.0179452209831976E-3</v>
      </c>
      <c r="T56" s="250">
        <f t="shared" si="25"/>
        <v>3.4330355002788103E-2</v>
      </c>
      <c r="U56" s="250">
        <f t="shared" si="26"/>
        <v>3.4330355002788103E-2</v>
      </c>
      <c r="V56" s="250">
        <f t="shared" si="27"/>
        <v>8.5567419750545852</v>
      </c>
      <c r="W56" s="1">
        <f t="shared" si="20"/>
        <v>8.9038250038367493E-4</v>
      </c>
      <c r="X56" s="1">
        <f t="shared" si="47"/>
        <v>176352.67218959302</v>
      </c>
      <c r="Y56" s="1">
        <f t="shared" si="22"/>
        <v>1.4303843473514926E-5</v>
      </c>
      <c r="Z56" s="240">
        <f t="shared" si="43"/>
        <v>1.4014005661866815E-5</v>
      </c>
      <c r="AA56" s="240">
        <f t="shared" si="11"/>
        <v>1.0970162419750675E-3</v>
      </c>
      <c r="AB56" s="1">
        <f t="shared" si="28"/>
        <v>3.2958650759688417E-3</v>
      </c>
      <c r="AC56" s="248">
        <f t="shared" si="23"/>
        <v>-3.9492584711102431E-2</v>
      </c>
      <c r="AD56" s="239"/>
      <c r="AE56" s="243"/>
      <c r="AG56" s="239"/>
      <c r="AH56" s="239"/>
      <c r="AI56" s="239"/>
      <c r="AM56" s="240"/>
    </row>
    <row r="57" spans="1:39">
      <c r="A57" s="241">
        <f t="shared" si="29"/>
        <v>36</v>
      </c>
      <c r="B57" s="241">
        <f t="shared" si="44"/>
        <v>1</v>
      </c>
      <c r="C57" s="241">
        <f t="shared" si="34"/>
        <v>6.3900990099009902E-2</v>
      </c>
      <c r="D57" s="241">
        <f t="shared" si="35"/>
        <v>2.1071683168316833</v>
      </c>
      <c r="E57" s="241">
        <f t="shared" si="45"/>
        <v>19.999999999999982</v>
      </c>
      <c r="F57" s="241">
        <f t="shared" si="46"/>
        <v>14.282856857085692</v>
      </c>
      <c r="G57" s="241">
        <f t="shared" si="32"/>
        <v>160.22159999999982</v>
      </c>
      <c r="H57" s="241">
        <f t="shared" si="36"/>
        <v>314.15999999999946</v>
      </c>
      <c r="I57" s="241">
        <f t="shared" si="37"/>
        <v>160.22159999999982</v>
      </c>
      <c r="J57" s="241">
        <f t="shared" si="38"/>
        <v>314.15999999999946</v>
      </c>
      <c r="K57" s="241">
        <f t="shared" si="33"/>
        <v>153.93839999999963</v>
      </c>
      <c r="L57" s="241">
        <f t="shared" si="16"/>
        <v>13.999999999999984</v>
      </c>
      <c r="M57" s="241">
        <f t="shared" si="39"/>
        <v>2.9999999999999991</v>
      </c>
      <c r="N57" s="241">
        <f t="shared" si="40"/>
        <v>62.831999999999944</v>
      </c>
      <c r="O57" s="241">
        <f t="shared" si="41"/>
        <v>4.0150270099009865E-2</v>
      </c>
      <c r="P57" s="241">
        <f t="shared" si="42"/>
        <v>2.0075135049504914E-3</v>
      </c>
      <c r="Q57" s="241">
        <f t="shared" si="30"/>
        <v>8.5968922451535956</v>
      </c>
      <c r="R57" s="241">
        <f t="shared" si="31"/>
        <v>5.1393395814652958E-2</v>
      </c>
      <c r="S57" s="250">
        <f t="shared" si="19"/>
        <v>1.0238318875247514E-3</v>
      </c>
      <c r="T57" s="250">
        <f t="shared" si="25"/>
        <v>3.5354186890312854E-2</v>
      </c>
      <c r="U57" s="250">
        <f t="shared" si="26"/>
        <v>0</v>
      </c>
      <c r="V57" s="250">
        <f t="shared" si="27"/>
        <v>0</v>
      </c>
      <c r="W57" s="1">
        <f t="shared" si="20"/>
        <v>8.9011999999999891E-4</v>
      </c>
      <c r="X57" s="1">
        <f t="shared" si="47"/>
        <v>180000.00000000003</v>
      </c>
      <c r="Y57" s="1">
        <f t="shared" si="22"/>
        <v>1.396180099707448E-5</v>
      </c>
      <c r="Z57" s="240">
        <f t="shared" si="43"/>
        <v>1.396180099707448E-5</v>
      </c>
      <c r="AA57" s="240">
        <f t="shared" si="11"/>
        <v>1.0830022363132008E-3</v>
      </c>
      <c r="AB57" s="1">
        <f t="shared" si="28"/>
        <v>0</v>
      </c>
      <c r="AC57" s="248">
        <f t="shared" si="23"/>
        <v>-3.898808050727523E-2</v>
      </c>
      <c r="AD57" s="239"/>
      <c r="AE57" s="243"/>
      <c r="AG57" s="239"/>
      <c r="AH57" s="239"/>
      <c r="AI57" s="239"/>
      <c r="AM57" s="240"/>
    </row>
    <row r="58" spans="1:39">
      <c r="A58" s="241">
        <f t="shared" si="29"/>
        <v>37</v>
      </c>
      <c r="B58" s="241">
        <f t="shared" si="44"/>
        <v>1</v>
      </c>
      <c r="C58" s="241">
        <f t="shared" si="34"/>
        <v>6.4287128712871289E-2</v>
      </c>
      <c r="D58" s="241">
        <f t="shared" si="35"/>
        <v>2.1714554455445545</v>
      </c>
      <c r="E58" s="241">
        <f t="shared" si="45"/>
        <v>19.999999999999982</v>
      </c>
      <c r="F58" s="241">
        <f t="shared" si="46"/>
        <v>14.282856857085692</v>
      </c>
      <c r="G58" s="241">
        <f t="shared" si="32"/>
        <v>160.22159999999982</v>
      </c>
      <c r="H58" s="241">
        <f t="shared" si="36"/>
        <v>314.15999999999946</v>
      </c>
      <c r="I58" s="241">
        <f t="shared" si="37"/>
        <v>160.22159999999982</v>
      </c>
      <c r="J58" s="241">
        <f t="shared" si="38"/>
        <v>314.15999999999946</v>
      </c>
      <c r="K58" s="241">
        <f t="shared" si="33"/>
        <v>153.93839999999963</v>
      </c>
      <c r="L58" s="241">
        <f t="shared" si="16"/>
        <v>13.999999999999984</v>
      </c>
      <c r="M58" s="241">
        <f t="shared" si="39"/>
        <v>2.9999999999999991</v>
      </c>
      <c r="N58" s="241">
        <f t="shared" si="40"/>
        <v>62.831999999999944</v>
      </c>
      <c r="O58" s="241">
        <f t="shared" si="41"/>
        <v>4.039288871287125E-2</v>
      </c>
      <c r="P58" s="241">
        <f t="shared" si="42"/>
        <v>2.0196444356435608E-3</v>
      </c>
      <c r="Q58" s="241">
        <f t="shared" si="30"/>
        <v>8.6372851338664667</v>
      </c>
      <c r="R58" s="241">
        <f t="shared" si="31"/>
        <v>5.3413040250296522E-2</v>
      </c>
      <c r="S58" s="250">
        <f t="shared" si="19"/>
        <v>1.0300186621782167E-3</v>
      </c>
      <c r="T58" s="250">
        <f t="shared" si="25"/>
        <v>3.638420555249107E-2</v>
      </c>
      <c r="U58" s="250">
        <f t="shared" si="26"/>
        <v>0</v>
      </c>
      <c r="V58" s="250">
        <f t="shared" si="27"/>
        <v>0</v>
      </c>
      <c r="W58" s="1">
        <f t="shared" si="20"/>
        <v>8.9011999999999891E-4</v>
      </c>
      <c r="X58" s="1">
        <f t="shared" si="47"/>
        <v>180000.00000000003</v>
      </c>
      <c r="Y58" s="1">
        <f t="shared" si="22"/>
        <v>1.4046168867989559E-5</v>
      </c>
      <c r="Z58" s="240">
        <f t="shared" si="43"/>
        <v>1.4046168867989559E-5</v>
      </c>
      <c r="AA58" s="240">
        <f t="shared" si="11"/>
        <v>1.0690404353161263E-3</v>
      </c>
      <c r="AB58" s="1">
        <f t="shared" si="28"/>
        <v>0</v>
      </c>
      <c r="AC58" s="248">
        <f t="shared" si="23"/>
        <v>-3.848545567138055E-2</v>
      </c>
      <c r="AD58" s="239"/>
      <c r="AE58" s="243"/>
      <c r="AG58" s="239"/>
      <c r="AH58" s="239"/>
      <c r="AI58" s="239"/>
      <c r="AM58" s="240"/>
    </row>
    <row r="59" spans="1:39">
      <c r="A59" s="241">
        <f t="shared" si="29"/>
        <v>38</v>
      </c>
      <c r="B59" s="241">
        <f t="shared" si="44"/>
        <v>1</v>
      </c>
      <c r="C59" s="241">
        <f t="shared" si="34"/>
        <v>6.4673267326732675E-2</v>
      </c>
      <c r="D59" s="241">
        <f t="shared" si="35"/>
        <v>2.2361287128712872</v>
      </c>
      <c r="E59" s="241">
        <f t="shared" si="45"/>
        <v>19.999999999999982</v>
      </c>
      <c r="F59" s="241">
        <f t="shared" si="46"/>
        <v>14.282856857085692</v>
      </c>
      <c r="G59" s="241">
        <f t="shared" si="32"/>
        <v>160.22159999999982</v>
      </c>
      <c r="H59" s="241">
        <f t="shared" si="36"/>
        <v>314.15999999999946</v>
      </c>
      <c r="I59" s="241">
        <f t="shared" si="37"/>
        <v>160.22159999999982</v>
      </c>
      <c r="J59" s="241">
        <f t="shared" si="38"/>
        <v>314.15999999999946</v>
      </c>
      <c r="K59" s="241">
        <f t="shared" si="33"/>
        <v>153.93839999999963</v>
      </c>
      <c r="L59" s="241">
        <f t="shared" si="16"/>
        <v>13.999999999999984</v>
      </c>
      <c r="M59" s="241">
        <f t="shared" si="39"/>
        <v>2.9999999999999991</v>
      </c>
      <c r="N59" s="241">
        <f t="shared" si="40"/>
        <v>62.831999999999944</v>
      </c>
      <c r="O59" s="241">
        <f t="shared" si="41"/>
        <v>4.0635507326732635E-2</v>
      </c>
      <c r="P59" s="241">
        <f t="shared" si="42"/>
        <v>2.0317753663366303E-3</v>
      </c>
      <c r="Q59" s="241">
        <f t="shared" si="30"/>
        <v>8.6779206411932002</v>
      </c>
      <c r="R59" s="241">
        <f t="shared" si="31"/>
        <v>5.5444815616633149E-2</v>
      </c>
      <c r="S59" s="250">
        <f t="shared" si="19"/>
        <v>1.0362054368316821E-3</v>
      </c>
      <c r="T59" s="250">
        <f t="shared" si="25"/>
        <v>3.742041098932275E-2</v>
      </c>
      <c r="U59" s="250">
        <f t="shared" si="26"/>
        <v>0</v>
      </c>
      <c r="V59" s="250">
        <f t="shared" si="27"/>
        <v>0</v>
      </c>
      <c r="W59" s="1">
        <f t="shared" si="20"/>
        <v>8.9011999999999891E-4</v>
      </c>
      <c r="X59" s="1">
        <f t="shared" si="47"/>
        <v>180000.00000000003</v>
      </c>
      <c r="Y59" s="1">
        <f t="shared" si="22"/>
        <v>1.4130536738904634E-5</v>
      </c>
      <c r="Z59" s="240">
        <f t="shared" si="43"/>
        <v>1.4130536738904634E-5</v>
      </c>
      <c r="AA59" s="240">
        <f t="shared" si="11"/>
        <v>1.0549942664481368E-3</v>
      </c>
      <c r="AB59" s="1">
        <f t="shared" si="28"/>
        <v>0</v>
      </c>
      <c r="AC59" s="248">
        <f t="shared" si="23"/>
        <v>-3.7979793592132924E-2</v>
      </c>
      <c r="AD59" s="239"/>
      <c r="AE59" s="243"/>
      <c r="AG59" s="239"/>
      <c r="AH59" s="239"/>
      <c r="AI59" s="239"/>
      <c r="AM59" s="240"/>
    </row>
    <row r="60" spans="1:39">
      <c r="A60" s="241">
        <f t="shared" si="29"/>
        <v>39</v>
      </c>
      <c r="B60" s="241">
        <f t="shared" si="44"/>
        <v>1</v>
      </c>
      <c r="C60" s="241">
        <f t="shared" si="34"/>
        <v>6.5059405940594062E-2</v>
      </c>
      <c r="D60" s="241">
        <f t="shared" si="35"/>
        <v>2.3011881188118815</v>
      </c>
      <c r="E60" s="241">
        <f t="shared" si="45"/>
        <v>19.999999999999982</v>
      </c>
      <c r="F60" s="241">
        <f t="shared" si="46"/>
        <v>14.282856857085692</v>
      </c>
      <c r="G60" s="241">
        <f t="shared" si="32"/>
        <v>160.22159999999982</v>
      </c>
      <c r="H60" s="241">
        <f t="shared" si="36"/>
        <v>314.15999999999946</v>
      </c>
      <c r="I60" s="241">
        <f t="shared" si="37"/>
        <v>160.22159999999982</v>
      </c>
      <c r="J60" s="241">
        <f t="shared" si="38"/>
        <v>314.15999999999946</v>
      </c>
      <c r="K60" s="241">
        <f t="shared" si="33"/>
        <v>153.93839999999963</v>
      </c>
      <c r="L60" s="241">
        <f t="shared" si="16"/>
        <v>13.999999999999984</v>
      </c>
      <c r="M60" s="241">
        <f t="shared" si="39"/>
        <v>2.9999999999999991</v>
      </c>
      <c r="N60" s="241">
        <f t="shared" si="40"/>
        <v>62.831999999999944</v>
      </c>
      <c r="O60" s="241">
        <f t="shared" si="41"/>
        <v>4.0878125940594028E-2</v>
      </c>
      <c r="P60" s="241">
        <f t="shared" si="42"/>
        <v>2.0439062970296993E-3</v>
      </c>
      <c r="Q60" s="241">
        <f t="shared" si="30"/>
        <v>8.7187987671337943</v>
      </c>
      <c r="R60" s="241">
        <f t="shared" si="31"/>
        <v>5.7488721913662846E-2</v>
      </c>
      <c r="S60" s="250">
        <f t="shared" si="19"/>
        <v>1.0423922114851474E-3</v>
      </c>
      <c r="T60" s="250">
        <f t="shared" si="25"/>
        <v>3.8462803200807895E-2</v>
      </c>
      <c r="U60" s="250">
        <f t="shared" si="26"/>
        <v>0</v>
      </c>
      <c r="V60" s="250">
        <f t="shared" si="27"/>
        <v>0</v>
      </c>
      <c r="W60" s="1">
        <f t="shared" si="20"/>
        <v>8.9011999999999891E-4</v>
      </c>
      <c r="X60" s="1">
        <f t="shared" si="47"/>
        <v>180000.00000000003</v>
      </c>
      <c r="Y60" s="1">
        <f t="shared" si="22"/>
        <v>1.4214904609819711E-5</v>
      </c>
      <c r="Z60" s="240">
        <f t="shared" si="43"/>
        <v>1.4214904609819711E-5</v>
      </c>
      <c r="AA60" s="240">
        <f t="shared" si="11"/>
        <v>1.0408637297092322E-3</v>
      </c>
      <c r="AB60" s="1">
        <f t="shared" si="28"/>
        <v>0</v>
      </c>
      <c r="AC60" s="248">
        <f t="shared" si="23"/>
        <v>-3.7471094269532358E-2</v>
      </c>
      <c r="AD60" s="239"/>
      <c r="AE60" s="243"/>
      <c r="AG60" s="239"/>
      <c r="AH60" s="239"/>
      <c r="AI60" s="239"/>
      <c r="AM60" s="240"/>
    </row>
    <row r="61" spans="1:39">
      <c r="A61" s="241">
        <f t="shared" si="29"/>
        <v>40</v>
      </c>
      <c r="B61" s="241">
        <f t="shared" si="44"/>
        <v>1</v>
      </c>
      <c r="C61" s="241">
        <f t="shared" si="34"/>
        <v>6.5445544554455448E-2</v>
      </c>
      <c r="D61" s="241">
        <f t="shared" si="35"/>
        <v>2.3666336633663367</v>
      </c>
      <c r="E61" s="241">
        <f t="shared" si="45"/>
        <v>19.999999999999982</v>
      </c>
      <c r="F61" s="241">
        <f t="shared" si="46"/>
        <v>14.282856857085692</v>
      </c>
      <c r="G61" s="241">
        <f t="shared" si="32"/>
        <v>160.22159999999982</v>
      </c>
      <c r="H61" s="241">
        <f t="shared" si="36"/>
        <v>314.15999999999946</v>
      </c>
      <c r="I61" s="241">
        <f t="shared" si="37"/>
        <v>160.22159999999982</v>
      </c>
      <c r="J61" s="241">
        <f t="shared" si="38"/>
        <v>314.15999999999946</v>
      </c>
      <c r="K61" s="241">
        <f t="shared" si="33"/>
        <v>153.93839999999963</v>
      </c>
      <c r="L61" s="241">
        <f t="shared" si="16"/>
        <v>13.999999999999984</v>
      </c>
      <c r="M61" s="241">
        <f t="shared" si="39"/>
        <v>2.9999999999999991</v>
      </c>
      <c r="N61" s="241">
        <f t="shared" si="40"/>
        <v>62.831999999999944</v>
      </c>
      <c r="O61" s="241">
        <f t="shared" si="41"/>
        <v>4.1120744554455406E-2</v>
      </c>
      <c r="P61" s="241">
        <f t="shared" si="42"/>
        <v>2.0560372277227687E-3</v>
      </c>
      <c r="Q61" s="241">
        <f t="shared" si="30"/>
        <v>8.7599195116882491</v>
      </c>
      <c r="R61" s="241">
        <f t="shared" si="31"/>
        <v>5.9544759141385614E-2</v>
      </c>
      <c r="S61" s="250">
        <f t="shared" si="19"/>
        <v>1.0485789861386127E-3</v>
      </c>
      <c r="T61" s="250">
        <f t="shared" si="25"/>
        <v>3.9511382186946505E-2</v>
      </c>
      <c r="U61" s="250">
        <f t="shared" si="26"/>
        <v>0</v>
      </c>
      <c r="V61" s="250">
        <f t="shared" si="27"/>
        <v>0</v>
      </c>
      <c r="W61" s="1">
        <f t="shared" si="20"/>
        <v>8.9011999999999891E-4</v>
      </c>
      <c r="X61" s="1">
        <f t="shared" si="47"/>
        <v>180000.00000000003</v>
      </c>
      <c r="Y61" s="1">
        <f t="shared" si="22"/>
        <v>1.4299272480734788E-5</v>
      </c>
      <c r="Z61" s="240">
        <f t="shared" si="43"/>
        <v>1.4299272480734788E-5</v>
      </c>
      <c r="AA61" s="240">
        <f t="shared" si="11"/>
        <v>1.0266488250994124E-3</v>
      </c>
      <c r="AB61" s="1">
        <f t="shared" si="28"/>
        <v>0</v>
      </c>
      <c r="AC61" s="248">
        <f t="shared" si="23"/>
        <v>-3.6959357703578846E-2</v>
      </c>
      <c r="AD61" s="239"/>
      <c r="AE61" s="243"/>
      <c r="AG61" s="239"/>
      <c r="AH61" s="239"/>
      <c r="AI61" s="239"/>
      <c r="AM61" s="240"/>
    </row>
    <row r="62" spans="1:39">
      <c r="A62" s="241">
        <f t="shared" si="29"/>
        <v>41</v>
      </c>
      <c r="B62" s="241">
        <f t="shared" si="44"/>
        <v>1</v>
      </c>
      <c r="C62" s="241">
        <f t="shared" si="34"/>
        <v>6.5831683168316835E-2</v>
      </c>
      <c r="D62" s="241">
        <f t="shared" si="35"/>
        <v>2.4324653465346531</v>
      </c>
      <c r="E62" s="241">
        <f t="shared" si="45"/>
        <v>19.999999999999982</v>
      </c>
      <c r="F62" s="241">
        <f t="shared" si="46"/>
        <v>14.282856857085692</v>
      </c>
      <c r="G62" s="241">
        <f t="shared" si="32"/>
        <v>160.22159999999982</v>
      </c>
      <c r="H62" s="241">
        <f t="shared" si="36"/>
        <v>314.15999999999946</v>
      </c>
      <c r="I62" s="241">
        <f t="shared" si="37"/>
        <v>160.22159999999982</v>
      </c>
      <c r="J62" s="241">
        <f t="shared" si="38"/>
        <v>314.15999999999946</v>
      </c>
      <c r="K62" s="241">
        <f t="shared" si="33"/>
        <v>153.93839999999963</v>
      </c>
      <c r="L62" s="241">
        <f t="shared" si="16"/>
        <v>13.999999999999984</v>
      </c>
      <c r="M62" s="241">
        <f t="shared" si="39"/>
        <v>2.9999999999999991</v>
      </c>
      <c r="N62" s="241">
        <f t="shared" si="40"/>
        <v>62.831999999999944</v>
      </c>
      <c r="O62" s="241">
        <f t="shared" si="41"/>
        <v>4.1363363168316791E-2</v>
      </c>
      <c r="P62" s="241">
        <f t="shared" si="42"/>
        <v>2.0681681584158382E-3</v>
      </c>
      <c r="Q62" s="241">
        <f t="shared" si="30"/>
        <v>8.8012828748565664</v>
      </c>
      <c r="R62" s="241">
        <f t="shared" si="31"/>
        <v>6.1612927299801452E-2</v>
      </c>
      <c r="S62" s="250">
        <f t="shared" si="19"/>
        <v>1.0547657607920783E-3</v>
      </c>
      <c r="T62" s="250">
        <f t="shared" si="25"/>
        <v>4.0566147947738586E-2</v>
      </c>
      <c r="U62" s="250">
        <f t="shared" si="26"/>
        <v>0</v>
      </c>
      <c r="V62" s="250">
        <f t="shared" si="27"/>
        <v>0</v>
      </c>
      <c r="W62" s="1">
        <f t="shared" si="20"/>
        <v>8.9011999999999891E-4</v>
      </c>
      <c r="X62" s="1">
        <f t="shared" si="47"/>
        <v>180000.00000000003</v>
      </c>
      <c r="Y62" s="1">
        <f t="shared" si="22"/>
        <v>1.4383640351649863E-5</v>
      </c>
      <c r="Z62" s="240">
        <f t="shared" si="43"/>
        <v>1.4383640351649863E-5</v>
      </c>
      <c r="AA62" s="240">
        <f t="shared" si="11"/>
        <v>1.0123495526186777E-3</v>
      </c>
      <c r="AB62" s="1">
        <f t="shared" si="28"/>
        <v>0</v>
      </c>
      <c r="AC62" s="248">
        <f t="shared" si="23"/>
        <v>-3.6444583894272395E-2</v>
      </c>
      <c r="AD62" s="239"/>
      <c r="AE62" s="243"/>
      <c r="AG62" s="239"/>
      <c r="AH62" s="239"/>
      <c r="AI62" s="239"/>
      <c r="AM62" s="240"/>
    </row>
    <row r="63" spans="1:39">
      <c r="A63" s="241">
        <f t="shared" si="29"/>
        <v>42</v>
      </c>
      <c r="B63" s="241">
        <f t="shared" si="44"/>
        <v>1</v>
      </c>
      <c r="C63" s="241">
        <f t="shared" si="34"/>
        <v>6.6217821782178221E-2</v>
      </c>
      <c r="D63" s="241">
        <f t="shared" si="35"/>
        <v>2.4986831683168313</v>
      </c>
      <c r="E63" s="241">
        <f t="shared" si="45"/>
        <v>19.999999999999982</v>
      </c>
      <c r="F63" s="241">
        <f t="shared" si="46"/>
        <v>14.282856857085692</v>
      </c>
      <c r="G63" s="241">
        <f t="shared" si="32"/>
        <v>160.22159999999982</v>
      </c>
      <c r="H63" s="241">
        <f t="shared" si="36"/>
        <v>314.15999999999946</v>
      </c>
      <c r="I63" s="241">
        <f t="shared" si="37"/>
        <v>160.22159999999982</v>
      </c>
      <c r="J63" s="241">
        <f t="shared" si="38"/>
        <v>314.15999999999946</v>
      </c>
      <c r="K63" s="241">
        <f t="shared" si="33"/>
        <v>153.93839999999963</v>
      </c>
      <c r="L63" s="241">
        <f t="shared" si="16"/>
        <v>13.999999999999984</v>
      </c>
      <c r="M63" s="241">
        <f t="shared" si="39"/>
        <v>2.9999999999999991</v>
      </c>
      <c r="N63" s="241">
        <f t="shared" si="40"/>
        <v>62.831999999999944</v>
      </c>
      <c r="O63" s="241">
        <f t="shared" si="41"/>
        <v>4.1605981782178184E-2</v>
      </c>
      <c r="P63" s="241">
        <f t="shared" si="42"/>
        <v>2.0802990891089076E-3</v>
      </c>
      <c r="Q63" s="241">
        <f t="shared" si="30"/>
        <v>8.8428888566387442</v>
      </c>
      <c r="R63" s="241">
        <f t="shared" si="31"/>
        <v>6.3693226388910354E-2</v>
      </c>
      <c r="S63" s="250">
        <f t="shared" si="19"/>
        <v>1.0609525354455436E-3</v>
      </c>
      <c r="T63" s="250">
        <f t="shared" si="25"/>
        <v>4.1627100483184132E-2</v>
      </c>
      <c r="U63" s="250">
        <f t="shared" si="26"/>
        <v>0</v>
      </c>
      <c r="V63" s="250">
        <f t="shared" si="27"/>
        <v>0</v>
      </c>
      <c r="W63" s="1">
        <f t="shared" si="20"/>
        <v>8.9011999999999891E-4</v>
      </c>
      <c r="X63" s="1">
        <f t="shared" si="47"/>
        <v>180000.00000000003</v>
      </c>
      <c r="Y63" s="1">
        <f t="shared" si="22"/>
        <v>1.4468008222564944E-5</v>
      </c>
      <c r="Z63" s="240">
        <f t="shared" si="43"/>
        <v>1.4468008222564944E-5</v>
      </c>
      <c r="AA63" s="240">
        <f t="shared" si="11"/>
        <v>9.9796591226702772E-4</v>
      </c>
      <c r="AB63" s="1">
        <f t="shared" si="28"/>
        <v>0</v>
      </c>
      <c r="AC63" s="248">
        <f t="shared" si="23"/>
        <v>-3.5926772841612997E-2</v>
      </c>
      <c r="AD63" s="239"/>
      <c r="AE63" s="243"/>
      <c r="AG63" s="239"/>
      <c r="AH63" s="239"/>
      <c r="AI63" s="239"/>
      <c r="AM63" s="240"/>
    </row>
    <row r="64" spans="1:39">
      <c r="A64" s="241">
        <f t="shared" si="29"/>
        <v>43</v>
      </c>
      <c r="B64" s="241">
        <f t="shared" si="44"/>
        <v>1</v>
      </c>
      <c r="C64" s="241">
        <f t="shared" si="34"/>
        <v>6.6603960396039608E-2</v>
      </c>
      <c r="D64" s="241">
        <f t="shared" si="35"/>
        <v>2.5652871287128711</v>
      </c>
      <c r="E64" s="241">
        <f t="shared" si="45"/>
        <v>19.999999999999982</v>
      </c>
      <c r="F64" s="241">
        <f t="shared" si="46"/>
        <v>14.282856857085692</v>
      </c>
      <c r="G64" s="241">
        <f t="shared" si="32"/>
        <v>160.22159999999982</v>
      </c>
      <c r="H64" s="241">
        <f t="shared" si="36"/>
        <v>314.15999999999946</v>
      </c>
      <c r="I64" s="241">
        <f t="shared" si="37"/>
        <v>160.22159999999982</v>
      </c>
      <c r="J64" s="241">
        <f t="shared" si="38"/>
        <v>314.15999999999946</v>
      </c>
      <c r="K64" s="241">
        <f t="shared" si="33"/>
        <v>153.93839999999963</v>
      </c>
      <c r="L64" s="241">
        <f t="shared" si="16"/>
        <v>13.999999999999984</v>
      </c>
      <c r="M64" s="241">
        <f t="shared" si="39"/>
        <v>2.9999999999999991</v>
      </c>
      <c r="N64" s="241">
        <f t="shared" si="40"/>
        <v>62.831999999999944</v>
      </c>
      <c r="O64" s="241">
        <f t="shared" si="41"/>
        <v>4.1848600396039569E-2</v>
      </c>
      <c r="P64" s="241">
        <f t="shared" si="42"/>
        <v>2.0924300198019766E-3</v>
      </c>
      <c r="Q64" s="241">
        <f t="shared" si="30"/>
        <v>8.8847374570347846</v>
      </c>
      <c r="R64" s="241">
        <f t="shared" si="31"/>
        <v>6.5785656408712326E-2</v>
      </c>
      <c r="S64" s="250">
        <f t="shared" si="19"/>
        <v>1.0671393100990089E-3</v>
      </c>
      <c r="T64" s="250">
        <f t="shared" si="25"/>
        <v>4.2694239793283142E-2</v>
      </c>
      <c r="U64" s="250">
        <f t="shared" si="26"/>
        <v>0</v>
      </c>
      <c r="V64" s="250">
        <f t="shared" si="27"/>
        <v>0</v>
      </c>
      <c r="W64" s="1">
        <f t="shared" si="20"/>
        <v>8.9011999999999891E-4</v>
      </c>
      <c r="X64" s="1">
        <f t="shared" si="47"/>
        <v>180000.00000000003</v>
      </c>
      <c r="Y64" s="1">
        <f t="shared" si="22"/>
        <v>1.4552376093480021E-5</v>
      </c>
      <c r="Z64" s="240">
        <f t="shared" si="43"/>
        <v>1.4552376093480021E-5</v>
      </c>
      <c r="AA64" s="240">
        <f t="shared" si="11"/>
        <v>9.8349790404446283E-4</v>
      </c>
      <c r="AB64" s="1">
        <f t="shared" si="28"/>
        <v>0</v>
      </c>
      <c r="AC64" s="248">
        <f t="shared" si="23"/>
        <v>-3.540592454560066E-2</v>
      </c>
      <c r="AD64" s="239"/>
      <c r="AE64" s="243"/>
      <c r="AG64" s="239"/>
      <c r="AH64" s="239"/>
      <c r="AI64" s="239"/>
      <c r="AM64" s="240"/>
    </row>
    <row r="65" spans="1:39">
      <c r="A65" s="241">
        <f t="shared" si="29"/>
        <v>44</v>
      </c>
      <c r="B65" s="241">
        <f t="shared" si="44"/>
        <v>1</v>
      </c>
      <c r="C65" s="241">
        <f t="shared" si="34"/>
        <v>6.6990099009900994E-2</v>
      </c>
      <c r="D65" s="241">
        <f t="shared" si="35"/>
        <v>2.632277227722772</v>
      </c>
      <c r="E65" s="241">
        <f t="shared" si="45"/>
        <v>19.999999999999982</v>
      </c>
      <c r="F65" s="241">
        <f t="shared" si="46"/>
        <v>14.282856857085692</v>
      </c>
      <c r="G65" s="241">
        <f t="shared" si="32"/>
        <v>160.22159999999982</v>
      </c>
      <c r="H65" s="241">
        <f t="shared" si="36"/>
        <v>314.15999999999946</v>
      </c>
      <c r="I65" s="241">
        <f t="shared" si="37"/>
        <v>160.22159999999982</v>
      </c>
      <c r="J65" s="241">
        <f t="shared" si="38"/>
        <v>314.15999999999946</v>
      </c>
      <c r="K65" s="241">
        <f t="shared" si="33"/>
        <v>153.93839999999963</v>
      </c>
      <c r="L65" s="241">
        <f t="shared" si="16"/>
        <v>13.999999999999984</v>
      </c>
      <c r="M65" s="241">
        <f t="shared" si="39"/>
        <v>2.9999999999999991</v>
      </c>
      <c r="N65" s="241">
        <f t="shared" si="40"/>
        <v>62.831999999999944</v>
      </c>
      <c r="O65" s="241">
        <f t="shared" si="41"/>
        <v>4.2091219009900954E-2</v>
      </c>
      <c r="P65" s="241">
        <f t="shared" si="42"/>
        <v>2.1045609504950461E-3</v>
      </c>
      <c r="Q65" s="241">
        <f t="shared" si="30"/>
        <v>8.9268286760446856</v>
      </c>
      <c r="R65" s="241">
        <f t="shared" si="31"/>
        <v>6.7890217359207375E-2</v>
      </c>
      <c r="S65" s="250">
        <f t="shared" si="19"/>
        <v>1.0733260847524742E-3</v>
      </c>
      <c r="T65" s="250">
        <f t="shared" si="25"/>
        <v>4.3767565878035618E-2</v>
      </c>
      <c r="U65" s="250">
        <f t="shared" si="26"/>
        <v>0</v>
      </c>
      <c r="V65" s="250">
        <f t="shared" si="27"/>
        <v>0</v>
      </c>
      <c r="W65" s="1">
        <f t="shared" si="20"/>
        <v>8.9011999999999891E-4</v>
      </c>
      <c r="X65" s="1">
        <f t="shared" si="47"/>
        <v>180000.00000000003</v>
      </c>
      <c r="Y65" s="1">
        <f t="shared" si="22"/>
        <v>1.4636743964395097E-5</v>
      </c>
      <c r="Z65" s="240">
        <f t="shared" si="43"/>
        <v>1.4636743964395097E-5</v>
      </c>
      <c r="AA65" s="240">
        <f t="shared" si="11"/>
        <v>9.6894552795098276E-4</v>
      </c>
      <c r="AB65" s="1">
        <f t="shared" si="28"/>
        <v>0</v>
      </c>
      <c r="AC65" s="248">
        <f t="shared" si="23"/>
        <v>-3.4882039006235377E-2</v>
      </c>
      <c r="AD65" s="239"/>
      <c r="AE65" s="243"/>
      <c r="AG65" s="239"/>
      <c r="AH65" s="239"/>
      <c r="AI65" s="239"/>
      <c r="AM65" s="240"/>
    </row>
    <row r="66" spans="1:39">
      <c r="A66" s="241">
        <f t="shared" si="29"/>
        <v>45</v>
      </c>
      <c r="B66" s="241">
        <f t="shared" si="44"/>
        <v>1</v>
      </c>
      <c r="C66" s="241">
        <f t="shared" si="34"/>
        <v>6.7376237623762381E-2</v>
      </c>
      <c r="D66" s="241">
        <f t="shared" si="35"/>
        <v>2.6996534653465343</v>
      </c>
      <c r="E66" s="241">
        <f t="shared" si="45"/>
        <v>19.999999999999982</v>
      </c>
      <c r="F66" s="241">
        <f t="shared" si="46"/>
        <v>14.282856857085692</v>
      </c>
      <c r="G66" s="241">
        <f t="shared" si="32"/>
        <v>160.22159999999982</v>
      </c>
      <c r="H66" s="241">
        <f t="shared" si="36"/>
        <v>314.15999999999946</v>
      </c>
      <c r="I66" s="241">
        <f t="shared" si="37"/>
        <v>160.22159999999982</v>
      </c>
      <c r="J66" s="241">
        <f t="shared" si="38"/>
        <v>314.15999999999946</v>
      </c>
      <c r="K66" s="241">
        <f t="shared" si="33"/>
        <v>153.93839999999963</v>
      </c>
      <c r="L66" s="241">
        <f t="shared" si="16"/>
        <v>13.999999999999984</v>
      </c>
      <c r="M66" s="241">
        <f t="shared" si="39"/>
        <v>2.9999999999999991</v>
      </c>
      <c r="N66" s="241">
        <f t="shared" si="40"/>
        <v>62.831999999999944</v>
      </c>
      <c r="O66" s="241">
        <f t="shared" si="41"/>
        <v>4.233383762376234E-2</v>
      </c>
      <c r="P66" s="241">
        <f t="shared" si="42"/>
        <v>2.1166918811881155E-3</v>
      </c>
      <c r="Q66" s="241">
        <f t="shared" si="30"/>
        <v>8.9691625136684472</v>
      </c>
      <c r="R66" s="241">
        <f t="shared" si="31"/>
        <v>7.0006909240395487E-2</v>
      </c>
      <c r="S66" s="250">
        <f t="shared" si="19"/>
        <v>1.0795128594059396E-3</v>
      </c>
      <c r="T66" s="250">
        <f t="shared" si="25"/>
        <v>4.4847078737441558E-2</v>
      </c>
      <c r="U66" s="250">
        <f t="shared" si="26"/>
        <v>0</v>
      </c>
      <c r="V66" s="250">
        <f t="shared" si="27"/>
        <v>0</v>
      </c>
      <c r="W66" s="1">
        <f t="shared" si="20"/>
        <v>8.9011999999999891E-4</v>
      </c>
      <c r="X66" s="1">
        <f t="shared" si="47"/>
        <v>180000.00000000003</v>
      </c>
      <c r="Y66" s="1">
        <f t="shared" si="22"/>
        <v>1.4721111835310173E-5</v>
      </c>
      <c r="Z66" s="240">
        <f t="shared" si="43"/>
        <v>1.4721111835310173E-5</v>
      </c>
      <c r="AA66" s="240">
        <f t="shared" si="11"/>
        <v>9.5430878398658763E-4</v>
      </c>
      <c r="AB66" s="1">
        <f t="shared" si="28"/>
        <v>0</v>
      </c>
      <c r="AC66" s="248">
        <f t="shared" si="23"/>
        <v>-3.4355116223517154E-2</v>
      </c>
      <c r="AD66" s="239"/>
      <c r="AE66" s="243"/>
      <c r="AG66" s="239"/>
      <c r="AH66" s="239"/>
      <c r="AI66" s="239"/>
      <c r="AM66" s="240"/>
    </row>
    <row r="67" spans="1:39">
      <c r="A67" s="241">
        <f t="shared" si="29"/>
        <v>46</v>
      </c>
      <c r="B67" s="241">
        <f t="shared" si="44"/>
        <v>1</v>
      </c>
      <c r="C67" s="241">
        <f t="shared" si="34"/>
        <v>6.7762376237623767E-2</v>
      </c>
      <c r="D67" s="241">
        <f t="shared" si="35"/>
        <v>2.7674158415841581</v>
      </c>
      <c r="E67" s="241">
        <f t="shared" si="45"/>
        <v>19.999999999999982</v>
      </c>
      <c r="F67" s="241">
        <f t="shared" si="46"/>
        <v>14.282856857085692</v>
      </c>
      <c r="G67" s="241">
        <f t="shared" si="32"/>
        <v>160.22159999999982</v>
      </c>
      <c r="H67" s="241">
        <f t="shared" si="36"/>
        <v>314.15999999999946</v>
      </c>
      <c r="I67" s="241">
        <f t="shared" si="37"/>
        <v>160.22159999999982</v>
      </c>
      <c r="J67" s="241">
        <f t="shared" si="38"/>
        <v>314.15999999999946</v>
      </c>
      <c r="K67" s="241">
        <f t="shared" si="33"/>
        <v>153.93839999999963</v>
      </c>
      <c r="L67" s="241">
        <f t="shared" si="16"/>
        <v>13.999999999999984</v>
      </c>
      <c r="M67" s="241">
        <f t="shared" si="39"/>
        <v>2.9999999999999991</v>
      </c>
      <c r="N67" s="241">
        <f t="shared" si="40"/>
        <v>62.831999999999944</v>
      </c>
      <c r="O67" s="241">
        <f t="shared" si="41"/>
        <v>4.2576456237623725E-2</v>
      </c>
      <c r="P67" s="241">
        <f t="shared" si="42"/>
        <v>2.1288228118811841E-3</v>
      </c>
      <c r="Q67" s="241">
        <f t="shared" si="30"/>
        <v>9.0117389699060713</v>
      </c>
      <c r="R67" s="241">
        <f t="shared" si="31"/>
        <v>7.2135732052276677E-2</v>
      </c>
      <c r="S67" s="250">
        <f t="shared" si="19"/>
        <v>1.0856996340594049E-3</v>
      </c>
      <c r="T67" s="250">
        <f t="shared" si="25"/>
        <v>4.5932778371500962E-2</v>
      </c>
      <c r="U67" s="250">
        <f t="shared" si="26"/>
        <v>0</v>
      </c>
      <c r="V67" s="250">
        <f t="shared" si="27"/>
        <v>0</v>
      </c>
      <c r="W67" s="1">
        <f t="shared" si="20"/>
        <v>8.9011999999999891E-4</v>
      </c>
      <c r="X67" s="1">
        <f t="shared" si="47"/>
        <v>180000.00000000003</v>
      </c>
      <c r="Y67" s="1">
        <f t="shared" si="22"/>
        <v>1.480547970622525E-5</v>
      </c>
      <c r="Z67" s="240">
        <f t="shared" si="43"/>
        <v>1.480547970622525E-5</v>
      </c>
      <c r="AA67" s="240">
        <f t="shared" si="11"/>
        <v>9.3958767215127743E-4</v>
      </c>
      <c r="AB67" s="1">
        <f t="shared" si="28"/>
        <v>0</v>
      </c>
      <c r="AC67" s="248">
        <f t="shared" si="23"/>
        <v>-3.3825156197445985E-2</v>
      </c>
      <c r="AD67" s="239"/>
      <c r="AE67" s="243"/>
      <c r="AG67" s="239"/>
      <c r="AH67" s="239"/>
      <c r="AI67" s="239"/>
      <c r="AM67" s="240"/>
    </row>
    <row r="68" spans="1:39">
      <c r="A68" s="241">
        <f t="shared" si="29"/>
        <v>47</v>
      </c>
      <c r="B68" s="241">
        <f t="shared" si="44"/>
        <v>1</v>
      </c>
      <c r="C68" s="241">
        <f t="shared" si="34"/>
        <v>6.814851485148514E-2</v>
      </c>
      <c r="D68" s="241">
        <f t="shared" si="35"/>
        <v>2.8355643564356434</v>
      </c>
      <c r="E68" s="241">
        <f t="shared" si="45"/>
        <v>19.999999999999982</v>
      </c>
      <c r="F68" s="241">
        <f t="shared" si="46"/>
        <v>14.282856857085692</v>
      </c>
      <c r="G68" s="241">
        <f t="shared" si="32"/>
        <v>160.22159999999982</v>
      </c>
      <c r="H68" s="241">
        <f t="shared" si="36"/>
        <v>314.15999999999946</v>
      </c>
      <c r="I68" s="241">
        <f t="shared" si="37"/>
        <v>160.22159999999982</v>
      </c>
      <c r="J68" s="241">
        <f t="shared" si="38"/>
        <v>314.15999999999946</v>
      </c>
      <c r="K68" s="241">
        <f t="shared" si="33"/>
        <v>153.93839999999963</v>
      </c>
      <c r="L68" s="241">
        <f t="shared" si="16"/>
        <v>13.999999999999984</v>
      </c>
      <c r="M68" s="241">
        <f t="shared" si="39"/>
        <v>2.9999999999999991</v>
      </c>
      <c r="N68" s="241">
        <f t="shared" si="40"/>
        <v>62.831999999999944</v>
      </c>
      <c r="O68" s="241">
        <f t="shared" si="41"/>
        <v>4.281907485148511E-2</v>
      </c>
      <c r="P68" s="241">
        <f t="shared" si="42"/>
        <v>2.1409537425742531E-3</v>
      </c>
      <c r="Q68" s="241">
        <f t="shared" si="30"/>
        <v>9.054558044757556</v>
      </c>
      <c r="R68" s="241">
        <f t="shared" si="31"/>
        <v>7.427668579485093E-2</v>
      </c>
      <c r="S68" s="250">
        <f t="shared" si="19"/>
        <v>1.09188640871287E-3</v>
      </c>
      <c r="T68" s="250">
        <f t="shared" si="25"/>
        <v>4.7024664780213832E-2</v>
      </c>
      <c r="U68" s="250">
        <f t="shared" si="26"/>
        <v>0</v>
      </c>
      <c r="V68" s="250">
        <f t="shared" si="27"/>
        <v>0</v>
      </c>
      <c r="W68" s="1">
        <f t="shared" si="20"/>
        <v>8.9011999999999891E-4</v>
      </c>
      <c r="X68" s="1">
        <f t="shared" si="47"/>
        <v>180000.00000000003</v>
      </c>
      <c r="Y68" s="1">
        <f t="shared" si="22"/>
        <v>1.4889847577140323E-5</v>
      </c>
      <c r="Z68" s="240">
        <f t="shared" si="43"/>
        <v>1.4889847577140323E-5</v>
      </c>
      <c r="AA68" s="240">
        <f t="shared" si="11"/>
        <v>9.2478219244505216E-4</v>
      </c>
      <c r="AB68" s="1">
        <f t="shared" si="28"/>
        <v>0</v>
      </c>
      <c r="AC68" s="248">
        <f t="shared" si="23"/>
        <v>-3.3292158928021877E-2</v>
      </c>
      <c r="AD68" s="239"/>
      <c r="AE68" s="243"/>
      <c r="AG68" s="239"/>
      <c r="AH68" s="239"/>
      <c r="AI68" s="239"/>
      <c r="AM68" s="240"/>
    </row>
    <row r="69" spans="1:39">
      <c r="A69" s="241">
        <f t="shared" si="29"/>
        <v>48</v>
      </c>
      <c r="B69" s="241">
        <f t="shared" si="44"/>
        <v>1</v>
      </c>
      <c r="C69" s="241">
        <f t="shared" si="34"/>
        <v>6.8534653465346526E-2</v>
      </c>
      <c r="D69" s="241">
        <f t="shared" si="35"/>
        <v>2.9040990099009898</v>
      </c>
      <c r="E69" s="241">
        <f t="shared" si="45"/>
        <v>19.999999999999982</v>
      </c>
      <c r="F69" s="241">
        <f t="shared" si="46"/>
        <v>14.282856857085692</v>
      </c>
      <c r="G69" s="241">
        <f t="shared" si="32"/>
        <v>160.22159999999982</v>
      </c>
      <c r="H69" s="241">
        <f t="shared" si="36"/>
        <v>314.15999999999946</v>
      </c>
      <c r="I69" s="241">
        <f t="shared" si="37"/>
        <v>160.22159999999982</v>
      </c>
      <c r="J69" s="241">
        <f t="shared" si="38"/>
        <v>314.15999999999946</v>
      </c>
      <c r="K69" s="241">
        <f t="shared" si="33"/>
        <v>153.93839999999963</v>
      </c>
      <c r="L69" s="241">
        <f t="shared" si="16"/>
        <v>13.999999999999984</v>
      </c>
      <c r="M69" s="241">
        <f t="shared" si="39"/>
        <v>2.9999999999999991</v>
      </c>
      <c r="N69" s="241">
        <f t="shared" si="40"/>
        <v>62.831999999999944</v>
      </c>
      <c r="O69" s="241">
        <f t="shared" si="41"/>
        <v>4.3061693465346489E-2</v>
      </c>
      <c r="P69" s="241">
        <f t="shared" si="42"/>
        <v>2.1530846732673225E-3</v>
      </c>
      <c r="Q69" s="241">
        <f t="shared" si="30"/>
        <v>9.0976197382229032</v>
      </c>
      <c r="R69" s="241">
        <f t="shared" si="31"/>
        <v>7.6429770468118247E-2</v>
      </c>
      <c r="S69" s="250">
        <f t="shared" si="19"/>
        <v>1.0980731833663353E-3</v>
      </c>
      <c r="T69" s="250">
        <f t="shared" si="25"/>
        <v>4.8122737963580166E-2</v>
      </c>
      <c r="U69" s="250">
        <f t="shared" si="26"/>
        <v>0</v>
      </c>
      <c r="V69" s="250">
        <f t="shared" si="27"/>
        <v>0</v>
      </c>
      <c r="W69" s="1">
        <f t="shared" si="20"/>
        <v>8.9011999999999891E-4</v>
      </c>
      <c r="X69" s="1">
        <f t="shared" si="47"/>
        <v>180000.00000000003</v>
      </c>
      <c r="Y69" s="1">
        <f t="shared" si="22"/>
        <v>1.4974215448055398E-5</v>
      </c>
      <c r="Z69" s="240">
        <f t="shared" si="43"/>
        <v>1.4974215448055398E-5</v>
      </c>
      <c r="AA69" s="240">
        <f t="shared" si="11"/>
        <v>9.0989234486791182E-4</v>
      </c>
      <c r="AB69" s="1">
        <f t="shared" si="28"/>
        <v>0</v>
      </c>
      <c r="AC69" s="248">
        <f t="shared" si="23"/>
        <v>-3.2756124415244822E-2</v>
      </c>
      <c r="AD69" s="239"/>
      <c r="AE69" s="243"/>
      <c r="AG69" s="239"/>
      <c r="AH69" s="239"/>
      <c r="AI69" s="239"/>
      <c r="AM69" s="240"/>
    </row>
    <row r="70" spans="1:39">
      <c r="A70" s="241">
        <f t="shared" si="29"/>
        <v>49</v>
      </c>
      <c r="B70" s="241">
        <f t="shared" si="44"/>
        <v>1</v>
      </c>
      <c r="C70" s="241">
        <f t="shared" si="34"/>
        <v>6.8920792079207913E-2</v>
      </c>
      <c r="D70" s="241">
        <f t="shared" si="35"/>
        <v>2.9730198019801977</v>
      </c>
      <c r="E70" s="241">
        <f t="shared" si="45"/>
        <v>19.999999999999982</v>
      </c>
      <c r="F70" s="241">
        <f t="shared" si="46"/>
        <v>14.282856857085692</v>
      </c>
      <c r="G70" s="241">
        <f t="shared" si="32"/>
        <v>160.22159999999982</v>
      </c>
      <c r="H70" s="241">
        <f t="shared" si="36"/>
        <v>314.15999999999946</v>
      </c>
      <c r="I70" s="241">
        <f t="shared" si="37"/>
        <v>160.22159999999982</v>
      </c>
      <c r="J70" s="241">
        <f t="shared" si="38"/>
        <v>314.15999999999946</v>
      </c>
      <c r="K70" s="241">
        <f t="shared" si="33"/>
        <v>153.93839999999963</v>
      </c>
      <c r="L70" s="241">
        <f t="shared" si="16"/>
        <v>13.999999999999984</v>
      </c>
      <c r="M70" s="241">
        <f t="shared" si="39"/>
        <v>2.9999999999999991</v>
      </c>
      <c r="N70" s="241">
        <f t="shared" si="40"/>
        <v>62.831999999999944</v>
      </c>
      <c r="O70" s="241">
        <f t="shared" si="41"/>
        <v>4.3304312079207874E-2</v>
      </c>
      <c r="P70" s="241">
        <f t="shared" si="42"/>
        <v>2.1652156039603915E-3</v>
      </c>
      <c r="Q70" s="241">
        <f t="shared" si="30"/>
        <v>9.140924050302111</v>
      </c>
      <c r="R70" s="241">
        <f t="shared" si="31"/>
        <v>7.859498607207864E-2</v>
      </c>
      <c r="S70" s="250">
        <f t="shared" si="19"/>
        <v>1.1042599580198007E-3</v>
      </c>
      <c r="T70" s="250">
        <f t="shared" si="25"/>
        <v>4.9226997921599965E-2</v>
      </c>
      <c r="U70" s="250">
        <f t="shared" si="26"/>
        <v>0</v>
      </c>
      <c r="V70" s="250">
        <f t="shared" si="27"/>
        <v>0</v>
      </c>
      <c r="W70" s="1">
        <f t="shared" si="20"/>
        <v>8.9011999999999891E-4</v>
      </c>
      <c r="X70" s="1">
        <f t="shared" si="47"/>
        <v>180000.00000000003</v>
      </c>
      <c r="Y70" s="1">
        <f t="shared" si="22"/>
        <v>1.5058583318970477E-5</v>
      </c>
      <c r="Z70" s="240">
        <f t="shared" si="43"/>
        <v>1.5058583318970477E-5</v>
      </c>
      <c r="AA70" s="240">
        <f t="shared" si="11"/>
        <v>8.9491812941985642E-4</v>
      </c>
      <c r="AB70" s="1">
        <f t="shared" si="28"/>
        <v>0</v>
      </c>
      <c r="AC70" s="248">
        <f t="shared" si="23"/>
        <v>-3.2217052659114828E-2</v>
      </c>
      <c r="AD70" s="239"/>
      <c r="AE70" s="243"/>
      <c r="AG70" s="239"/>
      <c r="AH70" s="239"/>
      <c r="AI70" s="239"/>
      <c r="AM70" s="240"/>
    </row>
    <row r="71" spans="1:39">
      <c r="A71" s="241">
        <f t="shared" si="29"/>
        <v>50</v>
      </c>
      <c r="B71" s="241">
        <f t="shared" si="44"/>
        <v>1</v>
      </c>
      <c r="C71" s="241">
        <f t="shared" si="34"/>
        <v>6.9306930693069299E-2</v>
      </c>
      <c r="D71" s="241">
        <f t="shared" si="35"/>
        <v>3.042326732673267</v>
      </c>
      <c r="E71" s="241">
        <f t="shared" si="45"/>
        <v>19.999999999999982</v>
      </c>
      <c r="F71" s="241">
        <f t="shared" si="46"/>
        <v>14.282856857085692</v>
      </c>
      <c r="G71" s="241">
        <f t="shared" si="32"/>
        <v>160.22159999999982</v>
      </c>
      <c r="H71" s="241">
        <f t="shared" si="36"/>
        <v>314.15999999999946</v>
      </c>
      <c r="I71" s="241">
        <f t="shared" si="37"/>
        <v>160.22159999999982</v>
      </c>
      <c r="J71" s="241">
        <f t="shared" si="38"/>
        <v>314.15999999999946</v>
      </c>
      <c r="K71" s="241">
        <f t="shared" si="33"/>
        <v>153.93839999999963</v>
      </c>
      <c r="L71" s="241">
        <f t="shared" si="16"/>
        <v>13.999999999999984</v>
      </c>
      <c r="M71" s="241">
        <f t="shared" si="39"/>
        <v>2.9999999999999991</v>
      </c>
      <c r="N71" s="241">
        <f t="shared" si="40"/>
        <v>62.831999999999944</v>
      </c>
      <c r="O71" s="241">
        <f t="shared" si="41"/>
        <v>4.3546930693069266E-2</v>
      </c>
      <c r="P71" s="241">
        <f t="shared" si="42"/>
        <v>2.177346534653461E-3</v>
      </c>
      <c r="Q71" s="241">
        <f t="shared" si="30"/>
        <v>9.1844709809951794</v>
      </c>
      <c r="R71" s="241">
        <f t="shared" si="31"/>
        <v>8.0772332606732097E-2</v>
      </c>
      <c r="S71" s="250">
        <f t="shared" si="19"/>
        <v>1.110446732673266E-3</v>
      </c>
      <c r="T71" s="250">
        <f t="shared" si="25"/>
        <v>5.0337444654273228E-2</v>
      </c>
      <c r="U71" s="250">
        <f t="shared" si="26"/>
        <v>0</v>
      </c>
      <c r="V71" s="250">
        <f t="shared" si="27"/>
        <v>0</v>
      </c>
      <c r="W71" s="1">
        <f t="shared" si="20"/>
        <v>8.9011999999999891E-4</v>
      </c>
      <c r="X71" s="1">
        <f t="shared" si="47"/>
        <v>180000.00000000003</v>
      </c>
      <c r="Y71" s="1">
        <f t="shared" si="22"/>
        <v>1.5142951189885554E-5</v>
      </c>
      <c r="Z71" s="240">
        <f t="shared" si="43"/>
        <v>1.5142951189885554E-5</v>
      </c>
      <c r="AA71" s="240">
        <f t="shared" si="11"/>
        <v>8.7985954610088595E-4</v>
      </c>
      <c r="AB71" s="1">
        <f t="shared" si="28"/>
        <v>0</v>
      </c>
      <c r="AC71" s="248">
        <f t="shared" si="23"/>
        <v>-3.1674943659631895E-2</v>
      </c>
      <c r="AD71" s="239"/>
      <c r="AE71" s="243"/>
      <c r="AG71" s="239"/>
      <c r="AH71" s="239"/>
      <c r="AI71" s="239"/>
      <c r="AM71" s="240"/>
    </row>
    <row r="72" spans="1:39">
      <c r="A72" s="241">
        <f t="shared" si="29"/>
        <v>51</v>
      </c>
      <c r="B72" s="241">
        <f t="shared" si="44"/>
        <v>1</v>
      </c>
      <c r="C72" s="241">
        <f t="shared" si="34"/>
        <v>6.9693069306930686E-2</v>
      </c>
      <c r="D72" s="241">
        <f t="shared" si="35"/>
        <v>3.1120198019801979</v>
      </c>
      <c r="E72" s="241">
        <f t="shared" si="45"/>
        <v>19.999999999999982</v>
      </c>
      <c r="F72" s="241">
        <f t="shared" si="46"/>
        <v>14.282856857085692</v>
      </c>
      <c r="G72" s="241">
        <f t="shared" si="32"/>
        <v>160.22159999999982</v>
      </c>
      <c r="H72" s="241">
        <f t="shared" si="36"/>
        <v>314.15999999999946</v>
      </c>
      <c r="I72" s="241">
        <f t="shared" si="37"/>
        <v>160.22159999999982</v>
      </c>
      <c r="J72" s="241">
        <f t="shared" si="38"/>
        <v>314.15999999999946</v>
      </c>
      <c r="K72" s="241">
        <f t="shared" si="33"/>
        <v>153.93839999999963</v>
      </c>
      <c r="L72" s="241">
        <f t="shared" si="16"/>
        <v>13.999999999999984</v>
      </c>
      <c r="M72" s="241">
        <f t="shared" si="39"/>
        <v>2.9999999999999991</v>
      </c>
      <c r="N72" s="241">
        <f t="shared" si="40"/>
        <v>62.831999999999944</v>
      </c>
      <c r="O72" s="241">
        <f t="shared" si="41"/>
        <v>4.3789549306930652E-2</v>
      </c>
      <c r="P72" s="241">
        <f t="shared" si="42"/>
        <v>2.1894774653465304E-3</v>
      </c>
      <c r="Q72" s="241">
        <f t="shared" si="30"/>
        <v>9.2282605303021104</v>
      </c>
      <c r="R72" s="241">
        <f t="shared" si="31"/>
        <v>8.2961810072078632E-2</v>
      </c>
      <c r="S72" s="250">
        <f t="shared" si="19"/>
        <v>1.1166335073267313E-3</v>
      </c>
      <c r="T72" s="250">
        <f t="shared" si="25"/>
        <v>5.1454078161599956E-2</v>
      </c>
      <c r="U72" s="250">
        <f t="shared" si="26"/>
        <v>0</v>
      </c>
      <c r="V72" s="250">
        <f t="shared" si="27"/>
        <v>0</v>
      </c>
      <c r="W72" s="1">
        <f t="shared" si="20"/>
        <v>8.9011999999999891E-4</v>
      </c>
      <c r="X72" s="1">
        <f t="shared" si="47"/>
        <v>180000.00000000003</v>
      </c>
      <c r="Y72" s="1">
        <f t="shared" si="22"/>
        <v>1.5227319060800631E-5</v>
      </c>
      <c r="Z72" s="240">
        <f t="shared" si="43"/>
        <v>1.5227319060800631E-5</v>
      </c>
      <c r="AA72" s="240">
        <f t="shared" si="11"/>
        <v>8.6471659491100042E-4</v>
      </c>
      <c r="AB72" s="1">
        <f t="shared" si="28"/>
        <v>0</v>
      </c>
      <c r="AC72" s="248">
        <f t="shared" si="23"/>
        <v>-3.1129797416796015E-2</v>
      </c>
      <c r="AD72" s="239"/>
      <c r="AE72" s="243"/>
      <c r="AG72" s="239"/>
      <c r="AH72" s="239"/>
      <c r="AI72" s="239"/>
      <c r="AM72" s="240"/>
    </row>
    <row r="73" spans="1:39">
      <c r="A73" s="241">
        <f t="shared" si="29"/>
        <v>52</v>
      </c>
      <c r="B73" s="241">
        <f t="shared" si="44"/>
        <v>1</v>
      </c>
      <c r="C73" s="241">
        <f t="shared" si="34"/>
        <v>7.0079207920792072E-2</v>
      </c>
      <c r="D73" s="241">
        <f t="shared" si="35"/>
        <v>3.1820990099009898</v>
      </c>
      <c r="E73" s="241">
        <f t="shared" si="45"/>
        <v>19.999999999999982</v>
      </c>
      <c r="F73" s="241">
        <f t="shared" si="46"/>
        <v>14.282856857085692</v>
      </c>
      <c r="G73" s="241">
        <f t="shared" si="32"/>
        <v>160.22159999999982</v>
      </c>
      <c r="H73" s="241">
        <f t="shared" si="36"/>
        <v>314.15999999999946</v>
      </c>
      <c r="I73" s="241">
        <f t="shared" si="37"/>
        <v>160.22159999999982</v>
      </c>
      <c r="J73" s="241">
        <f t="shared" si="38"/>
        <v>314.15999999999946</v>
      </c>
      <c r="K73" s="241">
        <f t="shared" si="33"/>
        <v>153.93839999999963</v>
      </c>
      <c r="L73" s="241">
        <f t="shared" si="16"/>
        <v>13.999999999999984</v>
      </c>
      <c r="M73" s="241">
        <f t="shared" si="39"/>
        <v>2.9999999999999991</v>
      </c>
      <c r="N73" s="241">
        <f t="shared" si="40"/>
        <v>62.831999999999944</v>
      </c>
      <c r="O73" s="241">
        <f t="shared" si="41"/>
        <v>4.4032167920792037E-2</v>
      </c>
      <c r="P73" s="241">
        <f t="shared" si="42"/>
        <v>2.2016083960395998E-3</v>
      </c>
      <c r="Q73" s="241">
        <f t="shared" si="30"/>
        <v>9.2722926982229019</v>
      </c>
      <c r="R73" s="241">
        <f t="shared" si="31"/>
        <v>8.5163418468118229E-2</v>
      </c>
      <c r="S73" s="250">
        <f t="shared" si="19"/>
        <v>1.1228202819801966E-3</v>
      </c>
      <c r="T73" s="250">
        <f t="shared" si="25"/>
        <v>5.2576898443580156E-2</v>
      </c>
      <c r="U73" s="250">
        <f t="shared" si="26"/>
        <v>0</v>
      </c>
      <c r="V73" s="250">
        <f t="shared" si="27"/>
        <v>0</v>
      </c>
      <c r="W73" s="1">
        <f t="shared" si="20"/>
        <v>8.9011999999999891E-4</v>
      </c>
      <c r="X73" s="1">
        <f t="shared" si="47"/>
        <v>180000.00000000003</v>
      </c>
      <c r="Y73" s="1">
        <f t="shared" si="22"/>
        <v>1.5311686931715706E-5</v>
      </c>
      <c r="Z73" s="240">
        <f t="shared" si="43"/>
        <v>1.5311686931715706E-5</v>
      </c>
      <c r="AA73" s="240">
        <f t="shared" si="11"/>
        <v>8.4948927585019982E-4</v>
      </c>
      <c r="AB73" s="1">
        <f t="shared" si="28"/>
        <v>0</v>
      </c>
      <c r="AC73" s="248">
        <f t="shared" si="23"/>
        <v>-3.0581613930607193E-2</v>
      </c>
      <c r="AD73" s="239"/>
      <c r="AE73" s="243"/>
      <c r="AG73" s="239"/>
      <c r="AH73" s="239"/>
      <c r="AI73" s="239"/>
      <c r="AM73" s="240"/>
    </row>
    <row r="74" spans="1:39">
      <c r="A74" s="241">
        <f t="shared" si="29"/>
        <v>53</v>
      </c>
      <c r="B74" s="241">
        <f t="shared" si="44"/>
        <v>1</v>
      </c>
      <c r="C74" s="241">
        <f t="shared" si="34"/>
        <v>7.0465346534653459E-2</v>
      </c>
      <c r="D74" s="241">
        <f t="shared" si="35"/>
        <v>3.2525643564356432</v>
      </c>
      <c r="E74" s="241">
        <f t="shared" si="45"/>
        <v>19.999999999999982</v>
      </c>
      <c r="F74" s="241">
        <f t="shared" si="46"/>
        <v>14.282856857085692</v>
      </c>
      <c r="G74" s="241">
        <f t="shared" si="32"/>
        <v>160.22159999999982</v>
      </c>
      <c r="H74" s="241">
        <f t="shared" si="36"/>
        <v>314.15999999999946</v>
      </c>
      <c r="I74" s="241">
        <f t="shared" si="37"/>
        <v>160.22159999999982</v>
      </c>
      <c r="J74" s="241">
        <f t="shared" si="38"/>
        <v>314.15999999999946</v>
      </c>
      <c r="K74" s="241">
        <f t="shared" si="33"/>
        <v>153.93839999999963</v>
      </c>
      <c r="L74" s="241">
        <f t="shared" si="16"/>
        <v>13.999999999999984</v>
      </c>
      <c r="M74" s="241">
        <f t="shared" si="39"/>
        <v>2.9999999999999991</v>
      </c>
      <c r="N74" s="241">
        <f t="shared" si="40"/>
        <v>62.831999999999944</v>
      </c>
      <c r="O74" s="241">
        <f t="shared" si="41"/>
        <v>4.4274786534653422E-2</v>
      </c>
      <c r="P74" s="241">
        <f t="shared" si="42"/>
        <v>2.2137393267326689E-3</v>
      </c>
      <c r="Q74" s="241">
        <f t="shared" si="30"/>
        <v>9.3165674847575559</v>
      </c>
      <c r="R74" s="241">
        <f t="shared" si="31"/>
        <v>8.7377157794850904E-2</v>
      </c>
      <c r="S74" s="250">
        <f t="shared" si="19"/>
        <v>1.129007056633662E-3</v>
      </c>
      <c r="T74" s="250">
        <f t="shared" si="25"/>
        <v>5.370590550021382E-2</v>
      </c>
      <c r="U74" s="250">
        <f t="shared" si="26"/>
        <v>0</v>
      </c>
      <c r="V74" s="250">
        <f t="shared" si="27"/>
        <v>0</v>
      </c>
      <c r="W74" s="1">
        <f t="shared" si="20"/>
        <v>8.9011999999999891E-4</v>
      </c>
      <c r="X74" s="1">
        <f t="shared" si="47"/>
        <v>180000.00000000003</v>
      </c>
      <c r="Y74" s="1">
        <f t="shared" si="22"/>
        <v>1.5396054802630783E-5</v>
      </c>
      <c r="Z74" s="240">
        <f t="shared" si="43"/>
        <v>1.5396054802630783E-5</v>
      </c>
      <c r="AA74" s="240">
        <f t="shared" si="11"/>
        <v>8.3417758891848415E-4</v>
      </c>
      <c r="AB74" s="1">
        <f t="shared" si="28"/>
        <v>0</v>
      </c>
      <c r="AC74" s="248">
        <f t="shared" si="23"/>
        <v>-3.0030393201065431E-2</v>
      </c>
      <c r="AD74" s="239"/>
      <c r="AE74" s="243"/>
      <c r="AG74" s="239"/>
      <c r="AH74" s="239"/>
      <c r="AI74" s="239"/>
      <c r="AM74" s="240"/>
    </row>
    <row r="75" spans="1:39">
      <c r="A75" s="241">
        <f t="shared" si="29"/>
        <v>54</v>
      </c>
      <c r="B75" s="241">
        <f t="shared" si="44"/>
        <v>1</v>
      </c>
      <c r="C75" s="241">
        <f t="shared" si="34"/>
        <v>7.0851485148514845E-2</v>
      </c>
      <c r="D75" s="241">
        <f t="shared" si="35"/>
        <v>3.3234158415841581</v>
      </c>
      <c r="E75" s="241">
        <f t="shared" si="45"/>
        <v>19.999999999999982</v>
      </c>
      <c r="F75" s="241">
        <f t="shared" si="46"/>
        <v>14.282856857085692</v>
      </c>
      <c r="G75" s="241">
        <f t="shared" si="32"/>
        <v>160.22159999999982</v>
      </c>
      <c r="H75" s="241">
        <f t="shared" si="36"/>
        <v>314.15999999999946</v>
      </c>
      <c r="I75" s="241">
        <f t="shared" si="37"/>
        <v>160.22159999999982</v>
      </c>
      <c r="J75" s="241">
        <f t="shared" si="38"/>
        <v>314.15999999999946</v>
      </c>
      <c r="K75" s="241">
        <f t="shared" si="33"/>
        <v>153.93839999999963</v>
      </c>
      <c r="L75" s="241">
        <f t="shared" si="16"/>
        <v>13.999999999999984</v>
      </c>
      <c r="M75" s="241">
        <f t="shared" si="39"/>
        <v>2.9999999999999991</v>
      </c>
      <c r="N75" s="241">
        <f t="shared" si="40"/>
        <v>62.831999999999944</v>
      </c>
      <c r="O75" s="241">
        <f t="shared" si="41"/>
        <v>4.4517405148514808E-2</v>
      </c>
      <c r="P75" s="241">
        <f t="shared" si="42"/>
        <v>2.2258702574257383E-3</v>
      </c>
      <c r="Q75" s="241">
        <f t="shared" si="30"/>
        <v>9.3610848899060706</v>
      </c>
      <c r="R75" s="241">
        <f t="shared" si="31"/>
        <v>8.9603028052276643E-2</v>
      </c>
      <c r="S75" s="250">
        <f t="shared" si="19"/>
        <v>1.1351938312871275E-3</v>
      </c>
      <c r="T75" s="250">
        <f t="shared" si="25"/>
        <v>5.4841099331500949E-2</v>
      </c>
      <c r="U75" s="250">
        <f t="shared" si="26"/>
        <v>0</v>
      </c>
      <c r="V75" s="250">
        <f t="shared" si="27"/>
        <v>0</v>
      </c>
      <c r="W75" s="1">
        <f t="shared" si="20"/>
        <v>8.9011999999999891E-4</v>
      </c>
      <c r="X75" s="1">
        <f t="shared" si="47"/>
        <v>180000.00000000003</v>
      </c>
      <c r="Y75" s="1">
        <f t="shared" si="22"/>
        <v>1.548042267354586E-5</v>
      </c>
      <c r="Z75" s="240">
        <f t="shared" si="43"/>
        <v>1.548042267354586E-5</v>
      </c>
      <c r="AA75" s="240">
        <f t="shared" si="11"/>
        <v>8.1878153411585341E-4</v>
      </c>
      <c r="AB75" s="1">
        <f t="shared" si="28"/>
        <v>0</v>
      </c>
      <c r="AC75" s="248">
        <f t="shared" si="23"/>
        <v>-2.9476135228170722E-2</v>
      </c>
      <c r="AD75" s="239"/>
      <c r="AE75" s="243"/>
      <c r="AG75" s="239"/>
      <c r="AH75" s="239"/>
      <c r="AI75" s="239"/>
      <c r="AM75" s="240"/>
    </row>
    <row r="76" spans="1:39">
      <c r="A76" s="241">
        <f t="shared" si="29"/>
        <v>55</v>
      </c>
      <c r="B76" s="241">
        <f t="shared" si="44"/>
        <v>1</v>
      </c>
      <c r="C76" s="241">
        <f t="shared" si="34"/>
        <v>7.1237623762376232E-2</v>
      </c>
      <c r="D76" s="241">
        <f t="shared" si="35"/>
        <v>3.3946534653465346</v>
      </c>
      <c r="E76" s="241">
        <f t="shared" si="45"/>
        <v>19.999999999999982</v>
      </c>
      <c r="F76" s="241">
        <f t="shared" si="46"/>
        <v>14.282856857085692</v>
      </c>
      <c r="G76" s="241">
        <f t="shared" si="32"/>
        <v>160.22159999999982</v>
      </c>
      <c r="H76" s="241">
        <f t="shared" si="36"/>
        <v>314.15999999999946</v>
      </c>
      <c r="I76" s="241">
        <f t="shared" si="37"/>
        <v>160.22159999999982</v>
      </c>
      <c r="J76" s="241">
        <f t="shared" si="38"/>
        <v>314.15999999999946</v>
      </c>
      <c r="K76" s="241">
        <f t="shared" si="33"/>
        <v>153.93839999999963</v>
      </c>
      <c r="L76" s="241">
        <f t="shared" si="16"/>
        <v>13.999999999999984</v>
      </c>
      <c r="M76" s="241">
        <f t="shared" si="39"/>
        <v>2.9999999999999991</v>
      </c>
      <c r="N76" s="241">
        <f t="shared" si="40"/>
        <v>62.831999999999944</v>
      </c>
      <c r="O76" s="241">
        <f t="shared" si="41"/>
        <v>4.4760023762376193E-2</v>
      </c>
      <c r="P76" s="241">
        <f t="shared" si="42"/>
        <v>2.2380011881188077E-3</v>
      </c>
      <c r="Q76" s="241">
        <f t="shared" si="30"/>
        <v>9.4058449136684459</v>
      </c>
      <c r="R76" s="241">
        <f t="shared" si="31"/>
        <v>9.1841029240395444E-2</v>
      </c>
      <c r="S76" s="250">
        <f t="shared" si="19"/>
        <v>1.1413806059405928E-3</v>
      </c>
      <c r="T76" s="250">
        <f t="shared" si="25"/>
        <v>5.5982479937441543E-2</v>
      </c>
      <c r="U76" s="250">
        <f t="shared" si="26"/>
        <v>0</v>
      </c>
      <c r="V76" s="250">
        <f t="shared" si="27"/>
        <v>0</v>
      </c>
      <c r="W76" s="1">
        <f t="shared" si="20"/>
        <v>8.9011999999999891E-4</v>
      </c>
      <c r="X76" s="1">
        <f t="shared" si="47"/>
        <v>180000.00000000003</v>
      </c>
      <c r="Y76" s="1">
        <f t="shared" si="22"/>
        <v>1.5564790544460937E-5</v>
      </c>
      <c r="Z76" s="240">
        <f t="shared" si="43"/>
        <v>1.5564790544460937E-5</v>
      </c>
      <c r="AA76" s="240">
        <f t="shared" si="11"/>
        <v>8.033011114423075E-4</v>
      </c>
      <c r="AB76" s="1">
        <f t="shared" si="28"/>
        <v>0</v>
      </c>
      <c r="AC76" s="248">
        <f t="shared" si="23"/>
        <v>-2.8918840011923071E-2</v>
      </c>
      <c r="AD76" s="239"/>
      <c r="AE76" s="243"/>
      <c r="AG76" s="239"/>
      <c r="AH76" s="239"/>
      <c r="AI76" s="239"/>
      <c r="AM76" s="240"/>
    </row>
    <row r="77" spans="1:39">
      <c r="A77" s="241">
        <f t="shared" si="29"/>
        <v>56</v>
      </c>
      <c r="B77" s="241">
        <f t="shared" si="44"/>
        <v>1</v>
      </c>
      <c r="C77" s="241">
        <f t="shared" si="34"/>
        <v>7.1623762376237618E-2</v>
      </c>
      <c r="D77" s="241">
        <f t="shared" si="35"/>
        <v>3.466277227722772</v>
      </c>
      <c r="E77" s="241">
        <f t="shared" si="45"/>
        <v>19.999999999999982</v>
      </c>
      <c r="F77" s="241">
        <f t="shared" si="46"/>
        <v>14.282856857085692</v>
      </c>
      <c r="G77" s="241">
        <f t="shared" si="32"/>
        <v>160.22159999999982</v>
      </c>
      <c r="H77" s="241">
        <f t="shared" si="36"/>
        <v>314.15999999999946</v>
      </c>
      <c r="I77" s="241">
        <f t="shared" si="37"/>
        <v>160.22159999999982</v>
      </c>
      <c r="J77" s="241">
        <f t="shared" si="38"/>
        <v>314.15999999999946</v>
      </c>
      <c r="K77" s="241">
        <f t="shared" si="33"/>
        <v>153.93839999999963</v>
      </c>
      <c r="L77" s="241">
        <f t="shared" si="16"/>
        <v>13.999999999999984</v>
      </c>
      <c r="M77" s="241">
        <f t="shared" si="39"/>
        <v>2.9999999999999991</v>
      </c>
      <c r="N77" s="241">
        <f t="shared" si="40"/>
        <v>62.831999999999944</v>
      </c>
      <c r="O77" s="241">
        <f t="shared" si="41"/>
        <v>4.5002642376237578E-2</v>
      </c>
      <c r="P77" s="241">
        <f t="shared" si="42"/>
        <v>2.2501321188118772E-3</v>
      </c>
      <c r="Q77" s="241">
        <f t="shared" si="30"/>
        <v>9.4508475560446836</v>
      </c>
      <c r="R77" s="241">
        <f t="shared" si="31"/>
        <v>9.4091161359207323E-2</v>
      </c>
      <c r="S77" s="250">
        <f t="shared" si="19"/>
        <v>1.1475673805940582E-3</v>
      </c>
      <c r="T77" s="250">
        <f t="shared" si="25"/>
        <v>5.7130047318035601E-2</v>
      </c>
      <c r="U77" s="250">
        <f t="shared" si="26"/>
        <v>0</v>
      </c>
      <c r="V77" s="250">
        <f t="shared" si="27"/>
        <v>0</v>
      </c>
      <c r="W77" s="1">
        <f t="shared" si="20"/>
        <v>8.9011999999999891E-4</v>
      </c>
      <c r="X77" s="1">
        <f t="shared" si="47"/>
        <v>180000.00000000003</v>
      </c>
      <c r="Y77" s="1">
        <f t="shared" si="22"/>
        <v>1.5649158415376014E-5</v>
      </c>
      <c r="Z77" s="240">
        <f t="shared" si="43"/>
        <v>1.5649158415376014E-5</v>
      </c>
      <c r="AA77" s="240">
        <f t="shared" si="11"/>
        <v>7.8773632089784652E-4</v>
      </c>
      <c r="AB77" s="1">
        <f t="shared" si="28"/>
        <v>0</v>
      </c>
      <c r="AC77" s="248">
        <f t="shared" si="23"/>
        <v>-2.8358507552322474E-2</v>
      </c>
      <c r="AD77" s="239"/>
      <c r="AE77" s="243"/>
      <c r="AG77" s="239"/>
      <c r="AH77" s="239"/>
      <c r="AI77" s="239"/>
      <c r="AM77" s="240"/>
    </row>
    <row r="78" spans="1:39">
      <c r="A78" s="241">
        <f t="shared" si="29"/>
        <v>57</v>
      </c>
      <c r="B78" s="241">
        <f t="shared" si="44"/>
        <v>1</v>
      </c>
      <c r="C78" s="241">
        <f t="shared" si="34"/>
        <v>7.2009900990099004E-2</v>
      </c>
      <c r="D78" s="241">
        <f t="shared" si="35"/>
        <v>3.538287128712871</v>
      </c>
      <c r="E78" s="241">
        <f t="shared" si="45"/>
        <v>19.999999999999982</v>
      </c>
      <c r="F78" s="241">
        <f t="shared" si="46"/>
        <v>14.282856857085692</v>
      </c>
      <c r="G78" s="241">
        <f t="shared" si="32"/>
        <v>160.22159999999982</v>
      </c>
      <c r="H78" s="241">
        <f t="shared" si="36"/>
        <v>314.15999999999946</v>
      </c>
      <c r="I78" s="241">
        <f t="shared" si="37"/>
        <v>160.22159999999982</v>
      </c>
      <c r="J78" s="241">
        <f t="shared" si="38"/>
        <v>314.15999999999946</v>
      </c>
      <c r="K78" s="241">
        <f t="shared" si="33"/>
        <v>153.93839999999963</v>
      </c>
      <c r="L78" s="241">
        <f t="shared" si="16"/>
        <v>13.999999999999984</v>
      </c>
      <c r="M78" s="241">
        <f t="shared" si="39"/>
        <v>2.9999999999999991</v>
      </c>
      <c r="N78" s="241">
        <f t="shared" si="40"/>
        <v>62.831999999999944</v>
      </c>
      <c r="O78" s="241">
        <f t="shared" si="41"/>
        <v>4.5245260990098971E-2</v>
      </c>
      <c r="P78" s="241">
        <f t="shared" si="42"/>
        <v>2.2622630495049462E-3</v>
      </c>
      <c r="Q78" s="241">
        <f t="shared" si="30"/>
        <v>9.496092817034782</v>
      </c>
      <c r="R78" s="241">
        <f t="shared" si="31"/>
        <v>9.6353424408712265E-2</v>
      </c>
      <c r="S78" s="250">
        <f t="shared" si="19"/>
        <v>1.1537541552475235E-3</v>
      </c>
      <c r="T78" s="250">
        <f t="shared" si="25"/>
        <v>5.8283801473283124E-2</v>
      </c>
      <c r="U78" s="250">
        <f t="shared" si="26"/>
        <v>0</v>
      </c>
      <c r="V78" s="250">
        <f t="shared" si="27"/>
        <v>0</v>
      </c>
      <c r="W78" s="1">
        <f t="shared" si="20"/>
        <v>8.9011999999999891E-4</v>
      </c>
      <c r="X78" s="1">
        <f t="shared" si="47"/>
        <v>180000.00000000003</v>
      </c>
      <c r="Y78" s="1">
        <f t="shared" si="22"/>
        <v>1.5733526286291091E-5</v>
      </c>
      <c r="Z78" s="240">
        <f t="shared" si="43"/>
        <v>1.5733526286291091E-5</v>
      </c>
      <c r="AA78" s="240">
        <f t="shared" si="11"/>
        <v>7.7208716248247048E-4</v>
      </c>
      <c r="AB78" s="1">
        <f t="shared" si="28"/>
        <v>0</v>
      </c>
      <c r="AC78" s="248">
        <f t="shared" si="23"/>
        <v>-2.7795137849368937E-2</v>
      </c>
      <c r="AD78" s="239"/>
      <c r="AE78" s="243"/>
      <c r="AG78" s="239"/>
      <c r="AH78" s="239"/>
      <c r="AI78" s="239"/>
      <c r="AM78" s="240"/>
    </row>
    <row r="79" spans="1:39">
      <c r="A79" s="241">
        <f t="shared" si="29"/>
        <v>58</v>
      </c>
      <c r="B79" s="241">
        <f t="shared" si="44"/>
        <v>1</v>
      </c>
      <c r="C79" s="241">
        <f t="shared" si="34"/>
        <v>7.2396039603960391E-2</v>
      </c>
      <c r="D79" s="241">
        <f t="shared" si="35"/>
        <v>3.6106831683168314</v>
      </c>
      <c r="E79" s="241">
        <f t="shared" si="45"/>
        <v>19.999999999999982</v>
      </c>
      <c r="F79" s="241">
        <f t="shared" si="46"/>
        <v>14.282856857085692</v>
      </c>
      <c r="G79" s="241">
        <f t="shared" si="32"/>
        <v>160.22159999999982</v>
      </c>
      <c r="H79" s="241">
        <f t="shared" si="36"/>
        <v>314.15999999999946</v>
      </c>
      <c r="I79" s="241">
        <f t="shared" si="37"/>
        <v>160.22159999999982</v>
      </c>
      <c r="J79" s="241">
        <f t="shared" si="38"/>
        <v>314.15999999999946</v>
      </c>
      <c r="K79" s="241">
        <f t="shared" si="33"/>
        <v>153.93839999999963</v>
      </c>
      <c r="L79" s="241">
        <f t="shared" si="16"/>
        <v>13.999999999999984</v>
      </c>
      <c r="M79" s="241">
        <f t="shared" si="39"/>
        <v>2.9999999999999991</v>
      </c>
      <c r="N79" s="241">
        <f t="shared" si="40"/>
        <v>62.831999999999944</v>
      </c>
      <c r="O79" s="241">
        <f t="shared" si="41"/>
        <v>4.5487879603960349E-2</v>
      </c>
      <c r="P79" s="241">
        <f t="shared" si="42"/>
        <v>2.2743939801980156E-3</v>
      </c>
      <c r="Q79" s="241">
        <f t="shared" si="30"/>
        <v>9.5415806966387429</v>
      </c>
      <c r="R79" s="241">
        <f t="shared" si="31"/>
        <v>9.8627818388910285E-2</v>
      </c>
      <c r="S79" s="250">
        <f t="shared" si="19"/>
        <v>1.1599409299009888E-3</v>
      </c>
      <c r="T79" s="250">
        <f t="shared" si="25"/>
        <v>5.9443742403184112E-2</v>
      </c>
      <c r="U79" s="250">
        <f t="shared" si="26"/>
        <v>0</v>
      </c>
      <c r="V79" s="250">
        <f t="shared" si="27"/>
        <v>0</v>
      </c>
      <c r="W79" s="1">
        <f t="shared" si="20"/>
        <v>8.9011999999999891E-4</v>
      </c>
      <c r="X79" s="1">
        <f t="shared" si="47"/>
        <v>180000.00000000003</v>
      </c>
      <c r="Y79" s="1">
        <f t="shared" si="22"/>
        <v>1.5817894157206167E-5</v>
      </c>
      <c r="Z79" s="240">
        <f t="shared" si="43"/>
        <v>1.5817894157206167E-5</v>
      </c>
      <c r="AA79" s="240">
        <f t="shared" si="11"/>
        <v>7.5635363619617937E-4</v>
      </c>
      <c r="AB79" s="1">
        <f t="shared" si="28"/>
        <v>0</v>
      </c>
      <c r="AC79" s="248">
        <f t="shared" si="23"/>
        <v>-2.7228730903062458E-2</v>
      </c>
      <c r="AD79" s="239"/>
      <c r="AE79" s="243"/>
      <c r="AG79" s="239"/>
      <c r="AH79" s="239"/>
      <c r="AI79" s="239"/>
      <c r="AM79" s="240"/>
    </row>
    <row r="80" spans="1:39">
      <c r="A80" s="241">
        <f t="shared" si="29"/>
        <v>59</v>
      </c>
      <c r="B80" s="241">
        <f t="shared" si="44"/>
        <v>1</v>
      </c>
      <c r="C80" s="241">
        <f t="shared" si="34"/>
        <v>7.2782178217821777E-2</v>
      </c>
      <c r="D80" s="241">
        <f t="shared" si="35"/>
        <v>3.6834653465346534</v>
      </c>
      <c r="E80" s="241">
        <f t="shared" si="45"/>
        <v>19.999999999999982</v>
      </c>
      <c r="F80" s="241">
        <f t="shared" si="46"/>
        <v>14.282856857085692</v>
      </c>
      <c r="G80" s="241">
        <f t="shared" si="32"/>
        <v>160.22159999999982</v>
      </c>
      <c r="H80" s="241">
        <f t="shared" si="36"/>
        <v>314.15999999999946</v>
      </c>
      <c r="I80" s="241">
        <f t="shared" si="37"/>
        <v>160.22159999999982</v>
      </c>
      <c r="J80" s="241">
        <f t="shared" si="38"/>
        <v>314.15999999999946</v>
      </c>
      <c r="K80" s="241">
        <f t="shared" si="33"/>
        <v>153.93839999999963</v>
      </c>
      <c r="L80" s="241">
        <f t="shared" si="16"/>
        <v>13.999999999999984</v>
      </c>
      <c r="M80" s="241">
        <f t="shared" si="39"/>
        <v>2.9999999999999991</v>
      </c>
      <c r="N80" s="241">
        <f t="shared" si="40"/>
        <v>62.831999999999944</v>
      </c>
      <c r="O80" s="241">
        <f t="shared" si="41"/>
        <v>4.5730498217821741E-2</v>
      </c>
      <c r="P80" s="241">
        <f t="shared" si="42"/>
        <v>2.2865249108910846E-3</v>
      </c>
      <c r="Q80" s="241">
        <f t="shared" si="30"/>
        <v>9.5873111948565644</v>
      </c>
      <c r="R80" s="241">
        <f t="shared" si="31"/>
        <v>0.10091434329980137</v>
      </c>
      <c r="S80" s="250">
        <f t="shared" si="19"/>
        <v>1.1661277045544542E-3</v>
      </c>
      <c r="T80" s="250">
        <f t="shared" si="25"/>
        <v>6.0609870107738564E-2</v>
      </c>
      <c r="U80" s="250">
        <f t="shared" si="26"/>
        <v>0</v>
      </c>
      <c r="V80" s="250">
        <f t="shared" si="27"/>
        <v>0</v>
      </c>
      <c r="W80" s="1">
        <f t="shared" si="20"/>
        <v>8.9011999999999891E-4</v>
      </c>
      <c r="X80" s="1">
        <f t="shared" si="47"/>
        <v>180000.00000000003</v>
      </c>
      <c r="Y80" s="1">
        <f t="shared" si="22"/>
        <v>1.5902262028121244E-5</v>
      </c>
      <c r="Z80" s="240">
        <f t="shared" si="43"/>
        <v>1.5902262028121244E-5</v>
      </c>
      <c r="AA80" s="240">
        <f t="shared" si="11"/>
        <v>7.4053574203897319E-4</v>
      </c>
      <c r="AB80" s="1">
        <f t="shared" si="28"/>
        <v>0</v>
      </c>
      <c r="AC80" s="248">
        <f t="shared" si="23"/>
        <v>-2.6659286713403035E-2</v>
      </c>
      <c r="AD80" s="239"/>
      <c r="AE80" s="243"/>
      <c r="AG80" s="239"/>
      <c r="AH80" s="239"/>
      <c r="AI80" s="239"/>
      <c r="AM80" s="240"/>
    </row>
    <row r="81" spans="1:39">
      <c r="A81" s="241">
        <f t="shared" si="29"/>
        <v>60</v>
      </c>
      <c r="B81" s="241">
        <f t="shared" si="44"/>
        <v>1</v>
      </c>
      <c r="C81" s="241">
        <f t="shared" si="34"/>
        <v>7.3168316831683164E-2</v>
      </c>
      <c r="D81" s="241">
        <f t="shared" si="35"/>
        <v>3.7566336633663364</v>
      </c>
      <c r="E81" s="241">
        <f t="shared" si="45"/>
        <v>19.999999999999982</v>
      </c>
      <c r="F81" s="241">
        <f t="shared" si="46"/>
        <v>14.282856857085692</v>
      </c>
      <c r="G81" s="241">
        <f t="shared" si="32"/>
        <v>160.22159999999982</v>
      </c>
      <c r="H81" s="241">
        <f t="shared" si="36"/>
        <v>314.15999999999946</v>
      </c>
      <c r="I81" s="241">
        <f t="shared" si="37"/>
        <v>160.22159999999982</v>
      </c>
      <c r="J81" s="241">
        <f t="shared" si="38"/>
        <v>314.15999999999946</v>
      </c>
      <c r="K81" s="241">
        <f t="shared" si="33"/>
        <v>153.93839999999963</v>
      </c>
      <c r="L81" s="241">
        <f t="shared" si="16"/>
        <v>13.999999999999984</v>
      </c>
      <c r="M81" s="241">
        <f t="shared" si="39"/>
        <v>2.9999999999999991</v>
      </c>
      <c r="N81" s="241">
        <f t="shared" si="40"/>
        <v>62.831999999999944</v>
      </c>
      <c r="O81" s="241">
        <f t="shared" si="41"/>
        <v>4.5973116831683127E-2</v>
      </c>
      <c r="P81" s="241">
        <f t="shared" si="42"/>
        <v>2.2986558415841545E-3</v>
      </c>
      <c r="Q81" s="241">
        <f t="shared" si="30"/>
        <v>9.6332843116882483</v>
      </c>
      <c r="R81" s="241">
        <f t="shared" si="31"/>
        <v>0.10321299914138553</v>
      </c>
      <c r="S81" s="250">
        <f t="shared" si="19"/>
        <v>1.1723144792079195E-3</v>
      </c>
      <c r="T81" s="250">
        <f t="shared" si="25"/>
        <v>6.1782184586946481E-2</v>
      </c>
      <c r="U81" s="250">
        <f t="shared" si="26"/>
        <v>0</v>
      </c>
      <c r="V81" s="250">
        <f t="shared" si="27"/>
        <v>0</v>
      </c>
      <c r="W81" s="1">
        <f t="shared" si="20"/>
        <v>8.9011999999999891E-4</v>
      </c>
      <c r="X81" s="1">
        <f t="shared" si="47"/>
        <v>180000.00000000003</v>
      </c>
      <c r="Y81" s="1">
        <f t="shared" si="22"/>
        <v>1.5986629899036318E-5</v>
      </c>
      <c r="Z81" s="240">
        <f t="shared" si="43"/>
        <v>1.5986629899036318E-5</v>
      </c>
      <c r="AA81" s="240">
        <f t="shared" si="11"/>
        <v>7.2463348001085195E-4</v>
      </c>
      <c r="AB81" s="1">
        <f t="shared" si="28"/>
        <v>0</v>
      </c>
      <c r="AC81" s="248">
        <f t="shared" si="23"/>
        <v>-2.608680528039067E-2</v>
      </c>
      <c r="AD81" s="239"/>
      <c r="AE81" s="243"/>
      <c r="AG81" s="239"/>
      <c r="AH81" s="239"/>
      <c r="AI81" s="239"/>
      <c r="AM81" s="240"/>
    </row>
    <row r="82" spans="1:39">
      <c r="A82" s="241">
        <f t="shared" si="29"/>
        <v>61</v>
      </c>
      <c r="B82" s="241">
        <f t="shared" si="44"/>
        <v>1</v>
      </c>
      <c r="C82" s="241">
        <f t="shared" si="34"/>
        <v>7.355445544554455E-2</v>
      </c>
      <c r="D82" s="241">
        <f t="shared" si="35"/>
        <v>3.8301881188118809</v>
      </c>
      <c r="E82" s="241">
        <f t="shared" si="45"/>
        <v>19.999999999999982</v>
      </c>
      <c r="F82" s="241">
        <f t="shared" si="46"/>
        <v>14.282856857085692</v>
      </c>
      <c r="G82" s="241">
        <f t="shared" si="32"/>
        <v>160.22159999999982</v>
      </c>
      <c r="H82" s="241">
        <f t="shared" si="36"/>
        <v>314.15999999999946</v>
      </c>
      <c r="I82" s="241">
        <f t="shared" si="37"/>
        <v>160.22159999999982</v>
      </c>
      <c r="J82" s="241">
        <f t="shared" si="38"/>
        <v>314.15999999999946</v>
      </c>
      <c r="K82" s="241">
        <f t="shared" si="33"/>
        <v>153.93839999999963</v>
      </c>
      <c r="L82" s="241">
        <f t="shared" si="16"/>
        <v>13.999999999999984</v>
      </c>
      <c r="M82" s="241">
        <f t="shared" si="39"/>
        <v>2.9999999999999991</v>
      </c>
      <c r="N82" s="241">
        <f t="shared" si="40"/>
        <v>62.831999999999944</v>
      </c>
      <c r="O82" s="241">
        <f t="shared" si="41"/>
        <v>4.6215735445544512E-2</v>
      </c>
      <c r="P82" s="241">
        <f t="shared" si="42"/>
        <v>2.3107867722772235E-3</v>
      </c>
      <c r="Q82" s="241">
        <f t="shared" si="30"/>
        <v>9.6795000471337929</v>
      </c>
      <c r="R82" s="241">
        <f t="shared" si="31"/>
        <v>0.10552378591366275</v>
      </c>
      <c r="S82" s="250">
        <f t="shared" si="19"/>
        <v>1.1785012538613848E-3</v>
      </c>
      <c r="T82" s="250">
        <f t="shared" si="25"/>
        <v>6.296068584080787E-2</v>
      </c>
      <c r="U82" s="250">
        <f t="shared" si="26"/>
        <v>0</v>
      </c>
      <c r="V82" s="250">
        <f t="shared" si="27"/>
        <v>0</v>
      </c>
      <c r="W82" s="1">
        <f t="shared" si="20"/>
        <v>8.9011999999999891E-4</v>
      </c>
      <c r="X82" s="1">
        <f t="shared" si="47"/>
        <v>180000.00000000003</v>
      </c>
      <c r="Y82" s="1">
        <f t="shared" si="22"/>
        <v>1.6070997769951395E-5</v>
      </c>
      <c r="Z82" s="240">
        <f t="shared" si="43"/>
        <v>1.6070997769951395E-5</v>
      </c>
      <c r="AA82" s="240">
        <f t="shared" si="11"/>
        <v>7.0864685011181564E-4</v>
      </c>
      <c r="AB82" s="1">
        <f t="shared" si="28"/>
        <v>0</v>
      </c>
      <c r="AC82" s="248">
        <f t="shared" si="23"/>
        <v>-2.5511286604025362E-2</v>
      </c>
      <c r="AD82" s="239"/>
      <c r="AE82" s="243"/>
      <c r="AG82" s="239"/>
      <c r="AH82" s="239"/>
      <c r="AI82" s="239"/>
      <c r="AM82" s="240"/>
    </row>
    <row r="83" spans="1:39">
      <c r="A83" s="241">
        <f t="shared" si="29"/>
        <v>62</v>
      </c>
      <c r="B83" s="241">
        <f t="shared" si="44"/>
        <v>1</v>
      </c>
      <c r="C83" s="241">
        <f t="shared" si="34"/>
        <v>7.3940594059405937E-2</v>
      </c>
      <c r="D83" s="241">
        <f t="shared" si="35"/>
        <v>3.9041287128712869</v>
      </c>
      <c r="E83" s="241">
        <f t="shared" si="45"/>
        <v>19.999999999999982</v>
      </c>
      <c r="F83" s="241">
        <f t="shared" si="46"/>
        <v>14.282856857085692</v>
      </c>
      <c r="G83" s="241">
        <f t="shared" si="32"/>
        <v>160.22159999999982</v>
      </c>
      <c r="H83" s="241">
        <f t="shared" si="36"/>
        <v>314.15999999999946</v>
      </c>
      <c r="I83" s="241">
        <f t="shared" si="37"/>
        <v>160.22159999999982</v>
      </c>
      <c r="J83" s="241">
        <f t="shared" si="38"/>
        <v>314.15999999999946</v>
      </c>
      <c r="K83" s="241">
        <f t="shared" si="33"/>
        <v>153.93839999999963</v>
      </c>
      <c r="L83" s="241">
        <f t="shared" si="16"/>
        <v>13.999999999999984</v>
      </c>
      <c r="M83" s="241">
        <f t="shared" si="39"/>
        <v>2.9999999999999991</v>
      </c>
      <c r="N83" s="241">
        <f t="shared" si="40"/>
        <v>62.831999999999944</v>
      </c>
      <c r="O83" s="241">
        <f t="shared" si="41"/>
        <v>4.6458354059405897E-2</v>
      </c>
      <c r="P83" s="241">
        <f t="shared" si="42"/>
        <v>2.322917702970293E-3</v>
      </c>
      <c r="Q83" s="241">
        <f t="shared" si="30"/>
        <v>9.7259584011931981</v>
      </c>
      <c r="R83" s="241">
        <f t="shared" si="31"/>
        <v>0.10784670361663304</v>
      </c>
      <c r="S83" s="250">
        <f t="shared" si="19"/>
        <v>1.1846880285148501E-3</v>
      </c>
      <c r="T83" s="250">
        <f t="shared" si="25"/>
        <v>6.4145373869322717E-2</v>
      </c>
      <c r="U83" s="250">
        <f t="shared" si="26"/>
        <v>0</v>
      </c>
      <c r="V83" s="250">
        <f t="shared" si="27"/>
        <v>0</v>
      </c>
      <c r="W83" s="1">
        <f t="shared" si="20"/>
        <v>8.9011999999999891E-4</v>
      </c>
      <c r="X83" s="1">
        <f t="shared" si="47"/>
        <v>180000.00000000003</v>
      </c>
      <c r="Y83" s="1">
        <f t="shared" si="22"/>
        <v>1.6155365640866475E-5</v>
      </c>
      <c r="Z83" s="240">
        <f t="shared" si="43"/>
        <v>1.6155365640866475E-5</v>
      </c>
      <c r="AA83" s="240">
        <f t="shared" si="11"/>
        <v>6.9257585234186426E-4</v>
      </c>
      <c r="AB83" s="1">
        <f t="shared" si="28"/>
        <v>0</v>
      </c>
      <c r="AC83" s="248">
        <f t="shared" si="23"/>
        <v>-2.4932730684307115E-2</v>
      </c>
      <c r="AD83" s="239"/>
      <c r="AE83" s="243"/>
      <c r="AG83" s="239"/>
      <c r="AH83" s="239"/>
      <c r="AI83" s="239"/>
      <c r="AM83" s="240"/>
    </row>
    <row r="84" spans="1:39">
      <c r="A84" s="241">
        <f t="shared" si="29"/>
        <v>63</v>
      </c>
      <c r="B84" s="241">
        <f t="shared" si="44"/>
        <v>1</v>
      </c>
      <c r="C84" s="241">
        <f t="shared" si="34"/>
        <v>7.4326732673267323E-2</v>
      </c>
      <c r="D84" s="241">
        <f t="shared" si="35"/>
        <v>3.9784554455445544</v>
      </c>
      <c r="E84" s="241">
        <f t="shared" si="45"/>
        <v>19.999999999999982</v>
      </c>
      <c r="F84" s="241">
        <f t="shared" si="46"/>
        <v>14.282856857085692</v>
      </c>
      <c r="G84" s="241">
        <f t="shared" si="32"/>
        <v>160.22159999999982</v>
      </c>
      <c r="H84" s="241">
        <f t="shared" si="36"/>
        <v>314.15999999999946</v>
      </c>
      <c r="I84" s="241">
        <f t="shared" si="37"/>
        <v>160.22159999999982</v>
      </c>
      <c r="J84" s="241">
        <f t="shared" si="38"/>
        <v>314.15999999999946</v>
      </c>
      <c r="K84" s="241">
        <f t="shared" si="33"/>
        <v>153.93839999999963</v>
      </c>
      <c r="L84" s="241">
        <f t="shared" si="16"/>
        <v>13.999999999999984</v>
      </c>
      <c r="M84" s="241">
        <f t="shared" si="39"/>
        <v>2.9999999999999991</v>
      </c>
      <c r="N84" s="241">
        <f t="shared" si="40"/>
        <v>62.831999999999944</v>
      </c>
      <c r="O84" s="241">
        <f t="shared" si="41"/>
        <v>4.6700972673267283E-2</v>
      </c>
      <c r="P84" s="241">
        <f t="shared" si="42"/>
        <v>2.335048633663362E-3</v>
      </c>
      <c r="Q84" s="241">
        <f t="shared" si="30"/>
        <v>9.7726593738664658</v>
      </c>
      <c r="R84" s="241">
        <f t="shared" si="31"/>
        <v>0.1101817522502964</v>
      </c>
      <c r="S84" s="250">
        <f t="shared" si="19"/>
        <v>1.1908748031683155E-3</v>
      </c>
      <c r="T84" s="250">
        <f t="shared" si="25"/>
        <v>6.5336248672491035E-2</v>
      </c>
      <c r="U84" s="250">
        <f t="shared" si="26"/>
        <v>0</v>
      </c>
      <c r="V84" s="250">
        <f t="shared" si="27"/>
        <v>0</v>
      </c>
      <c r="W84" s="1">
        <f t="shared" si="20"/>
        <v>8.9011999999999891E-4</v>
      </c>
      <c r="X84" s="1">
        <f t="shared" si="47"/>
        <v>180000.00000000003</v>
      </c>
      <c r="Y84" s="1">
        <f t="shared" si="22"/>
        <v>1.6239733511781552E-5</v>
      </c>
      <c r="Z84" s="240">
        <f t="shared" si="43"/>
        <v>1.6239733511781552E-5</v>
      </c>
      <c r="AA84" s="240">
        <f t="shared" si="11"/>
        <v>6.7642048670099781E-4</v>
      </c>
      <c r="AB84" s="1">
        <f t="shared" si="28"/>
        <v>0</v>
      </c>
      <c r="AC84" s="248">
        <f t="shared" si="23"/>
        <v>-2.4351137521235921E-2</v>
      </c>
      <c r="AD84" s="239"/>
      <c r="AE84" s="243"/>
      <c r="AG84" s="239"/>
      <c r="AH84" s="239"/>
      <c r="AI84" s="239"/>
      <c r="AM84" s="240"/>
    </row>
    <row r="85" spans="1:39">
      <c r="A85" s="241">
        <f t="shared" si="29"/>
        <v>64</v>
      </c>
      <c r="B85" s="241">
        <f t="shared" si="44"/>
        <v>1</v>
      </c>
      <c r="C85" s="241">
        <f t="shared" ref="C85:C121" si="48">$B$10+A85*$G$4</f>
        <v>7.471287128712871E-2</v>
      </c>
      <c r="D85" s="241">
        <f t="shared" ref="D85:D121" si="49">(A85+1)*($B$10+$G$4*A85/2)</f>
        <v>4.053168316831683</v>
      </c>
      <c r="E85" s="241">
        <f t="shared" si="45"/>
        <v>19.999999999999982</v>
      </c>
      <c r="F85" s="241">
        <f t="shared" si="46"/>
        <v>14.282856857085692</v>
      </c>
      <c r="G85" s="241">
        <f t="shared" si="32"/>
        <v>160.22159999999982</v>
      </c>
      <c r="H85" s="241">
        <f t="shared" ref="H85:H121" si="50">E85*E85*3.1416/4</f>
        <v>314.15999999999946</v>
      </c>
      <c r="I85" s="241">
        <f t="shared" ref="I85:I121" si="51">G85*B85</f>
        <v>160.22159999999982</v>
      </c>
      <c r="J85" s="241">
        <f t="shared" ref="J85:J121" si="52">H85*B85</f>
        <v>314.15999999999946</v>
      </c>
      <c r="K85" s="241">
        <f t="shared" si="33"/>
        <v>153.93839999999963</v>
      </c>
      <c r="L85" s="241">
        <f t="shared" si="16"/>
        <v>13.999999999999984</v>
      </c>
      <c r="M85" s="241">
        <f t="shared" ref="M85:M116" si="53">(E85-L85)/2</f>
        <v>2.9999999999999991</v>
      </c>
      <c r="N85" s="241">
        <f t="shared" ref="N85:N121" si="54">E85*3.1416</f>
        <v>62.831999999999944</v>
      </c>
      <c r="O85" s="241">
        <f t="shared" ref="O85:O121" si="55">C85*3.1416*E85*B85/100</f>
        <v>4.6943591287128668E-2</v>
      </c>
      <c r="P85" s="241">
        <f t="shared" ref="P85:P121" si="56">C85*E85/100*E85/100*3.1416/4*B85</f>
        <v>2.347179564356431E-3</v>
      </c>
      <c r="Q85" s="241">
        <f t="shared" si="30"/>
        <v>9.8196029651535941</v>
      </c>
      <c r="R85" s="241">
        <f t="shared" si="31"/>
        <v>0.11252893181465283</v>
      </c>
      <c r="S85" s="250">
        <f t="shared" si="19"/>
        <v>1.1970615778217808E-3</v>
      </c>
      <c r="T85" s="250">
        <f t="shared" si="25"/>
        <v>6.653331025031281E-2</v>
      </c>
      <c r="U85" s="250">
        <f t="shared" si="26"/>
        <v>0</v>
      </c>
      <c r="V85" s="250">
        <f t="shared" si="27"/>
        <v>0</v>
      </c>
      <c r="W85" s="1">
        <f t="shared" si="20"/>
        <v>8.9011999999999891E-4</v>
      </c>
      <c r="X85" s="1">
        <f t="shared" si="47"/>
        <v>180000.00000000003</v>
      </c>
      <c r="Y85" s="1">
        <f t="shared" si="22"/>
        <v>1.6324101382696629E-5</v>
      </c>
      <c r="Z85" s="240">
        <f t="shared" ref="Z85:Z116" si="57">Y85/B85</f>
        <v>1.6324101382696629E-5</v>
      </c>
      <c r="AA85" s="240">
        <f t="shared" ref="AA85:AA119" si="58">AA86+Z85</f>
        <v>6.601807531892163E-4</v>
      </c>
      <c r="AB85" s="1">
        <f t="shared" si="28"/>
        <v>0</v>
      </c>
      <c r="AC85" s="248">
        <f t="shared" si="23"/>
        <v>-2.3766507114811788E-2</v>
      </c>
      <c r="AD85" s="239"/>
      <c r="AE85" s="243"/>
      <c r="AG85" s="239"/>
      <c r="AH85" s="239"/>
      <c r="AI85" s="239"/>
      <c r="AM85" s="240"/>
    </row>
    <row r="86" spans="1:39">
      <c r="A86" s="241">
        <f t="shared" si="29"/>
        <v>65</v>
      </c>
      <c r="B86" s="241">
        <f t="shared" ref="B86:B121" si="59">MAX(B85/$G$5,1)</f>
        <v>1</v>
      </c>
      <c r="C86" s="241">
        <f t="shared" si="48"/>
        <v>7.5099009900990096E-2</v>
      </c>
      <c r="D86" s="241">
        <f t="shared" si="49"/>
        <v>4.128267326732673</v>
      </c>
      <c r="E86" s="241">
        <f t="shared" ref="E86:E121" si="60">IF(A86&lt;$J$3,($B$6/10)*$G$5^(A86/$G$3),($B$6/10)*$G$5^($J$3/$G$3))</f>
        <v>19.999999999999982</v>
      </c>
      <c r="F86" s="241">
        <f t="shared" ref="F86:F121" si="61">IF(A86&lt;$J$3,($B$7/10)*$G$5^(A86/$G$2),($B$7/10)*$G$5^($J$3/$G$2))</f>
        <v>14.282856857085692</v>
      </c>
      <c r="G86" s="241">
        <f t="shared" si="32"/>
        <v>160.22159999999982</v>
      </c>
      <c r="H86" s="241">
        <f t="shared" si="50"/>
        <v>314.15999999999946</v>
      </c>
      <c r="I86" s="241">
        <f t="shared" si="51"/>
        <v>160.22159999999982</v>
      </c>
      <c r="J86" s="241">
        <f t="shared" si="52"/>
        <v>314.15999999999946</v>
      </c>
      <c r="K86" s="241">
        <f t="shared" si="33"/>
        <v>153.93839999999963</v>
      </c>
      <c r="L86" s="241">
        <f t="shared" ref="L86:L121" si="62">SQRT(4*K86/3.1416)</f>
        <v>13.999999999999984</v>
      </c>
      <c r="M86" s="241">
        <f t="shared" si="53"/>
        <v>2.9999999999999991</v>
      </c>
      <c r="N86" s="241">
        <f t="shared" si="54"/>
        <v>62.831999999999944</v>
      </c>
      <c r="O86" s="241">
        <f t="shared" si="55"/>
        <v>4.7186209900990053E-2</v>
      </c>
      <c r="P86" s="241">
        <f t="shared" si="56"/>
        <v>2.3593104950495008E-3</v>
      </c>
      <c r="Q86" s="241">
        <f t="shared" si="30"/>
        <v>9.8667891750545849</v>
      </c>
      <c r="R86" s="241">
        <f t="shared" si="31"/>
        <v>0.11488824230970233</v>
      </c>
      <c r="S86" s="250">
        <f t="shared" ref="S86:S121" si="63">G86/10000*C86*B86</f>
        <v>1.2032483524752461E-3</v>
      </c>
      <c r="T86" s="250">
        <f t="shared" si="25"/>
        <v>6.7736558602788058E-2</v>
      </c>
      <c r="U86" s="250">
        <f t="shared" si="26"/>
        <v>0</v>
      </c>
      <c r="V86" s="250">
        <f t="shared" si="27"/>
        <v>0</v>
      </c>
      <c r="W86" s="1">
        <f t="shared" ref="W86:W121" si="64">G86/X86</f>
        <v>8.9011999999999891E-4</v>
      </c>
      <c r="X86" s="1">
        <f t="shared" ref="X86:X121" si="65">X85*B85/B86</f>
        <v>180000.00000000003</v>
      </c>
      <c r="Y86" s="1">
        <f t="shared" ref="Y86:Y121" si="66">C86/(G86/10000)*$B$14*($F$21/F86)^($B$12)</f>
        <v>1.6408469253611706E-5</v>
      </c>
      <c r="Z86" s="240">
        <f t="shared" si="57"/>
        <v>1.6408469253611706E-5</v>
      </c>
      <c r="AA86" s="240">
        <f t="shared" si="58"/>
        <v>6.4385665180651972E-4</v>
      </c>
      <c r="AB86" s="1">
        <f t="shared" si="28"/>
        <v>0</v>
      </c>
      <c r="AC86" s="248">
        <f t="shared" ref="AC86:AC121" si="67">-AA86*$B$4*2</f>
        <v>-2.3178839465034712E-2</v>
      </c>
      <c r="AD86" s="239"/>
      <c r="AE86" s="243"/>
      <c r="AG86" s="239"/>
      <c r="AH86" s="239"/>
      <c r="AI86" s="239"/>
      <c r="AM86" s="240"/>
    </row>
    <row r="87" spans="1:39">
      <c r="A87" s="241">
        <f t="shared" si="29"/>
        <v>66</v>
      </c>
      <c r="B87" s="241">
        <f t="shared" si="59"/>
        <v>1</v>
      </c>
      <c r="C87" s="241">
        <f t="shared" si="48"/>
        <v>7.5485148514851483E-2</v>
      </c>
      <c r="D87" s="241">
        <f t="shared" si="49"/>
        <v>4.2037524752475246</v>
      </c>
      <c r="E87" s="241">
        <f t="shared" si="60"/>
        <v>19.999999999999982</v>
      </c>
      <c r="F87" s="241">
        <f t="shared" si="61"/>
        <v>14.282856857085692</v>
      </c>
      <c r="G87" s="241">
        <f t="shared" si="32"/>
        <v>160.22159999999982</v>
      </c>
      <c r="H87" s="241">
        <f t="shared" si="50"/>
        <v>314.15999999999946</v>
      </c>
      <c r="I87" s="241">
        <f t="shared" si="51"/>
        <v>160.22159999999982</v>
      </c>
      <c r="J87" s="241">
        <f t="shared" si="52"/>
        <v>314.15999999999946</v>
      </c>
      <c r="K87" s="241">
        <f t="shared" si="33"/>
        <v>153.93839999999963</v>
      </c>
      <c r="L87" s="241">
        <f t="shared" si="62"/>
        <v>13.999999999999984</v>
      </c>
      <c r="M87" s="241">
        <f t="shared" si="53"/>
        <v>2.9999999999999991</v>
      </c>
      <c r="N87" s="241">
        <f t="shared" si="54"/>
        <v>62.831999999999944</v>
      </c>
      <c r="O87" s="241">
        <f t="shared" si="55"/>
        <v>4.7428828514851445E-2</v>
      </c>
      <c r="P87" s="241">
        <f t="shared" si="56"/>
        <v>2.3714414257425703E-3</v>
      </c>
      <c r="Q87" s="241">
        <f t="shared" si="30"/>
        <v>9.9142180035694363</v>
      </c>
      <c r="R87" s="241">
        <f t="shared" si="31"/>
        <v>0.1172596837354449</v>
      </c>
      <c r="S87" s="250">
        <f t="shared" si="63"/>
        <v>1.2094351271287117E-3</v>
      </c>
      <c r="T87" s="250">
        <f t="shared" ref="T87:T121" si="68">T86+S87</f>
        <v>6.8945993729916763E-2</v>
      </c>
      <c r="U87" s="250">
        <f t="shared" ref="U87:U121" si="69">IF(B87&gt;1,U86+S87,0)</f>
        <v>0</v>
      </c>
      <c r="V87" s="250">
        <f t="shared" ref="V87:V121" si="70">IF(B87&gt;1,V86+O87,0)</f>
        <v>0</v>
      </c>
      <c r="W87" s="1">
        <f t="shared" si="64"/>
        <v>8.9011999999999891E-4</v>
      </c>
      <c r="X87" s="1">
        <f t="shared" si="65"/>
        <v>180000.00000000003</v>
      </c>
      <c r="Y87" s="1">
        <f t="shared" si="66"/>
        <v>1.6492837124526779E-5</v>
      </c>
      <c r="Z87" s="240">
        <f t="shared" si="57"/>
        <v>1.6492837124526779E-5</v>
      </c>
      <c r="AA87" s="240">
        <f t="shared" si="58"/>
        <v>6.2744818255290797E-4</v>
      </c>
      <c r="AB87" s="1">
        <f t="shared" ref="AB87:AB121" si="71">IF(B87&gt;1,AB86+Z87,0)</f>
        <v>0</v>
      </c>
      <c r="AC87" s="248">
        <f t="shared" si="67"/>
        <v>-2.2588134571904686E-2</v>
      </c>
      <c r="AD87" s="239"/>
      <c r="AE87" s="243"/>
      <c r="AG87" s="239"/>
      <c r="AH87" s="239"/>
      <c r="AI87" s="239"/>
      <c r="AM87" s="240"/>
    </row>
    <row r="88" spans="1:39">
      <c r="A88" s="241">
        <f t="shared" si="29"/>
        <v>67</v>
      </c>
      <c r="B88" s="241">
        <f t="shared" si="59"/>
        <v>1</v>
      </c>
      <c r="C88" s="241">
        <f t="shared" si="48"/>
        <v>7.5871287128712869E-2</v>
      </c>
      <c r="D88" s="241">
        <f t="shared" si="49"/>
        <v>4.2796237623762377</v>
      </c>
      <c r="E88" s="241">
        <f t="shared" si="60"/>
        <v>19.999999999999982</v>
      </c>
      <c r="F88" s="241">
        <f t="shared" si="61"/>
        <v>14.282856857085692</v>
      </c>
      <c r="G88" s="241">
        <f t="shared" si="32"/>
        <v>160.22159999999982</v>
      </c>
      <c r="H88" s="241">
        <f t="shared" si="50"/>
        <v>314.15999999999946</v>
      </c>
      <c r="I88" s="241">
        <f t="shared" si="51"/>
        <v>160.22159999999982</v>
      </c>
      <c r="J88" s="241">
        <f t="shared" si="52"/>
        <v>314.15999999999946</v>
      </c>
      <c r="K88" s="241">
        <f t="shared" si="33"/>
        <v>153.93839999999963</v>
      </c>
      <c r="L88" s="241">
        <f t="shared" si="62"/>
        <v>13.999999999999984</v>
      </c>
      <c r="M88" s="241">
        <f t="shared" si="53"/>
        <v>2.9999999999999991</v>
      </c>
      <c r="N88" s="241">
        <f t="shared" si="54"/>
        <v>62.831999999999944</v>
      </c>
      <c r="O88" s="241">
        <f t="shared" si="55"/>
        <v>4.7671447128712831E-2</v>
      </c>
      <c r="P88" s="241">
        <f t="shared" si="56"/>
        <v>2.3835723564356397E-3</v>
      </c>
      <c r="Q88" s="241">
        <f t="shared" si="30"/>
        <v>9.9618894506981484</v>
      </c>
      <c r="R88" s="241">
        <f t="shared" si="31"/>
        <v>0.11964325609188055</v>
      </c>
      <c r="S88" s="250">
        <f t="shared" si="63"/>
        <v>1.215621901782177E-3</v>
      </c>
      <c r="T88" s="250">
        <f t="shared" si="68"/>
        <v>7.016161563169894E-2</v>
      </c>
      <c r="U88" s="250">
        <f t="shared" si="69"/>
        <v>0</v>
      </c>
      <c r="V88" s="250">
        <f t="shared" si="70"/>
        <v>0</v>
      </c>
      <c r="W88" s="1">
        <f t="shared" si="64"/>
        <v>8.9011999999999891E-4</v>
      </c>
      <c r="X88" s="1">
        <f t="shared" si="65"/>
        <v>180000.00000000003</v>
      </c>
      <c r="Y88" s="1">
        <f t="shared" si="66"/>
        <v>1.6577204995441856E-5</v>
      </c>
      <c r="Z88" s="240">
        <f t="shared" si="57"/>
        <v>1.6577204995441856E-5</v>
      </c>
      <c r="AA88" s="240">
        <f t="shared" si="58"/>
        <v>6.1095534542838115E-4</v>
      </c>
      <c r="AB88" s="1">
        <f t="shared" si="71"/>
        <v>0</v>
      </c>
      <c r="AC88" s="248">
        <f t="shared" si="67"/>
        <v>-2.1994392435421721E-2</v>
      </c>
      <c r="AD88" s="239"/>
      <c r="AE88" s="243"/>
      <c r="AG88" s="239"/>
      <c r="AH88" s="239"/>
      <c r="AI88" s="239"/>
      <c r="AM88" s="240"/>
    </row>
    <row r="89" spans="1:39">
      <c r="A89" s="241">
        <f t="shared" si="29"/>
        <v>68</v>
      </c>
      <c r="B89" s="241">
        <f t="shared" si="59"/>
        <v>1</v>
      </c>
      <c r="C89" s="241">
        <f t="shared" si="48"/>
        <v>7.6257425742574242E-2</v>
      </c>
      <c r="D89" s="241">
        <f t="shared" si="49"/>
        <v>4.3558811881188122</v>
      </c>
      <c r="E89" s="241">
        <f t="shared" si="60"/>
        <v>19.999999999999982</v>
      </c>
      <c r="F89" s="241">
        <f t="shared" si="61"/>
        <v>14.282856857085692</v>
      </c>
      <c r="G89" s="241">
        <f t="shared" si="32"/>
        <v>160.22159999999982</v>
      </c>
      <c r="H89" s="241">
        <f t="shared" si="50"/>
        <v>314.15999999999946</v>
      </c>
      <c r="I89" s="241">
        <f t="shared" si="51"/>
        <v>160.22159999999982</v>
      </c>
      <c r="J89" s="241">
        <f t="shared" si="52"/>
        <v>314.15999999999946</v>
      </c>
      <c r="K89" s="241">
        <f t="shared" si="33"/>
        <v>153.93839999999963</v>
      </c>
      <c r="L89" s="241">
        <f t="shared" si="62"/>
        <v>13.999999999999984</v>
      </c>
      <c r="M89" s="241">
        <f t="shared" si="53"/>
        <v>2.9999999999999991</v>
      </c>
      <c r="N89" s="241">
        <f t="shared" si="54"/>
        <v>62.831999999999944</v>
      </c>
      <c r="O89" s="241">
        <f t="shared" si="55"/>
        <v>4.7914065742574202E-2</v>
      </c>
      <c r="P89" s="241">
        <f t="shared" si="56"/>
        <v>2.3957032871287079E-3</v>
      </c>
      <c r="Q89" s="241">
        <f t="shared" si="30"/>
        <v>10.009803516440723</v>
      </c>
      <c r="R89" s="241">
        <f t="shared" si="31"/>
        <v>0.12203895937900926</v>
      </c>
      <c r="S89" s="250">
        <f t="shared" si="63"/>
        <v>1.2218086764356421E-3</v>
      </c>
      <c r="T89" s="250">
        <f t="shared" si="68"/>
        <v>7.1383424308134588E-2</v>
      </c>
      <c r="U89" s="250">
        <f t="shared" si="69"/>
        <v>0</v>
      </c>
      <c r="V89" s="250">
        <f t="shared" si="70"/>
        <v>0</v>
      </c>
      <c r="W89" s="1">
        <f t="shared" si="64"/>
        <v>8.9011999999999891E-4</v>
      </c>
      <c r="X89" s="1">
        <f t="shared" si="65"/>
        <v>180000.00000000003</v>
      </c>
      <c r="Y89" s="1">
        <f t="shared" si="66"/>
        <v>1.666157286635693E-5</v>
      </c>
      <c r="Z89" s="240">
        <f t="shared" si="57"/>
        <v>1.666157286635693E-5</v>
      </c>
      <c r="AA89" s="240">
        <f t="shared" si="58"/>
        <v>5.9437814043293926E-4</v>
      </c>
      <c r="AB89" s="1">
        <f t="shared" si="71"/>
        <v>0</v>
      </c>
      <c r="AC89" s="248">
        <f t="shared" si="67"/>
        <v>-2.1397613055585813E-2</v>
      </c>
      <c r="AD89" s="239"/>
      <c r="AE89" s="243"/>
      <c r="AG89" s="239"/>
      <c r="AH89" s="239"/>
      <c r="AI89" s="239"/>
      <c r="AM89" s="240"/>
    </row>
    <row r="90" spans="1:39">
      <c r="A90" s="241">
        <f t="shared" si="29"/>
        <v>69</v>
      </c>
      <c r="B90" s="241">
        <f t="shared" si="59"/>
        <v>1</v>
      </c>
      <c r="C90" s="241">
        <f t="shared" si="48"/>
        <v>7.6643564356435628E-2</v>
      </c>
      <c r="D90" s="241">
        <f t="shared" si="49"/>
        <v>4.4325247524752474</v>
      </c>
      <c r="E90" s="241">
        <f t="shared" si="60"/>
        <v>19.999999999999982</v>
      </c>
      <c r="F90" s="241">
        <f t="shared" si="61"/>
        <v>14.282856857085692</v>
      </c>
      <c r="G90" s="241">
        <f t="shared" si="32"/>
        <v>160.22159999999982</v>
      </c>
      <c r="H90" s="241">
        <f t="shared" si="50"/>
        <v>314.15999999999946</v>
      </c>
      <c r="I90" s="241">
        <f t="shared" si="51"/>
        <v>160.22159999999982</v>
      </c>
      <c r="J90" s="241">
        <f t="shared" si="52"/>
        <v>314.15999999999946</v>
      </c>
      <c r="K90" s="241">
        <f t="shared" si="33"/>
        <v>153.93839999999963</v>
      </c>
      <c r="L90" s="241">
        <f t="shared" si="62"/>
        <v>13.999999999999984</v>
      </c>
      <c r="M90" s="241">
        <f t="shared" si="53"/>
        <v>2.9999999999999991</v>
      </c>
      <c r="N90" s="241">
        <f t="shared" si="54"/>
        <v>62.831999999999944</v>
      </c>
      <c r="O90" s="241">
        <f t="shared" si="55"/>
        <v>4.8156684356435588E-2</v>
      </c>
      <c r="P90" s="241">
        <f t="shared" si="56"/>
        <v>2.4078342178217773E-3</v>
      </c>
      <c r="Q90" s="241">
        <f t="shared" si="30"/>
        <v>10.057960200797158</v>
      </c>
      <c r="R90" s="241">
        <f t="shared" si="31"/>
        <v>0.12444679359683103</v>
      </c>
      <c r="S90" s="250">
        <f t="shared" si="63"/>
        <v>1.2279954510891074E-3</v>
      </c>
      <c r="T90" s="250">
        <f t="shared" si="68"/>
        <v>7.2611419759223694E-2</v>
      </c>
      <c r="U90" s="250">
        <f t="shared" si="69"/>
        <v>0</v>
      </c>
      <c r="V90" s="250">
        <f t="shared" si="70"/>
        <v>0</v>
      </c>
      <c r="W90" s="1">
        <f t="shared" si="64"/>
        <v>8.9011999999999891E-4</v>
      </c>
      <c r="X90" s="1">
        <f t="shared" si="65"/>
        <v>180000.00000000003</v>
      </c>
      <c r="Y90" s="1">
        <f t="shared" si="66"/>
        <v>1.6745940737272007E-5</v>
      </c>
      <c r="Z90" s="240">
        <f t="shared" si="57"/>
        <v>1.6745940737272007E-5</v>
      </c>
      <c r="AA90" s="240">
        <f t="shared" si="58"/>
        <v>5.7771656756658231E-4</v>
      </c>
      <c r="AB90" s="1">
        <f t="shared" si="71"/>
        <v>0</v>
      </c>
      <c r="AC90" s="248">
        <f t="shared" si="67"/>
        <v>-2.0797796432396962E-2</v>
      </c>
      <c r="AD90" s="239"/>
      <c r="AE90" s="243"/>
      <c r="AG90" s="239"/>
      <c r="AH90" s="239"/>
      <c r="AI90" s="239"/>
      <c r="AM90" s="240"/>
    </row>
    <row r="91" spans="1:39">
      <c r="A91" s="241">
        <f t="shared" si="29"/>
        <v>70</v>
      </c>
      <c r="B91" s="241">
        <f t="shared" si="59"/>
        <v>1</v>
      </c>
      <c r="C91" s="241">
        <f t="shared" si="48"/>
        <v>7.7029702970297015E-2</v>
      </c>
      <c r="D91" s="241">
        <f t="shared" si="49"/>
        <v>4.5095544554455449</v>
      </c>
      <c r="E91" s="241">
        <f t="shared" si="60"/>
        <v>19.999999999999982</v>
      </c>
      <c r="F91" s="241">
        <f t="shared" si="61"/>
        <v>14.282856857085692</v>
      </c>
      <c r="G91" s="241">
        <f t="shared" si="32"/>
        <v>160.22159999999982</v>
      </c>
      <c r="H91" s="241">
        <f t="shared" si="50"/>
        <v>314.15999999999946</v>
      </c>
      <c r="I91" s="241">
        <f t="shared" si="51"/>
        <v>160.22159999999982</v>
      </c>
      <c r="J91" s="241">
        <f t="shared" si="52"/>
        <v>314.15999999999946</v>
      </c>
      <c r="K91" s="241">
        <f t="shared" si="33"/>
        <v>153.93839999999963</v>
      </c>
      <c r="L91" s="241">
        <f t="shared" si="62"/>
        <v>13.999999999999984</v>
      </c>
      <c r="M91" s="241">
        <f t="shared" si="53"/>
        <v>2.9999999999999991</v>
      </c>
      <c r="N91" s="241">
        <f t="shared" si="54"/>
        <v>62.831999999999944</v>
      </c>
      <c r="O91" s="241">
        <f t="shared" si="55"/>
        <v>4.8399302970296973E-2</v>
      </c>
      <c r="P91" s="241">
        <f t="shared" si="56"/>
        <v>2.4199651485148467E-3</v>
      </c>
      <c r="Q91" s="241">
        <f t="shared" si="30"/>
        <v>10.106359503767456</v>
      </c>
      <c r="R91" s="241">
        <f t="shared" si="31"/>
        <v>0.12686675874534586</v>
      </c>
      <c r="S91" s="250">
        <f t="shared" si="63"/>
        <v>1.2341822257425728E-3</v>
      </c>
      <c r="T91" s="250">
        <f t="shared" si="68"/>
        <v>7.3845601984966272E-2</v>
      </c>
      <c r="U91" s="250">
        <f t="shared" si="69"/>
        <v>0</v>
      </c>
      <c r="V91" s="250">
        <f t="shared" si="70"/>
        <v>0</v>
      </c>
      <c r="W91" s="1">
        <f t="shared" si="64"/>
        <v>8.9011999999999891E-4</v>
      </c>
      <c r="X91" s="1">
        <f t="shared" si="65"/>
        <v>180000.00000000003</v>
      </c>
      <c r="Y91" s="1">
        <f t="shared" si="66"/>
        <v>1.6830308608187087E-5</v>
      </c>
      <c r="Z91" s="240">
        <f t="shared" si="57"/>
        <v>1.6830308608187087E-5</v>
      </c>
      <c r="AA91" s="240">
        <f t="shared" si="58"/>
        <v>5.6097062682931029E-4</v>
      </c>
      <c r="AB91" s="1">
        <f t="shared" si="71"/>
        <v>0</v>
      </c>
      <c r="AC91" s="248">
        <f t="shared" si="67"/>
        <v>-2.0194942565855169E-2</v>
      </c>
      <c r="AD91" s="240"/>
      <c r="AE91" s="243"/>
      <c r="AG91" s="239"/>
      <c r="AH91" s="239"/>
      <c r="AI91" s="239"/>
      <c r="AM91" s="240"/>
    </row>
    <row r="92" spans="1:39">
      <c r="A92" s="241">
        <f t="shared" si="29"/>
        <v>71</v>
      </c>
      <c r="B92" s="241">
        <f t="shared" si="59"/>
        <v>1</v>
      </c>
      <c r="C92" s="241">
        <f t="shared" si="48"/>
        <v>7.7415841584158401E-2</v>
      </c>
      <c r="D92" s="241">
        <f t="shared" si="49"/>
        <v>4.586970297029703</v>
      </c>
      <c r="E92" s="241">
        <f t="shared" si="60"/>
        <v>19.999999999999982</v>
      </c>
      <c r="F92" s="241">
        <f t="shared" si="61"/>
        <v>14.282856857085692</v>
      </c>
      <c r="G92" s="241">
        <f t="shared" si="32"/>
        <v>160.22159999999982</v>
      </c>
      <c r="H92" s="241">
        <f t="shared" si="50"/>
        <v>314.15999999999946</v>
      </c>
      <c r="I92" s="241">
        <f t="shared" si="51"/>
        <v>160.22159999999982</v>
      </c>
      <c r="J92" s="241">
        <f t="shared" si="52"/>
        <v>314.15999999999946</v>
      </c>
      <c r="K92" s="241">
        <f t="shared" si="33"/>
        <v>153.93839999999963</v>
      </c>
      <c r="L92" s="241">
        <f t="shared" si="62"/>
        <v>13.999999999999984</v>
      </c>
      <c r="M92" s="241">
        <f t="shared" si="53"/>
        <v>2.9999999999999991</v>
      </c>
      <c r="N92" s="241">
        <f t="shared" si="54"/>
        <v>62.831999999999944</v>
      </c>
      <c r="O92" s="241">
        <f t="shared" si="55"/>
        <v>4.8641921584158358E-2</v>
      </c>
      <c r="P92" s="241">
        <f t="shared" si="56"/>
        <v>2.4320960792079157E-3</v>
      </c>
      <c r="Q92" s="241">
        <f t="shared" si="30"/>
        <v>10.155001425351614</v>
      </c>
      <c r="R92" s="241">
        <f t="shared" si="31"/>
        <v>0.12929885482455378</v>
      </c>
      <c r="S92" s="250">
        <f t="shared" si="63"/>
        <v>1.2403690003960381E-3</v>
      </c>
      <c r="T92" s="250">
        <f t="shared" si="68"/>
        <v>7.5085970985362308E-2</v>
      </c>
      <c r="U92" s="250">
        <f t="shared" si="69"/>
        <v>0</v>
      </c>
      <c r="V92" s="250">
        <f t="shared" si="70"/>
        <v>0</v>
      </c>
      <c r="W92" s="1">
        <f t="shared" si="64"/>
        <v>8.9011999999999891E-4</v>
      </c>
      <c r="X92" s="1">
        <f t="shared" si="65"/>
        <v>180000.00000000003</v>
      </c>
      <c r="Y92" s="1">
        <f t="shared" si="66"/>
        <v>1.6914676479102161E-5</v>
      </c>
      <c r="Z92" s="240">
        <f t="shared" si="57"/>
        <v>1.6914676479102161E-5</v>
      </c>
      <c r="AA92" s="240">
        <f t="shared" si="58"/>
        <v>5.441403182211232E-4</v>
      </c>
      <c r="AB92" s="1">
        <f t="shared" si="71"/>
        <v>0</v>
      </c>
      <c r="AC92" s="248">
        <f t="shared" si="67"/>
        <v>-1.9589051455960436E-2</v>
      </c>
      <c r="AD92" s="240"/>
      <c r="AE92" s="243"/>
      <c r="AG92" s="239"/>
      <c r="AH92" s="239"/>
      <c r="AI92" s="239"/>
      <c r="AM92" s="240"/>
    </row>
    <row r="93" spans="1:39">
      <c r="A93" s="241">
        <f t="shared" si="29"/>
        <v>72</v>
      </c>
      <c r="B93" s="241">
        <f t="shared" si="59"/>
        <v>1</v>
      </c>
      <c r="C93" s="241">
        <f t="shared" si="48"/>
        <v>7.7801980198019788E-2</v>
      </c>
      <c r="D93" s="241">
        <f t="shared" si="49"/>
        <v>4.6647722772277227</v>
      </c>
      <c r="E93" s="241">
        <f t="shared" si="60"/>
        <v>19.999999999999982</v>
      </c>
      <c r="F93" s="241">
        <f t="shared" si="61"/>
        <v>14.282856857085692</v>
      </c>
      <c r="G93" s="241">
        <f t="shared" si="32"/>
        <v>160.22159999999982</v>
      </c>
      <c r="H93" s="241">
        <f t="shared" si="50"/>
        <v>314.15999999999946</v>
      </c>
      <c r="I93" s="241">
        <f t="shared" si="51"/>
        <v>160.22159999999982</v>
      </c>
      <c r="J93" s="241">
        <f t="shared" si="52"/>
        <v>314.15999999999946</v>
      </c>
      <c r="K93" s="241">
        <f t="shared" si="33"/>
        <v>153.93839999999963</v>
      </c>
      <c r="L93" s="241">
        <f t="shared" si="62"/>
        <v>13.999999999999984</v>
      </c>
      <c r="M93" s="241">
        <f t="shared" si="53"/>
        <v>2.9999999999999991</v>
      </c>
      <c r="N93" s="241">
        <f t="shared" si="54"/>
        <v>62.831999999999944</v>
      </c>
      <c r="O93" s="241">
        <f t="shared" si="55"/>
        <v>4.8884540198019744E-2</v>
      </c>
      <c r="P93" s="241">
        <f t="shared" si="56"/>
        <v>2.4442270099009852E-3</v>
      </c>
      <c r="Q93" s="241">
        <f t="shared" si="30"/>
        <v>10.203885965549633</v>
      </c>
      <c r="R93" s="241">
        <f t="shared" si="31"/>
        <v>0.13174308183445477</v>
      </c>
      <c r="S93" s="250">
        <f t="shared" si="63"/>
        <v>1.2465557750495034E-3</v>
      </c>
      <c r="T93" s="250">
        <f t="shared" si="68"/>
        <v>7.6332526760411815E-2</v>
      </c>
      <c r="U93" s="250">
        <f t="shared" si="69"/>
        <v>0</v>
      </c>
      <c r="V93" s="250">
        <f t="shared" si="70"/>
        <v>0</v>
      </c>
      <c r="W93" s="1">
        <f t="shared" si="64"/>
        <v>8.9011999999999891E-4</v>
      </c>
      <c r="X93" s="1">
        <f t="shared" si="65"/>
        <v>180000.00000000003</v>
      </c>
      <c r="Y93" s="1">
        <f t="shared" si="66"/>
        <v>1.6999044350017237E-5</v>
      </c>
      <c r="Z93" s="240">
        <f t="shared" si="57"/>
        <v>1.6999044350017237E-5</v>
      </c>
      <c r="AA93" s="240">
        <f t="shared" si="58"/>
        <v>5.2722564174202105E-4</v>
      </c>
      <c r="AB93" s="1">
        <f t="shared" si="71"/>
        <v>0</v>
      </c>
      <c r="AC93" s="248">
        <f t="shared" si="67"/>
        <v>-1.8980123102712756E-2</v>
      </c>
      <c r="AD93" s="240"/>
      <c r="AE93" s="243"/>
      <c r="AG93" s="239"/>
      <c r="AH93" s="239"/>
      <c r="AI93" s="239"/>
      <c r="AM93" s="240"/>
    </row>
    <row r="94" spans="1:39">
      <c r="A94" s="241">
        <f t="shared" si="29"/>
        <v>73</v>
      </c>
      <c r="B94" s="241">
        <f t="shared" si="59"/>
        <v>1</v>
      </c>
      <c r="C94" s="241">
        <f t="shared" si="48"/>
        <v>7.8188118811881174E-2</v>
      </c>
      <c r="D94" s="241">
        <f t="shared" si="49"/>
        <v>4.7429603960396038</v>
      </c>
      <c r="E94" s="241">
        <f t="shared" si="60"/>
        <v>19.999999999999982</v>
      </c>
      <c r="F94" s="241">
        <f t="shared" si="61"/>
        <v>14.282856857085692</v>
      </c>
      <c r="G94" s="241">
        <f t="shared" si="32"/>
        <v>160.22159999999982</v>
      </c>
      <c r="H94" s="241">
        <f t="shared" si="50"/>
        <v>314.15999999999946</v>
      </c>
      <c r="I94" s="241">
        <f t="shared" si="51"/>
        <v>160.22159999999982</v>
      </c>
      <c r="J94" s="241">
        <f t="shared" si="52"/>
        <v>314.15999999999946</v>
      </c>
      <c r="K94" s="241">
        <f t="shared" si="33"/>
        <v>153.93839999999963</v>
      </c>
      <c r="L94" s="241">
        <f t="shared" si="62"/>
        <v>13.999999999999984</v>
      </c>
      <c r="M94" s="241">
        <f t="shared" si="53"/>
        <v>2.9999999999999991</v>
      </c>
      <c r="N94" s="241">
        <f t="shared" si="54"/>
        <v>62.831999999999944</v>
      </c>
      <c r="O94" s="241">
        <f t="shared" si="55"/>
        <v>4.9127158811881129E-2</v>
      </c>
      <c r="P94" s="241">
        <f t="shared" si="56"/>
        <v>2.4563579405940546E-3</v>
      </c>
      <c r="Q94" s="241">
        <f t="shared" si="30"/>
        <v>10.253013124361514</v>
      </c>
      <c r="R94" s="241">
        <f t="shared" si="31"/>
        <v>0.13419943977504883</v>
      </c>
      <c r="S94" s="250">
        <f t="shared" si="63"/>
        <v>1.2527425497029687E-3</v>
      </c>
      <c r="T94" s="250">
        <f t="shared" si="68"/>
        <v>7.7585269310114779E-2</v>
      </c>
      <c r="U94" s="250">
        <f t="shared" si="69"/>
        <v>0</v>
      </c>
      <c r="V94" s="250">
        <f t="shared" si="70"/>
        <v>0</v>
      </c>
      <c r="W94" s="1">
        <f t="shared" si="64"/>
        <v>8.9011999999999891E-4</v>
      </c>
      <c r="X94" s="1">
        <f t="shared" si="65"/>
        <v>180000.00000000003</v>
      </c>
      <c r="Y94" s="1">
        <f t="shared" si="66"/>
        <v>1.7083412220932314E-5</v>
      </c>
      <c r="Z94" s="240">
        <f t="shared" si="57"/>
        <v>1.7083412220932314E-5</v>
      </c>
      <c r="AA94" s="240">
        <f t="shared" si="58"/>
        <v>5.1022659739200383E-4</v>
      </c>
      <c r="AB94" s="1">
        <f t="shared" si="71"/>
        <v>0</v>
      </c>
      <c r="AC94" s="248">
        <f t="shared" si="67"/>
        <v>-1.8368157506112138E-2</v>
      </c>
      <c r="AD94" s="240"/>
      <c r="AE94" s="243"/>
      <c r="AG94" s="239"/>
      <c r="AH94" s="239"/>
      <c r="AI94" s="239"/>
      <c r="AM94" s="240"/>
    </row>
    <row r="95" spans="1:39">
      <c r="A95" s="241">
        <f t="shared" si="29"/>
        <v>74</v>
      </c>
      <c r="B95" s="241">
        <f t="shared" si="59"/>
        <v>1</v>
      </c>
      <c r="C95" s="241">
        <f t="shared" si="48"/>
        <v>7.8574257425742561E-2</v>
      </c>
      <c r="D95" s="241">
        <f t="shared" si="49"/>
        <v>4.8215346534653465</v>
      </c>
      <c r="E95" s="241">
        <f t="shared" si="60"/>
        <v>19.999999999999982</v>
      </c>
      <c r="F95" s="241">
        <f t="shared" si="61"/>
        <v>14.282856857085692</v>
      </c>
      <c r="G95" s="241">
        <f t="shared" si="32"/>
        <v>160.22159999999982</v>
      </c>
      <c r="H95" s="241">
        <f t="shared" si="50"/>
        <v>314.15999999999946</v>
      </c>
      <c r="I95" s="241">
        <f t="shared" si="51"/>
        <v>160.22159999999982</v>
      </c>
      <c r="J95" s="241">
        <f t="shared" si="52"/>
        <v>314.15999999999946</v>
      </c>
      <c r="K95" s="241">
        <f t="shared" si="33"/>
        <v>153.93839999999963</v>
      </c>
      <c r="L95" s="241">
        <f t="shared" si="62"/>
        <v>13.999999999999984</v>
      </c>
      <c r="M95" s="241">
        <f t="shared" si="53"/>
        <v>2.9999999999999991</v>
      </c>
      <c r="N95" s="241">
        <f t="shared" si="54"/>
        <v>62.831999999999944</v>
      </c>
      <c r="O95" s="241">
        <f t="shared" si="55"/>
        <v>4.9369777425742528E-2</v>
      </c>
      <c r="P95" s="241">
        <f t="shared" si="56"/>
        <v>2.4684888712871232E-3</v>
      </c>
      <c r="Q95" s="241">
        <f t="shared" si="30"/>
        <v>10.302382901787256</v>
      </c>
      <c r="R95" s="241">
        <f t="shared" si="31"/>
        <v>0.13666792864633595</v>
      </c>
      <c r="S95" s="250">
        <f t="shared" si="63"/>
        <v>1.2589293243564341E-3</v>
      </c>
      <c r="T95" s="250">
        <f t="shared" si="68"/>
        <v>7.8844198634471216E-2</v>
      </c>
      <c r="U95" s="250">
        <f t="shared" si="69"/>
        <v>0</v>
      </c>
      <c r="V95" s="250">
        <f t="shared" si="70"/>
        <v>0</v>
      </c>
      <c r="W95" s="1">
        <f t="shared" si="64"/>
        <v>8.9011999999999891E-4</v>
      </c>
      <c r="X95" s="1">
        <f t="shared" si="65"/>
        <v>180000.00000000003</v>
      </c>
      <c r="Y95" s="1">
        <f t="shared" si="66"/>
        <v>1.7167780091847391E-5</v>
      </c>
      <c r="Z95" s="240">
        <f t="shared" si="57"/>
        <v>1.7167780091847391E-5</v>
      </c>
      <c r="AA95" s="240">
        <f t="shared" si="58"/>
        <v>4.9314318517107154E-4</v>
      </c>
      <c r="AB95" s="1">
        <f t="shared" si="71"/>
        <v>0</v>
      </c>
      <c r="AC95" s="248">
        <f t="shared" si="67"/>
        <v>-1.7753154666158576E-2</v>
      </c>
      <c r="AD95" s="240"/>
      <c r="AE95" s="243"/>
      <c r="AG95" s="239"/>
      <c r="AH95" s="239"/>
      <c r="AI95" s="239"/>
      <c r="AM95" s="240"/>
    </row>
    <row r="96" spans="1:39">
      <c r="A96" s="241">
        <f t="shared" si="29"/>
        <v>75</v>
      </c>
      <c r="B96" s="241">
        <f t="shared" si="59"/>
        <v>1</v>
      </c>
      <c r="C96" s="241">
        <f t="shared" si="48"/>
        <v>7.8960396039603947E-2</v>
      </c>
      <c r="D96" s="241">
        <f t="shared" si="49"/>
        <v>4.9004950495049506</v>
      </c>
      <c r="E96" s="241">
        <f t="shared" si="60"/>
        <v>19.999999999999982</v>
      </c>
      <c r="F96" s="241">
        <f t="shared" si="61"/>
        <v>14.282856857085692</v>
      </c>
      <c r="G96" s="241">
        <f t="shared" si="32"/>
        <v>160.22159999999982</v>
      </c>
      <c r="H96" s="241">
        <f t="shared" si="50"/>
        <v>314.15999999999946</v>
      </c>
      <c r="I96" s="241">
        <f t="shared" si="51"/>
        <v>160.22159999999982</v>
      </c>
      <c r="J96" s="241">
        <f t="shared" si="52"/>
        <v>314.15999999999946</v>
      </c>
      <c r="K96" s="241">
        <f t="shared" si="33"/>
        <v>153.93839999999963</v>
      </c>
      <c r="L96" s="241">
        <f t="shared" si="62"/>
        <v>13.999999999999984</v>
      </c>
      <c r="M96" s="241">
        <f t="shared" si="53"/>
        <v>2.9999999999999991</v>
      </c>
      <c r="N96" s="241">
        <f t="shared" si="54"/>
        <v>62.831999999999944</v>
      </c>
      <c r="O96" s="241">
        <f t="shared" si="55"/>
        <v>4.9612396039603907E-2</v>
      </c>
      <c r="P96" s="241">
        <f t="shared" si="56"/>
        <v>2.4806198019801935E-3</v>
      </c>
      <c r="Q96" s="241">
        <f t="shared" si="30"/>
        <v>10.351995297826861</v>
      </c>
      <c r="R96" s="241">
        <f t="shared" si="31"/>
        <v>0.13914854844831614</v>
      </c>
      <c r="S96" s="250">
        <f t="shared" si="63"/>
        <v>1.2651160990098994E-3</v>
      </c>
      <c r="T96" s="250">
        <f t="shared" si="68"/>
        <v>8.010931473348111E-2</v>
      </c>
      <c r="U96" s="250">
        <f t="shared" si="69"/>
        <v>0</v>
      </c>
      <c r="V96" s="250">
        <f t="shared" si="70"/>
        <v>0</v>
      </c>
      <c r="W96" s="1">
        <f t="shared" si="64"/>
        <v>8.9011999999999891E-4</v>
      </c>
      <c r="X96" s="1">
        <f t="shared" si="65"/>
        <v>180000.00000000003</v>
      </c>
      <c r="Y96" s="1">
        <f t="shared" si="66"/>
        <v>1.7252147962762465E-5</v>
      </c>
      <c r="Z96" s="240">
        <f t="shared" si="57"/>
        <v>1.7252147962762465E-5</v>
      </c>
      <c r="AA96" s="240">
        <f t="shared" si="58"/>
        <v>4.7597540507922413E-4</v>
      </c>
      <c r="AB96" s="1">
        <f t="shared" si="71"/>
        <v>0</v>
      </c>
      <c r="AC96" s="248">
        <f t="shared" si="67"/>
        <v>-1.7135114582852069E-2</v>
      </c>
      <c r="AD96" s="240"/>
      <c r="AE96" s="243"/>
      <c r="AG96" s="239"/>
      <c r="AH96" s="239"/>
      <c r="AI96" s="239"/>
      <c r="AM96" s="240"/>
    </row>
    <row r="97" spans="1:39">
      <c r="A97" s="241">
        <f t="shared" si="29"/>
        <v>76</v>
      </c>
      <c r="B97" s="241">
        <f t="shared" si="59"/>
        <v>1</v>
      </c>
      <c r="C97" s="241">
        <f t="shared" si="48"/>
        <v>7.9346534653465334E-2</v>
      </c>
      <c r="D97" s="241">
        <f t="shared" si="49"/>
        <v>4.9798415841584163</v>
      </c>
      <c r="E97" s="241">
        <f t="shared" si="60"/>
        <v>19.999999999999982</v>
      </c>
      <c r="F97" s="241">
        <f t="shared" si="61"/>
        <v>14.282856857085692</v>
      </c>
      <c r="G97" s="241">
        <f t="shared" si="32"/>
        <v>160.22159999999982</v>
      </c>
      <c r="H97" s="241">
        <f t="shared" si="50"/>
        <v>314.15999999999946</v>
      </c>
      <c r="I97" s="241">
        <f t="shared" si="51"/>
        <v>160.22159999999982</v>
      </c>
      <c r="J97" s="241">
        <f t="shared" si="52"/>
        <v>314.15999999999946</v>
      </c>
      <c r="K97" s="241">
        <f t="shared" si="33"/>
        <v>153.93839999999963</v>
      </c>
      <c r="L97" s="241">
        <f t="shared" si="62"/>
        <v>13.999999999999984</v>
      </c>
      <c r="M97" s="241">
        <f t="shared" si="53"/>
        <v>2.9999999999999991</v>
      </c>
      <c r="N97" s="241">
        <f t="shared" si="54"/>
        <v>62.831999999999944</v>
      </c>
      <c r="O97" s="241">
        <f t="shared" si="55"/>
        <v>4.9855014653465292E-2</v>
      </c>
      <c r="P97" s="241">
        <f t="shared" si="56"/>
        <v>2.4927507326732625E-3</v>
      </c>
      <c r="Q97" s="241">
        <f t="shared" si="30"/>
        <v>10.401850312480326</v>
      </c>
      <c r="R97" s="241">
        <f t="shared" si="31"/>
        <v>0.14164129918098942</v>
      </c>
      <c r="S97" s="250">
        <f t="shared" si="63"/>
        <v>1.2713028736633647E-3</v>
      </c>
      <c r="T97" s="250">
        <f t="shared" si="68"/>
        <v>8.1380617607144476E-2</v>
      </c>
      <c r="U97" s="250">
        <f t="shared" si="69"/>
        <v>0</v>
      </c>
      <c r="V97" s="250">
        <f t="shared" si="70"/>
        <v>0</v>
      </c>
      <c r="W97" s="1">
        <f t="shared" si="64"/>
        <v>8.9011999999999891E-4</v>
      </c>
      <c r="X97" s="1">
        <f t="shared" si="65"/>
        <v>180000.00000000003</v>
      </c>
      <c r="Y97" s="1">
        <f t="shared" si="66"/>
        <v>1.7336515833677542E-5</v>
      </c>
      <c r="Z97" s="240">
        <f t="shared" si="57"/>
        <v>1.7336515833677542E-5</v>
      </c>
      <c r="AA97" s="240">
        <f t="shared" si="58"/>
        <v>4.5872325711646166E-4</v>
      </c>
      <c r="AB97" s="1">
        <f t="shared" si="71"/>
        <v>0</v>
      </c>
      <c r="AC97" s="248">
        <f t="shared" si="67"/>
        <v>-1.6514037256192618E-2</v>
      </c>
      <c r="AD97" s="240"/>
      <c r="AE97" s="243"/>
      <c r="AG97" s="239"/>
      <c r="AH97" s="239"/>
      <c r="AI97" s="239"/>
      <c r="AM97" s="240"/>
    </row>
    <row r="98" spans="1:39">
      <c r="A98" s="241">
        <f t="shared" si="29"/>
        <v>77</v>
      </c>
      <c r="B98" s="241">
        <f t="shared" si="59"/>
        <v>1</v>
      </c>
      <c r="C98" s="241">
        <f t="shared" si="48"/>
        <v>7.973267326732672E-2</v>
      </c>
      <c r="D98" s="241">
        <f t="shared" si="49"/>
        <v>5.0595742574257425</v>
      </c>
      <c r="E98" s="241">
        <f t="shared" si="60"/>
        <v>19.999999999999982</v>
      </c>
      <c r="F98" s="241">
        <f t="shared" si="61"/>
        <v>14.282856857085692</v>
      </c>
      <c r="G98" s="241">
        <f t="shared" si="32"/>
        <v>160.22159999999982</v>
      </c>
      <c r="H98" s="241">
        <f t="shared" si="50"/>
        <v>314.15999999999946</v>
      </c>
      <c r="I98" s="241">
        <f t="shared" si="51"/>
        <v>160.22159999999982</v>
      </c>
      <c r="J98" s="241">
        <f t="shared" si="52"/>
        <v>314.15999999999946</v>
      </c>
      <c r="K98" s="241">
        <f t="shared" si="33"/>
        <v>153.93839999999963</v>
      </c>
      <c r="L98" s="241">
        <f t="shared" si="62"/>
        <v>13.999999999999984</v>
      </c>
      <c r="M98" s="241">
        <f t="shared" si="53"/>
        <v>2.9999999999999991</v>
      </c>
      <c r="N98" s="241">
        <f t="shared" si="54"/>
        <v>62.831999999999944</v>
      </c>
      <c r="O98" s="241">
        <f t="shared" si="55"/>
        <v>5.0097633267326677E-2</v>
      </c>
      <c r="P98" s="241">
        <f t="shared" si="56"/>
        <v>2.5048816633663315E-3</v>
      </c>
      <c r="Q98" s="241">
        <f t="shared" si="30"/>
        <v>10.451947945747653</v>
      </c>
      <c r="R98" s="241">
        <f t="shared" si="31"/>
        <v>0.14414618084435574</v>
      </c>
      <c r="S98" s="250">
        <f t="shared" si="63"/>
        <v>1.2774896483168301E-3</v>
      </c>
      <c r="T98" s="250">
        <f t="shared" si="68"/>
        <v>8.2658107255461299E-2</v>
      </c>
      <c r="U98" s="250">
        <f t="shared" si="69"/>
        <v>0</v>
      </c>
      <c r="V98" s="250">
        <f t="shared" si="70"/>
        <v>0</v>
      </c>
      <c r="W98" s="1">
        <f t="shared" si="64"/>
        <v>8.9011999999999891E-4</v>
      </c>
      <c r="X98" s="1">
        <f t="shared" si="65"/>
        <v>180000.00000000003</v>
      </c>
      <c r="Y98" s="1">
        <f t="shared" si="66"/>
        <v>1.7420883704592625E-5</v>
      </c>
      <c r="Z98" s="240">
        <f t="shared" si="57"/>
        <v>1.7420883704592625E-5</v>
      </c>
      <c r="AA98" s="240">
        <f t="shared" si="58"/>
        <v>4.4138674128278412E-4</v>
      </c>
      <c r="AB98" s="1">
        <f t="shared" si="71"/>
        <v>0</v>
      </c>
      <c r="AC98" s="248">
        <f t="shared" si="67"/>
        <v>-1.5889922686180228E-2</v>
      </c>
      <c r="AD98" s="240"/>
      <c r="AE98" s="243"/>
      <c r="AG98" s="239"/>
      <c r="AH98" s="239"/>
      <c r="AI98" s="239"/>
      <c r="AM98" s="240"/>
    </row>
    <row r="99" spans="1:39">
      <c r="A99" s="241">
        <f t="shared" ref="A99:A121" si="72">A98+1</f>
        <v>78</v>
      </c>
      <c r="B99" s="241">
        <f t="shared" si="59"/>
        <v>1</v>
      </c>
      <c r="C99" s="241">
        <f t="shared" si="48"/>
        <v>8.0118811881188107E-2</v>
      </c>
      <c r="D99" s="241">
        <f t="shared" si="49"/>
        <v>5.1396930693069312</v>
      </c>
      <c r="E99" s="241">
        <f t="shared" si="60"/>
        <v>19.999999999999982</v>
      </c>
      <c r="F99" s="241">
        <f t="shared" si="61"/>
        <v>14.282856857085692</v>
      </c>
      <c r="G99" s="241">
        <f t="shared" si="32"/>
        <v>160.22159999999982</v>
      </c>
      <c r="H99" s="241">
        <f t="shared" si="50"/>
        <v>314.15999999999946</v>
      </c>
      <c r="I99" s="241">
        <f t="shared" si="51"/>
        <v>160.22159999999982</v>
      </c>
      <c r="J99" s="241">
        <f t="shared" si="52"/>
        <v>314.15999999999946</v>
      </c>
      <c r="K99" s="241">
        <f t="shared" si="33"/>
        <v>153.93839999999963</v>
      </c>
      <c r="L99" s="241">
        <f t="shared" si="62"/>
        <v>13.999999999999984</v>
      </c>
      <c r="M99" s="241">
        <f t="shared" si="53"/>
        <v>2.9999999999999991</v>
      </c>
      <c r="N99" s="241">
        <f t="shared" si="54"/>
        <v>62.831999999999944</v>
      </c>
      <c r="O99" s="241">
        <f t="shared" si="55"/>
        <v>5.0340251881188063E-2</v>
      </c>
      <c r="P99" s="241">
        <f t="shared" si="56"/>
        <v>2.5170125940594014E-3</v>
      </c>
      <c r="Q99" s="241">
        <f t="shared" si="30"/>
        <v>10.502288197628841</v>
      </c>
      <c r="R99" s="241">
        <f t="shared" si="31"/>
        <v>0.14666319343841513</v>
      </c>
      <c r="S99" s="250">
        <f t="shared" si="63"/>
        <v>1.2836764229702956E-3</v>
      </c>
      <c r="T99" s="250">
        <f t="shared" si="68"/>
        <v>8.3941783678431595E-2</v>
      </c>
      <c r="U99" s="250">
        <f t="shared" si="69"/>
        <v>0</v>
      </c>
      <c r="V99" s="250">
        <f t="shared" si="70"/>
        <v>0</v>
      </c>
      <c r="W99" s="1">
        <f t="shared" si="64"/>
        <v>8.9011999999999891E-4</v>
      </c>
      <c r="X99" s="1">
        <f t="shared" si="65"/>
        <v>180000.00000000003</v>
      </c>
      <c r="Y99" s="1">
        <f t="shared" si="66"/>
        <v>1.7505251575507702E-5</v>
      </c>
      <c r="Z99" s="240">
        <f t="shared" si="57"/>
        <v>1.7505251575507702E-5</v>
      </c>
      <c r="AA99" s="240">
        <f t="shared" si="58"/>
        <v>4.2396585757819151E-4</v>
      </c>
      <c r="AB99" s="1">
        <f t="shared" si="71"/>
        <v>0</v>
      </c>
      <c r="AC99" s="248">
        <f t="shared" si="67"/>
        <v>-1.5262770872814895E-2</v>
      </c>
      <c r="AD99" s="240"/>
      <c r="AE99" s="243"/>
      <c r="AG99" s="239"/>
      <c r="AH99" s="239"/>
      <c r="AI99" s="239"/>
      <c r="AM99" s="240"/>
    </row>
    <row r="100" spans="1:39">
      <c r="A100" s="241">
        <f t="shared" si="72"/>
        <v>79</v>
      </c>
      <c r="B100" s="241">
        <f t="shared" si="59"/>
        <v>1</v>
      </c>
      <c r="C100" s="241">
        <f t="shared" si="48"/>
        <v>8.0504950495049493E-2</v>
      </c>
      <c r="D100" s="241">
        <f t="shared" si="49"/>
        <v>5.2201980198019804</v>
      </c>
      <c r="E100" s="241">
        <f t="shared" si="60"/>
        <v>19.999999999999982</v>
      </c>
      <c r="F100" s="241">
        <f t="shared" si="61"/>
        <v>14.282856857085692</v>
      </c>
      <c r="G100" s="241">
        <f t="shared" si="32"/>
        <v>160.22159999999982</v>
      </c>
      <c r="H100" s="241">
        <f t="shared" si="50"/>
        <v>314.15999999999946</v>
      </c>
      <c r="I100" s="241">
        <f t="shared" si="51"/>
        <v>160.22159999999982</v>
      </c>
      <c r="J100" s="241">
        <f t="shared" si="52"/>
        <v>314.15999999999946</v>
      </c>
      <c r="K100" s="241">
        <f t="shared" si="33"/>
        <v>153.93839999999963</v>
      </c>
      <c r="L100" s="241">
        <f t="shared" si="62"/>
        <v>13.999999999999984</v>
      </c>
      <c r="M100" s="241">
        <f t="shared" si="53"/>
        <v>2.9999999999999991</v>
      </c>
      <c r="N100" s="241">
        <f t="shared" si="54"/>
        <v>62.831999999999944</v>
      </c>
      <c r="O100" s="241">
        <f t="shared" si="55"/>
        <v>5.0582870495049448E-2</v>
      </c>
      <c r="P100" s="241">
        <f t="shared" si="56"/>
        <v>2.52914352475247E-3</v>
      </c>
      <c r="Q100" s="241">
        <f t="shared" si="30"/>
        <v>10.55287106812389</v>
      </c>
      <c r="R100" s="241">
        <f t="shared" si="31"/>
        <v>0.14919233696316761</v>
      </c>
      <c r="S100" s="250">
        <f t="shared" si="63"/>
        <v>1.2898631976237609E-3</v>
      </c>
      <c r="T100" s="250">
        <f t="shared" si="68"/>
        <v>8.5231646876055361E-2</v>
      </c>
      <c r="U100" s="250">
        <f t="shared" si="69"/>
        <v>0</v>
      </c>
      <c r="V100" s="250">
        <f t="shared" si="70"/>
        <v>0</v>
      </c>
      <c r="W100" s="1">
        <f t="shared" si="64"/>
        <v>8.9011999999999891E-4</v>
      </c>
      <c r="X100" s="1">
        <f t="shared" si="65"/>
        <v>180000.00000000003</v>
      </c>
      <c r="Y100" s="1">
        <f t="shared" si="66"/>
        <v>1.7589619446422776E-5</v>
      </c>
      <c r="Z100" s="240">
        <f t="shared" si="57"/>
        <v>1.7589619446422776E-5</v>
      </c>
      <c r="AA100" s="240">
        <f t="shared" si="58"/>
        <v>4.0646060600268383E-4</v>
      </c>
      <c r="AB100" s="1">
        <f t="shared" si="71"/>
        <v>0</v>
      </c>
      <c r="AC100" s="248">
        <f t="shared" si="67"/>
        <v>-1.4632581816096618E-2</v>
      </c>
      <c r="AD100" s="240"/>
      <c r="AE100" s="243"/>
      <c r="AG100" s="239"/>
      <c r="AH100" s="239"/>
      <c r="AI100" s="239"/>
      <c r="AM100" s="240"/>
    </row>
    <row r="101" spans="1:39">
      <c r="A101" s="241">
        <f t="shared" si="72"/>
        <v>80</v>
      </c>
      <c r="B101" s="241">
        <f t="shared" si="59"/>
        <v>1</v>
      </c>
      <c r="C101" s="241">
        <f t="shared" si="48"/>
        <v>8.089108910891088E-2</v>
      </c>
      <c r="D101" s="241">
        <f t="shared" si="49"/>
        <v>5.3010891089108911</v>
      </c>
      <c r="E101" s="241">
        <f t="shared" si="60"/>
        <v>19.999999999999982</v>
      </c>
      <c r="F101" s="241">
        <f t="shared" si="61"/>
        <v>14.282856857085692</v>
      </c>
      <c r="G101" s="241">
        <f t="shared" si="32"/>
        <v>160.22159999999982</v>
      </c>
      <c r="H101" s="241">
        <f t="shared" si="50"/>
        <v>314.15999999999946</v>
      </c>
      <c r="I101" s="241">
        <f t="shared" si="51"/>
        <v>160.22159999999982</v>
      </c>
      <c r="J101" s="241">
        <f t="shared" si="52"/>
        <v>314.15999999999946</v>
      </c>
      <c r="K101" s="241">
        <f t="shared" si="33"/>
        <v>153.93839999999963</v>
      </c>
      <c r="L101" s="241">
        <f t="shared" si="62"/>
        <v>13.999999999999984</v>
      </c>
      <c r="M101" s="241">
        <f t="shared" si="53"/>
        <v>2.9999999999999991</v>
      </c>
      <c r="N101" s="241">
        <f t="shared" si="54"/>
        <v>62.831999999999944</v>
      </c>
      <c r="O101" s="241">
        <f t="shared" si="55"/>
        <v>5.0825489108910833E-2</v>
      </c>
      <c r="P101" s="241">
        <f t="shared" si="56"/>
        <v>2.5412744554455398E-3</v>
      </c>
      <c r="Q101" s="241">
        <f t="shared" si="30"/>
        <v>10.603696557232801</v>
      </c>
      <c r="R101" s="241">
        <f t="shared" si="31"/>
        <v>0.15173361141861316</v>
      </c>
      <c r="S101" s="250">
        <f t="shared" si="63"/>
        <v>1.2960499722772263E-3</v>
      </c>
      <c r="T101" s="250">
        <f t="shared" si="68"/>
        <v>8.6527696848332586E-2</v>
      </c>
      <c r="U101" s="250">
        <f t="shared" si="69"/>
        <v>0</v>
      </c>
      <c r="V101" s="250">
        <f t="shared" si="70"/>
        <v>0</v>
      </c>
      <c r="W101" s="1">
        <f t="shared" si="64"/>
        <v>8.9011999999999891E-4</v>
      </c>
      <c r="X101" s="1">
        <f t="shared" si="65"/>
        <v>180000.00000000003</v>
      </c>
      <c r="Y101" s="1">
        <f t="shared" si="66"/>
        <v>1.7673987317337853E-5</v>
      </c>
      <c r="Z101" s="240">
        <f t="shared" si="57"/>
        <v>1.7673987317337853E-5</v>
      </c>
      <c r="AA101" s="240">
        <f t="shared" si="58"/>
        <v>3.8887098655626104E-4</v>
      </c>
      <c r="AB101" s="1">
        <f t="shared" si="71"/>
        <v>0</v>
      </c>
      <c r="AC101" s="248">
        <f t="shared" si="67"/>
        <v>-1.3999355516025398E-2</v>
      </c>
      <c r="AD101" s="240"/>
      <c r="AE101" s="243"/>
      <c r="AG101" s="239"/>
      <c r="AH101" s="239"/>
      <c r="AI101" s="239"/>
      <c r="AM101" s="240"/>
    </row>
    <row r="102" spans="1:39">
      <c r="A102" s="241">
        <f t="shared" si="72"/>
        <v>81</v>
      </c>
      <c r="B102" s="241">
        <f t="shared" si="59"/>
        <v>1</v>
      </c>
      <c r="C102" s="241">
        <f t="shared" si="48"/>
        <v>8.1277227722772266E-2</v>
      </c>
      <c r="D102" s="241">
        <f t="shared" si="49"/>
        <v>5.3823663366336634</v>
      </c>
      <c r="E102" s="241">
        <f t="shared" si="60"/>
        <v>19.999999999999982</v>
      </c>
      <c r="F102" s="241">
        <f t="shared" si="61"/>
        <v>14.282856857085692</v>
      </c>
      <c r="G102" s="241">
        <f t="shared" si="32"/>
        <v>160.22159999999982</v>
      </c>
      <c r="H102" s="241">
        <f t="shared" si="50"/>
        <v>314.15999999999946</v>
      </c>
      <c r="I102" s="241">
        <f t="shared" si="51"/>
        <v>160.22159999999982</v>
      </c>
      <c r="J102" s="241">
        <f t="shared" si="52"/>
        <v>314.15999999999946</v>
      </c>
      <c r="K102" s="241">
        <f t="shared" si="33"/>
        <v>153.93839999999963</v>
      </c>
      <c r="L102" s="241">
        <f t="shared" si="62"/>
        <v>13.999999999999984</v>
      </c>
      <c r="M102" s="241">
        <f t="shared" si="53"/>
        <v>2.9999999999999991</v>
      </c>
      <c r="N102" s="241">
        <f t="shared" si="54"/>
        <v>62.831999999999944</v>
      </c>
      <c r="O102" s="241">
        <f t="shared" si="55"/>
        <v>5.1068107722772232E-2</v>
      </c>
      <c r="P102" s="241">
        <f t="shared" si="56"/>
        <v>2.5534053861386093E-3</v>
      </c>
      <c r="Q102" s="241">
        <f t="shared" si="30"/>
        <v>10.654764664955573</v>
      </c>
      <c r="R102" s="241">
        <f t="shared" si="31"/>
        <v>0.15428701680475176</v>
      </c>
      <c r="S102" s="250">
        <f t="shared" si="63"/>
        <v>1.3022367469306916E-3</v>
      </c>
      <c r="T102" s="250">
        <f t="shared" si="68"/>
        <v>8.7829933595263282E-2</v>
      </c>
      <c r="U102" s="250">
        <f t="shared" si="69"/>
        <v>0</v>
      </c>
      <c r="V102" s="250">
        <f t="shared" si="70"/>
        <v>0</v>
      </c>
      <c r="W102" s="1">
        <f t="shared" si="64"/>
        <v>8.9011999999999891E-4</v>
      </c>
      <c r="X102" s="1">
        <f t="shared" si="65"/>
        <v>180000.00000000003</v>
      </c>
      <c r="Y102" s="1">
        <f t="shared" si="66"/>
        <v>1.775835518825293E-5</v>
      </c>
      <c r="Z102" s="240">
        <f t="shared" si="57"/>
        <v>1.775835518825293E-5</v>
      </c>
      <c r="AA102" s="240">
        <f t="shared" si="58"/>
        <v>3.7119699923892317E-4</v>
      </c>
      <c r="AB102" s="1">
        <f t="shared" si="71"/>
        <v>0</v>
      </c>
      <c r="AC102" s="248">
        <f t="shared" si="67"/>
        <v>-1.3363091972601234E-2</v>
      </c>
      <c r="AD102" s="240"/>
      <c r="AE102" s="243"/>
      <c r="AG102" s="239"/>
      <c r="AH102" s="239"/>
      <c r="AI102" s="239"/>
      <c r="AM102" s="240"/>
    </row>
    <row r="103" spans="1:39">
      <c r="A103" s="241">
        <f t="shared" si="72"/>
        <v>82</v>
      </c>
      <c r="B103" s="241">
        <f t="shared" si="59"/>
        <v>1</v>
      </c>
      <c r="C103" s="241">
        <f t="shared" si="48"/>
        <v>8.1663366336633653E-2</v>
      </c>
      <c r="D103" s="241">
        <f t="shared" si="49"/>
        <v>5.4640297029702971</v>
      </c>
      <c r="E103" s="241">
        <f t="shared" si="60"/>
        <v>19.999999999999982</v>
      </c>
      <c r="F103" s="241">
        <f t="shared" si="61"/>
        <v>14.282856857085692</v>
      </c>
      <c r="G103" s="241">
        <f t="shared" si="32"/>
        <v>160.22159999999982</v>
      </c>
      <c r="H103" s="241">
        <f t="shared" si="50"/>
        <v>314.15999999999946</v>
      </c>
      <c r="I103" s="241">
        <f t="shared" si="51"/>
        <v>160.22159999999982</v>
      </c>
      <c r="J103" s="241">
        <f t="shared" si="52"/>
        <v>314.15999999999946</v>
      </c>
      <c r="K103" s="241">
        <f t="shared" si="33"/>
        <v>153.93839999999963</v>
      </c>
      <c r="L103" s="241">
        <f t="shared" si="62"/>
        <v>13.999999999999984</v>
      </c>
      <c r="M103" s="241">
        <f t="shared" si="53"/>
        <v>2.9999999999999991</v>
      </c>
      <c r="N103" s="241">
        <f t="shared" si="54"/>
        <v>62.831999999999944</v>
      </c>
      <c r="O103" s="241">
        <f t="shared" si="55"/>
        <v>5.1310726336633611E-2</v>
      </c>
      <c r="P103" s="241">
        <f t="shared" si="56"/>
        <v>2.5655363168316783E-3</v>
      </c>
      <c r="Q103" s="241">
        <f t="shared" si="30"/>
        <v>10.706075391292208</v>
      </c>
      <c r="R103" s="241">
        <f t="shared" si="31"/>
        <v>0.15685255312158344</v>
      </c>
      <c r="S103" s="250">
        <f t="shared" si="63"/>
        <v>1.3084235215841569E-3</v>
      </c>
      <c r="T103" s="250">
        <f t="shared" si="68"/>
        <v>8.9138357116847436E-2</v>
      </c>
      <c r="U103" s="250">
        <f t="shared" si="69"/>
        <v>0</v>
      </c>
      <c r="V103" s="250">
        <f t="shared" si="70"/>
        <v>0</v>
      </c>
      <c r="W103" s="1">
        <f t="shared" si="64"/>
        <v>8.9011999999999891E-4</v>
      </c>
      <c r="X103" s="1">
        <f t="shared" si="65"/>
        <v>180000.00000000003</v>
      </c>
      <c r="Y103" s="1">
        <f t="shared" si="66"/>
        <v>1.7842723059168007E-5</v>
      </c>
      <c r="Z103" s="240">
        <f t="shared" si="57"/>
        <v>1.7842723059168007E-5</v>
      </c>
      <c r="AA103" s="240">
        <f t="shared" si="58"/>
        <v>3.5343864405067024E-4</v>
      </c>
      <c r="AB103" s="1">
        <f t="shared" si="71"/>
        <v>0</v>
      </c>
      <c r="AC103" s="248">
        <f t="shared" si="67"/>
        <v>-1.2723791185824129E-2</v>
      </c>
      <c r="AD103" s="240"/>
      <c r="AE103" s="243"/>
      <c r="AG103" s="239"/>
      <c r="AH103" s="239"/>
      <c r="AI103" s="239"/>
      <c r="AM103" s="240"/>
    </row>
    <row r="104" spans="1:39">
      <c r="A104" s="241">
        <f t="shared" si="72"/>
        <v>83</v>
      </c>
      <c r="B104" s="241">
        <f t="shared" si="59"/>
        <v>1</v>
      </c>
      <c r="C104" s="241">
        <f t="shared" si="48"/>
        <v>8.2049504950495039E-2</v>
      </c>
      <c r="D104" s="241">
        <f t="shared" si="49"/>
        <v>5.5460792079207923</v>
      </c>
      <c r="E104" s="241">
        <f t="shared" si="60"/>
        <v>19.999999999999982</v>
      </c>
      <c r="F104" s="241">
        <f t="shared" si="61"/>
        <v>14.282856857085692</v>
      </c>
      <c r="G104" s="241">
        <f t="shared" si="32"/>
        <v>160.22159999999982</v>
      </c>
      <c r="H104" s="241">
        <f t="shared" si="50"/>
        <v>314.15999999999946</v>
      </c>
      <c r="I104" s="241">
        <f t="shared" si="51"/>
        <v>160.22159999999982</v>
      </c>
      <c r="J104" s="241">
        <f t="shared" si="52"/>
        <v>314.15999999999946</v>
      </c>
      <c r="K104" s="241">
        <f t="shared" si="33"/>
        <v>153.93839999999963</v>
      </c>
      <c r="L104" s="241">
        <f t="shared" si="62"/>
        <v>13.999999999999984</v>
      </c>
      <c r="M104" s="241">
        <f t="shared" si="53"/>
        <v>2.9999999999999991</v>
      </c>
      <c r="N104" s="241">
        <f t="shared" si="54"/>
        <v>62.831999999999944</v>
      </c>
      <c r="O104" s="241">
        <f t="shared" si="55"/>
        <v>5.1553344950494989E-2</v>
      </c>
      <c r="P104" s="241">
        <f t="shared" si="56"/>
        <v>2.5776672475247477E-3</v>
      </c>
      <c r="Q104" s="241">
        <f t="shared" si="30"/>
        <v>10.757628736242703</v>
      </c>
      <c r="R104" s="241">
        <f t="shared" si="31"/>
        <v>0.1594302203691082</v>
      </c>
      <c r="S104" s="250">
        <f t="shared" si="63"/>
        <v>1.3146102962376222E-3</v>
      </c>
      <c r="T104" s="250">
        <f t="shared" si="68"/>
        <v>9.0452967413085061E-2</v>
      </c>
      <c r="U104" s="250">
        <f t="shared" si="69"/>
        <v>0</v>
      </c>
      <c r="V104" s="250">
        <f t="shared" si="70"/>
        <v>0</v>
      </c>
      <c r="W104" s="1">
        <f t="shared" si="64"/>
        <v>8.9011999999999891E-4</v>
      </c>
      <c r="X104" s="1">
        <f t="shared" si="65"/>
        <v>180000.00000000003</v>
      </c>
      <c r="Y104" s="1">
        <f t="shared" si="66"/>
        <v>1.792709093008308E-5</v>
      </c>
      <c r="Z104" s="240">
        <f t="shared" si="57"/>
        <v>1.792709093008308E-5</v>
      </c>
      <c r="AA104" s="240">
        <f t="shared" si="58"/>
        <v>3.3559592099150225E-4</v>
      </c>
      <c r="AB104" s="1">
        <f t="shared" si="71"/>
        <v>0</v>
      </c>
      <c r="AC104" s="248">
        <f t="shared" si="67"/>
        <v>-1.2081453155694082E-2</v>
      </c>
      <c r="AD104" s="240"/>
      <c r="AE104" s="243"/>
      <c r="AG104" s="239"/>
      <c r="AH104" s="239"/>
      <c r="AI104" s="239"/>
      <c r="AM104" s="240"/>
    </row>
    <row r="105" spans="1:39">
      <c r="A105" s="241">
        <f t="shared" si="72"/>
        <v>84</v>
      </c>
      <c r="B105" s="241">
        <f t="shared" si="59"/>
        <v>1</v>
      </c>
      <c r="C105" s="241">
        <f t="shared" si="48"/>
        <v>8.2435643564356426E-2</v>
      </c>
      <c r="D105" s="241">
        <f t="shared" si="49"/>
        <v>5.6285148514851491</v>
      </c>
      <c r="E105" s="241">
        <f t="shared" si="60"/>
        <v>19.999999999999982</v>
      </c>
      <c r="F105" s="241">
        <f t="shared" si="61"/>
        <v>14.282856857085692</v>
      </c>
      <c r="G105" s="241">
        <f t="shared" si="32"/>
        <v>160.22159999999982</v>
      </c>
      <c r="H105" s="241">
        <f t="shared" si="50"/>
        <v>314.15999999999946</v>
      </c>
      <c r="I105" s="241">
        <f t="shared" si="51"/>
        <v>160.22159999999982</v>
      </c>
      <c r="J105" s="241">
        <f t="shared" si="52"/>
        <v>314.15999999999946</v>
      </c>
      <c r="K105" s="241">
        <f t="shared" si="33"/>
        <v>153.93839999999963</v>
      </c>
      <c r="L105" s="241">
        <f t="shared" si="62"/>
        <v>13.999999999999984</v>
      </c>
      <c r="M105" s="241">
        <f t="shared" si="53"/>
        <v>2.9999999999999991</v>
      </c>
      <c r="N105" s="241">
        <f t="shared" si="54"/>
        <v>62.831999999999944</v>
      </c>
      <c r="O105" s="241">
        <f t="shared" si="55"/>
        <v>5.1795963564356381E-2</v>
      </c>
      <c r="P105" s="241">
        <f t="shared" si="56"/>
        <v>2.5897981782178167E-3</v>
      </c>
      <c r="Q105" s="241">
        <f t="shared" si="30"/>
        <v>10.809424699807058</v>
      </c>
      <c r="R105" s="241">
        <f t="shared" si="31"/>
        <v>0.16202001854732601</v>
      </c>
      <c r="S105" s="250">
        <f t="shared" si="63"/>
        <v>1.3207970708910876E-3</v>
      </c>
      <c r="T105" s="250">
        <f t="shared" si="68"/>
        <v>9.1773764483976145E-2</v>
      </c>
      <c r="U105" s="250">
        <f t="shared" si="69"/>
        <v>0</v>
      </c>
      <c r="V105" s="250">
        <f t="shared" si="70"/>
        <v>0</v>
      </c>
      <c r="W105" s="1">
        <f t="shared" si="64"/>
        <v>8.9011999999999891E-4</v>
      </c>
      <c r="X105" s="1">
        <f t="shared" si="65"/>
        <v>180000.00000000003</v>
      </c>
      <c r="Y105" s="1">
        <f t="shared" si="66"/>
        <v>1.801145880099816E-5</v>
      </c>
      <c r="Z105" s="240">
        <f t="shared" si="57"/>
        <v>1.801145880099816E-5</v>
      </c>
      <c r="AA105" s="240">
        <f t="shared" si="58"/>
        <v>3.1766883006141918E-4</v>
      </c>
      <c r="AB105" s="1">
        <f t="shared" si="71"/>
        <v>0</v>
      </c>
      <c r="AC105" s="248">
        <f t="shared" si="67"/>
        <v>-1.143607788221109E-2</v>
      </c>
      <c r="AD105" s="240"/>
      <c r="AE105" s="243"/>
      <c r="AG105" s="239"/>
      <c r="AH105" s="239"/>
      <c r="AI105" s="239"/>
      <c r="AM105" s="240"/>
    </row>
    <row r="106" spans="1:39">
      <c r="A106" s="241">
        <f t="shared" si="72"/>
        <v>85</v>
      </c>
      <c r="B106" s="241">
        <f t="shared" si="59"/>
        <v>1</v>
      </c>
      <c r="C106" s="241">
        <f t="shared" si="48"/>
        <v>8.2821782178217812E-2</v>
      </c>
      <c r="D106" s="241">
        <f t="shared" si="49"/>
        <v>5.7113366336633664</v>
      </c>
      <c r="E106" s="241">
        <f t="shared" si="60"/>
        <v>19.999999999999982</v>
      </c>
      <c r="F106" s="241">
        <f t="shared" si="61"/>
        <v>14.282856857085692</v>
      </c>
      <c r="G106" s="241">
        <f t="shared" si="32"/>
        <v>160.22159999999982</v>
      </c>
      <c r="H106" s="241">
        <f t="shared" si="50"/>
        <v>314.15999999999946</v>
      </c>
      <c r="I106" s="241">
        <f t="shared" si="51"/>
        <v>160.22159999999982</v>
      </c>
      <c r="J106" s="241">
        <f t="shared" si="52"/>
        <v>314.15999999999946</v>
      </c>
      <c r="K106" s="241">
        <f t="shared" si="33"/>
        <v>153.93839999999963</v>
      </c>
      <c r="L106" s="241">
        <f t="shared" si="62"/>
        <v>13.999999999999984</v>
      </c>
      <c r="M106" s="241">
        <f t="shared" si="53"/>
        <v>2.9999999999999991</v>
      </c>
      <c r="N106" s="241">
        <f t="shared" si="54"/>
        <v>62.831999999999944</v>
      </c>
      <c r="O106" s="241">
        <f t="shared" si="55"/>
        <v>5.2038582178217767E-2</v>
      </c>
      <c r="P106" s="241">
        <f t="shared" si="56"/>
        <v>2.6019291089108862E-3</v>
      </c>
      <c r="Q106" s="241">
        <f t="shared" si="30"/>
        <v>10.861463281985277</v>
      </c>
      <c r="R106" s="241">
        <f t="shared" si="31"/>
        <v>0.16462194765623689</v>
      </c>
      <c r="S106" s="250">
        <f t="shared" si="63"/>
        <v>1.3269838455445529E-3</v>
      </c>
      <c r="T106" s="250">
        <f t="shared" si="68"/>
        <v>9.3100748329520699E-2</v>
      </c>
      <c r="U106" s="250">
        <f t="shared" si="69"/>
        <v>0</v>
      </c>
      <c r="V106" s="250">
        <f t="shared" si="70"/>
        <v>0</v>
      </c>
      <c r="W106" s="1">
        <f t="shared" si="64"/>
        <v>8.9011999999999891E-4</v>
      </c>
      <c r="X106" s="1">
        <f t="shared" si="65"/>
        <v>180000.00000000003</v>
      </c>
      <c r="Y106" s="1">
        <f t="shared" si="66"/>
        <v>1.8095826671913237E-5</v>
      </c>
      <c r="Z106" s="240">
        <f t="shared" si="57"/>
        <v>1.8095826671913237E-5</v>
      </c>
      <c r="AA106" s="240">
        <f t="shared" si="58"/>
        <v>2.99657371260421E-4</v>
      </c>
      <c r="AB106" s="1">
        <f t="shared" si="71"/>
        <v>0</v>
      </c>
      <c r="AC106" s="248">
        <f t="shared" si="67"/>
        <v>-1.0787665365375156E-2</v>
      </c>
      <c r="AD106" s="240"/>
      <c r="AE106" s="243"/>
      <c r="AG106" s="239"/>
      <c r="AH106" s="239"/>
      <c r="AI106" s="239"/>
      <c r="AM106" s="240"/>
    </row>
    <row r="107" spans="1:39">
      <c r="A107" s="241">
        <f t="shared" si="72"/>
        <v>86</v>
      </c>
      <c r="B107" s="241">
        <f t="shared" si="59"/>
        <v>1</v>
      </c>
      <c r="C107" s="241">
        <f t="shared" si="48"/>
        <v>8.3207920792079199E-2</v>
      </c>
      <c r="D107" s="241">
        <f t="shared" si="49"/>
        <v>5.7945445544554461</v>
      </c>
      <c r="E107" s="241">
        <f t="shared" si="60"/>
        <v>19.999999999999982</v>
      </c>
      <c r="F107" s="241">
        <f t="shared" si="61"/>
        <v>14.282856857085692</v>
      </c>
      <c r="G107" s="241">
        <f t="shared" si="32"/>
        <v>160.22159999999982</v>
      </c>
      <c r="H107" s="241">
        <f t="shared" si="50"/>
        <v>314.15999999999946</v>
      </c>
      <c r="I107" s="241">
        <f t="shared" si="51"/>
        <v>160.22159999999982</v>
      </c>
      <c r="J107" s="241">
        <f t="shared" si="52"/>
        <v>314.15999999999946</v>
      </c>
      <c r="K107" s="241">
        <f t="shared" si="33"/>
        <v>153.93839999999963</v>
      </c>
      <c r="L107" s="241">
        <f t="shared" si="62"/>
        <v>13.999999999999984</v>
      </c>
      <c r="M107" s="241">
        <f t="shared" si="53"/>
        <v>2.9999999999999991</v>
      </c>
      <c r="N107" s="241">
        <f t="shared" si="54"/>
        <v>62.831999999999944</v>
      </c>
      <c r="O107" s="241">
        <f t="shared" si="55"/>
        <v>5.2281200792079152E-2</v>
      </c>
      <c r="P107" s="241">
        <f t="shared" si="56"/>
        <v>2.6140600396039556E-3</v>
      </c>
      <c r="Q107" s="241">
        <f t="shared" si="30"/>
        <v>10.913744482777355</v>
      </c>
      <c r="R107" s="241">
        <f t="shared" si="31"/>
        <v>0.16723600769584085</v>
      </c>
      <c r="S107" s="250">
        <f t="shared" si="63"/>
        <v>1.3331706201980182E-3</v>
      </c>
      <c r="T107" s="250">
        <f t="shared" si="68"/>
        <v>9.4433918949718712E-2</v>
      </c>
      <c r="U107" s="250">
        <f t="shared" si="69"/>
        <v>0</v>
      </c>
      <c r="V107" s="250">
        <f t="shared" si="70"/>
        <v>0</v>
      </c>
      <c r="W107" s="1">
        <f t="shared" si="64"/>
        <v>8.9011999999999891E-4</v>
      </c>
      <c r="X107" s="1">
        <f t="shared" si="65"/>
        <v>180000.00000000003</v>
      </c>
      <c r="Y107" s="1">
        <f t="shared" si="66"/>
        <v>1.8180194542828314E-5</v>
      </c>
      <c r="Z107" s="240">
        <f t="shared" si="57"/>
        <v>1.8180194542828314E-5</v>
      </c>
      <c r="AA107" s="240">
        <f t="shared" si="58"/>
        <v>2.8156154458850775E-4</v>
      </c>
      <c r="AB107" s="1">
        <f t="shared" si="71"/>
        <v>0</v>
      </c>
      <c r="AC107" s="248">
        <f t="shared" si="67"/>
        <v>-1.0136215605186278E-2</v>
      </c>
      <c r="AD107" s="240"/>
      <c r="AE107" s="243"/>
      <c r="AG107" s="239"/>
      <c r="AH107" s="239"/>
      <c r="AI107" s="239"/>
      <c r="AM107" s="240"/>
    </row>
    <row r="108" spans="1:39">
      <c r="A108" s="241">
        <f t="shared" si="72"/>
        <v>87</v>
      </c>
      <c r="B108" s="241">
        <f t="shared" si="59"/>
        <v>1</v>
      </c>
      <c r="C108" s="241">
        <f t="shared" si="48"/>
        <v>8.3594059405940585E-2</v>
      </c>
      <c r="D108" s="241">
        <f t="shared" si="49"/>
        <v>5.8781386138613865</v>
      </c>
      <c r="E108" s="241">
        <f t="shared" si="60"/>
        <v>19.999999999999982</v>
      </c>
      <c r="F108" s="241">
        <f t="shared" si="61"/>
        <v>14.282856857085692</v>
      </c>
      <c r="G108" s="241">
        <f t="shared" si="32"/>
        <v>160.22159999999982</v>
      </c>
      <c r="H108" s="241">
        <f t="shared" si="50"/>
        <v>314.15999999999946</v>
      </c>
      <c r="I108" s="241">
        <f t="shared" si="51"/>
        <v>160.22159999999982</v>
      </c>
      <c r="J108" s="241">
        <f t="shared" si="52"/>
        <v>314.15999999999946</v>
      </c>
      <c r="K108" s="241">
        <f t="shared" si="33"/>
        <v>153.93839999999963</v>
      </c>
      <c r="L108" s="241">
        <f t="shared" si="62"/>
        <v>13.999999999999984</v>
      </c>
      <c r="M108" s="241">
        <f t="shared" si="53"/>
        <v>2.9999999999999991</v>
      </c>
      <c r="N108" s="241">
        <f t="shared" si="54"/>
        <v>62.831999999999944</v>
      </c>
      <c r="O108" s="241">
        <f t="shared" si="55"/>
        <v>5.2523819405940537E-2</v>
      </c>
      <c r="P108" s="241">
        <f t="shared" si="56"/>
        <v>2.6261909702970246E-3</v>
      </c>
      <c r="Q108" s="241">
        <f t="shared" si="30"/>
        <v>10.966268302183297</v>
      </c>
      <c r="R108" s="241">
        <f t="shared" si="31"/>
        <v>0.16986219866613789</v>
      </c>
      <c r="S108" s="250">
        <f t="shared" si="63"/>
        <v>1.3393573948514835E-3</v>
      </c>
      <c r="T108" s="250">
        <f t="shared" si="68"/>
        <v>9.5773276344570196E-2</v>
      </c>
      <c r="U108" s="250">
        <f t="shared" si="69"/>
        <v>0</v>
      </c>
      <c r="V108" s="250">
        <f t="shared" si="70"/>
        <v>0</v>
      </c>
      <c r="W108" s="1">
        <f t="shared" si="64"/>
        <v>8.9011999999999891E-4</v>
      </c>
      <c r="X108" s="1">
        <f t="shared" si="65"/>
        <v>180000.00000000003</v>
      </c>
      <c r="Y108" s="1">
        <f t="shared" si="66"/>
        <v>1.8264562413743388E-5</v>
      </c>
      <c r="Z108" s="240">
        <f t="shared" si="57"/>
        <v>1.8264562413743388E-5</v>
      </c>
      <c r="AA108" s="240">
        <f t="shared" si="58"/>
        <v>2.6338135004567943E-4</v>
      </c>
      <c r="AB108" s="1">
        <f t="shared" si="71"/>
        <v>0</v>
      </c>
      <c r="AC108" s="248">
        <f t="shared" si="67"/>
        <v>-9.48172860164446E-3</v>
      </c>
      <c r="AD108" s="240"/>
      <c r="AE108" s="243"/>
      <c r="AG108" s="239"/>
      <c r="AH108" s="239"/>
      <c r="AI108" s="239"/>
      <c r="AM108" s="240"/>
    </row>
    <row r="109" spans="1:39">
      <c r="A109" s="241">
        <f t="shared" si="72"/>
        <v>88</v>
      </c>
      <c r="B109" s="241">
        <f t="shared" si="59"/>
        <v>1</v>
      </c>
      <c r="C109" s="241">
        <f t="shared" si="48"/>
        <v>8.3980198019801972E-2</v>
      </c>
      <c r="D109" s="241">
        <f t="shared" si="49"/>
        <v>5.9621188118811883</v>
      </c>
      <c r="E109" s="241">
        <f t="shared" si="60"/>
        <v>19.999999999999982</v>
      </c>
      <c r="F109" s="241">
        <f t="shared" si="61"/>
        <v>14.282856857085692</v>
      </c>
      <c r="G109" s="241">
        <f t="shared" si="32"/>
        <v>160.22159999999982</v>
      </c>
      <c r="H109" s="241">
        <f t="shared" si="50"/>
        <v>314.15999999999946</v>
      </c>
      <c r="I109" s="241">
        <f t="shared" si="51"/>
        <v>160.22159999999982</v>
      </c>
      <c r="J109" s="241">
        <f t="shared" si="52"/>
        <v>314.15999999999946</v>
      </c>
      <c r="K109" s="241">
        <f t="shared" si="33"/>
        <v>153.93839999999963</v>
      </c>
      <c r="L109" s="241">
        <f t="shared" si="62"/>
        <v>13.999999999999984</v>
      </c>
      <c r="M109" s="241">
        <f t="shared" si="53"/>
        <v>2.9999999999999991</v>
      </c>
      <c r="N109" s="241">
        <f t="shared" si="54"/>
        <v>62.831999999999944</v>
      </c>
      <c r="O109" s="241">
        <f t="shared" si="55"/>
        <v>5.2766438019801923E-2</v>
      </c>
      <c r="P109" s="241">
        <f t="shared" si="56"/>
        <v>2.6383219009900941E-3</v>
      </c>
      <c r="Q109" s="241">
        <f t="shared" si="30"/>
        <v>11.019034740203098</v>
      </c>
      <c r="R109" s="241">
        <f t="shared" si="31"/>
        <v>0.17250052056712797</v>
      </c>
      <c r="S109" s="250">
        <f t="shared" si="63"/>
        <v>1.3455441695049489E-3</v>
      </c>
      <c r="T109" s="250">
        <f t="shared" si="68"/>
        <v>9.7118820514075138E-2</v>
      </c>
      <c r="U109" s="250">
        <f t="shared" si="69"/>
        <v>0</v>
      </c>
      <c r="V109" s="250">
        <f t="shared" si="70"/>
        <v>0</v>
      </c>
      <c r="W109" s="1">
        <f t="shared" si="64"/>
        <v>8.9011999999999891E-4</v>
      </c>
      <c r="X109" s="1">
        <f t="shared" si="65"/>
        <v>180000.00000000003</v>
      </c>
      <c r="Y109" s="1">
        <f t="shared" si="66"/>
        <v>1.8348930284658465E-5</v>
      </c>
      <c r="Z109" s="240">
        <f t="shared" si="57"/>
        <v>1.8348930284658465E-5</v>
      </c>
      <c r="AA109" s="240">
        <f t="shared" si="58"/>
        <v>2.4511678763193605E-4</v>
      </c>
      <c r="AB109" s="1">
        <f t="shared" si="71"/>
        <v>0</v>
      </c>
      <c r="AC109" s="248">
        <f t="shared" si="67"/>
        <v>-8.8242043547496971E-3</v>
      </c>
      <c r="AD109" s="240"/>
      <c r="AE109" s="243"/>
      <c r="AG109" s="239"/>
      <c r="AH109" s="239"/>
      <c r="AI109" s="239"/>
      <c r="AM109" s="240"/>
    </row>
    <row r="110" spans="1:39">
      <c r="A110" s="241">
        <f t="shared" si="72"/>
        <v>89</v>
      </c>
      <c r="B110" s="241">
        <f t="shared" si="59"/>
        <v>1</v>
      </c>
      <c r="C110" s="241">
        <f t="shared" si="48"/>
        <v>8.4366336633663358E-2</v>
      </c>
      <c r="D110" s="241">
        <f t="shared" si="49"/>
        <v>6.0464851485148516</v>
      </c>
      <c r="E110" s="241">
        <f t="shared" si="60"/>
        <v>19.999999999999982</v>
      </c>
      <c r="F110" s="241">
        <f t="shared" si="61"/>
        <v>14.282856857085692</v>
      </c>
      <c r="G110" s="241">
        <f t="shared" si="32"/>
        <v>160.22159999999982</v>
      </c>
      <c r="H110" s="241">
        <f t="shared" si="50"/>
        <v>314.15999999999946</v>
      </c>
      <c r="I110" s="241">
        <f t="shared" si="51"/>
        <v>160.22159999999982</v>
      </c>
      <c r="J110" s="241">
        <f t="shared" si="52"/>
        <v>314.15999999999946</v>
      </c>
      <c r="K110" s="241">
        <f t="shared" si="33"/>
        <v>153.93839999999963</v>
      </c>
      <c r="L110" s="241">
        <f t="shared" si="62"/>
        <v>13.999999999999984</v>
      </c>
      <c r="M110" s="241">
        <f t="shared" si="53"/>
        <v>2.9999999999999991</v>
      </c>
      <c r="N110" s="241">
        <f t="shared" si="54"/>
        <v>62.831999999999944</v>
      </c>
      <c r="O110" s="241">
        <f t="shared" si="55"/>
        <v>5.3009056633663315E-2</v>
      </c>
      <c r="P110" s="241">
        <f t="shared" si="56"/>
        <v>2.6504528316831631E-3</v>
      </c>
      <c r="Q110" s="241">
        <f t="shared" ref="Q110:Q121" si="73">Q109+O110</f>
        <v>11.072043796836761</v>
      </c>
      <c r="R110" s="241">
        <f t="shared" ref="R110:R121" si="74">P110+R109</f>
        <v>0.17515097339881114</v>
      </c>
      <c r="S110" s="250">
        <f t="shared" si="63"/>
        <v>1.3517309441584142E-3</v>
      </c>
      <c r="T110" s="250">
        <f t="shared" si="68"/>
        <v>9.8470551458233552E-2</v>
      </c>
      <c r="U110" s="250">
        <f t="shared" si="69"/>
        <v>0</v>
      </c>
      <c r="V110" s="250">
        <f t="shared" si="70"/>
        <v>0</v>
      </c>
      <c r="W110" s="1">
        <f t="shared" si="64"/>
        <v>8.9011999999999891E-4</v>
      </c>
      <c r="X110" s="1">
        <f t="shared" si="65"/>
        <v>180000.00000000003</v>
      </c>
      <c r="Y110" s="1">
        <f t="shared" si="66"/>
        <v>1.8433298155573542E-5</v>
      </c>
      <c r="Z110" s="240">
        <f t="shared" si="57"/>
        <v>1.8433298155573542E-5</v>
      </c>
      <c r="AA110" s="240">
        <f t="shared" si="58"/>
        <v>2.2676785734727757E-4</v>
      </c>
      <c r="AB110" s="1">
        <f t="shared" si="71"/>
        <v>0</v>
      </c>
      <c r="AC110" s="248">
        <f t="shared" si="67"/>
        <v>-8.163642864501993E-3</v>
      </c>
      <c r="AD110" s="240"/>
      <c r="AE110" s="243"/>
      <c r="AG110" s="239"/>
      <c r="AH110" s="239"/>
      <c r="AI110" s="239"/>
      <c r="AM110" s="240"/>
    </row>
    <row r="111" spans="1:39">
      <c r="A111" s="241">
        <f t="shared" si="72"/>
        <v>90</v>
      </c>
      <c r="B111" s="241">
        <f t="shared" si="59"/>
        <v>1</v>
      </c>
      <c r="C111" s="241">
        <f t="shared" si="48"/>
        <v>8.4752475247524744E-2</v>
      </c>
      <c r="D111" s="241">
        <f t="shared" si="49"/>
        <v>6.1312376237623765</v>
      </c>
      <c r="E111" s="241">
        <f t="shared" si="60"/>
        <v>19.999999999999982</v>
      </c>
      <c r="F111" s="241">
        <f t="shared" si="61"/>
        <v>14.282856857085692</v>
      </c>
      <c r="G111" s="241">
        <f t="shared" ref="G111:G120" si="75">F111*F111*3.1416/4</f>
        <v>160.22159999999982</v>
      </c>
      <c r="H111" s="241">
        <f t="shared" si="50"/>
        <v>314.15999999999946</v>
      </c>
      <c r="I111" s="241">
        <f t="shared" si="51"/>
        <v>160.22159999999982</v>
      </c>
      <c r="J111" s="241">
        <f t="shared" si="52"/>
        <v>314.15999999999946</v>
      </c>
      <c r="K111" s="241">
        <f t="shared" ref="K111:K120" si="76">H111-G111</f>
        <v>153.93839999999963</v>
      </c>
      <c r="L111" s="241">
        <f t="shared" si="62"/>
        <v>13.999999999999984</v>
      </c>
      <c r="M111" s="241">
        <f t="shared" si="53"/>
        <v>2.9999999999999991</v>
      </c>
      <c r="N111" s="241">
        <f t="shared" si="54"/>
        <v>62.831999999999944</v>
      </c>
      <c r="O111" s="241">
        <f t="shared" si="55"/>
        <v>5.3251675247524694E-2</v>
      </c>
      <c r="P111" s="241">
        <f t="shared" si="56"/>
        <v>2.6625837623762325E-3</v>
      </c>
      <c r="Q111" s="241">
        <f t="shared" si="73"/>
        <v>11.125295472084286</v>
      </c>
      <c r="R111" s="241">
        <f t="shared" si="74"/>
        <v>0.17781355716118738</v>
      </c>
      <c r="S111" s="250">
        <f t="shared" si="63"/>
        <v>1.3579177188118797E-3</v>
      </c>
      <c r="T111" s="250">
        <f t="shared" si="68"/>
        <v>9.9828469177045437E-2</v>
      </c>
      <c r="U111" s="250">
        <f t="shared" si="69"/>
        <v>0</v>
      </c>
      <c r="V111" s="250">
        <f t="shared" si="70"/>
        <v>0</v>
      </c>
      <c r="W111" s="1">
        <f t="shared" si="64"/>
        <v>8.9011999999999891E-4</v>
      </c>
      <c r="X111" s="1">
        <f t="shared" si="65"/>
        <v>180000.00000000003</v>
      </c>
      <c r="Y111" s="1">
        <f t="shared" si="66"/>
        <v>1.8517666026488619E-5</v>
      </c>
      <c r="Z111" s="240">
        <f t="shared" si="57"/>
        <v>1.8517666026488619E-5</v>
      </c>
      <c r="AA111" s="240">
        <f t="shared" si="58"/>
        <v>2.0833455919170402E-4</v>
      </c>
      <c r="AB111" s="1">
        <f t="shared" si="71"/>
        <v>0</v>
      </c>
      <c r="AC111" s="248">
        <f t="shared" si="67"/>
        <v>-7.5000441309013444E-3</v>
      </c>
      <c r="AD111" s="240"/>
      <c r="AE111" s="243"/>
      <c r="AG111" s="239"/>
      <c r="AH111" s="239"/>
      <c r="AI111" s="239"/>
      <c r="AM111" s="240"/>
    </row>
    <row r="112" spans="1:39">
      <c r="A112" s="241">
        <f t="shared" si="72"/>
        <v>91</v>
      </c>
      <c r="B112" s="241">
        <f t="shared" si="59"/>
        <v>1</v>
      </c>
      <c r="C112" s="241">
        <f t="shared" si="48"/>
        <v>8.5138613861386131E-2</v>
      </c>
      <c r="D112" s="241">
        <f t="shared" si="49"/>
        <v>6.2163762376237628</v>
      </c>
      <c r="E112" s="241">
        <f t="shared" si="60"/>
        <v>19.999999999999982</v>
      </c>
      <c r="F112" s="241">
        <f t="shared" si="61"/>
        <v>14.282856857085692</v>
      </c>
      <c r="G112" s="241">
        <f t="shared" si="75"/>
        <v>160.22159999999982</v>
      </c>
      <c r="H112" s="241">
        <f t="shared" si="50"/>
        <v>314.15999999999946</v>
      </c>
      <c r="I112" s="241">
        <f t="shared" si="51"/>
        <v>160.22159999999982</v>
      </c>
      <c r="J112" s="241">
        <f t="shared" si="52"/>
        <v>314.15999999999946</v>
      </c>
      <c r="K112" s="241">
        <f t="shared" si="76"/>
        <v>153.93839999999963</v>
      </c>
      <c r="L112" s="241">
        <f t="shared" si="62"/>
        <v>13.999999999999984</v>
      </c>
      <c r="M112" s="241">
        <f t="shared" si="53"/>
        <v>2.9999999999999991</v>
      </c>
      <c r="N112" s="241">
        <f t="shared" si="54"/>
        <v>62.831999999999944</v>
      </c>
      <c r="O112" s="241">
        <f t="shared" si="55"/>
        <v>5.3494293861386086E-2</v>
      </c>
      <c r="P112" s="241">
        <f t="shared" si="56"/>
        <v>2.6747146930693024E-3</v>
      </c>
      <c r="Q112" s="241">
        <f t="shared" si="73"/>
        <v>11.178789765945671</v>
      </c>
      <c r="R112" s="241">
        <f t="shared" si="74"/>
        <v>0.18048827185425667</v>
      </c>
      <c r="S112" s="250">
        <f t="shared" si="63"/>
        <v>1.3641044934653451E-3</v>
      </c>
      <c r="T112" s="250">
        <f t="shared" si="68"/>
        <v>0.10119257367051078</v>
      </c>
      <c r="U112" s="250">
        <f t="shared" si="69"/>
        <v>0</v>
      </c>
      <c r="V112" s="250">
        <f t="shared" si="70"/>
        <v>0</v>
      </c>
      <c r="W112" s="1">
        <f t="shared" si="64"/>
        <v>8.9011999999999891E-4</v>
      </c>
      <c r="X112" s="1">
        <f t="shared" si="65"/>
        <v>180000.00000000003</v>
      </c>
      <c r="Y112" s="1">
        <f t="shared" si="66"/>
        <v>1.8602033897403695E-5</v>
      </c>
      <c r="Z112" s="240">
        <f t="shared" si="57"/>
        <v>1.8602033897403695E-5</v>
      </c>
      <c r="AA112" s="240">
        <f t="shared" si="58"/>
        <v>1.8981689316521541E-4</v>
      </c>
      <c r="AB112" s="1">
        <f t="shared" si="71"/>
        <v>0</v>
      </c>
      <c r="AC112" s="248">
        <f t="shared" si="67"/>
        <v>-6.8334081539477547E-3</v>
      </c>
      <c r="AD112" s="240"/>
      <c r="AE112" s="243"/>
      <c r="AG112" s="239"/>
      <c r="AH112" s="239"/>
      <c r="AI112" s="239"/>
      <c r="AM112" s="240"/>
    </row>
    <row r="113" spans="1:40">
      <c r="A113" s="241">
        <f t="shared" si="72"/>
        <v>92</v>
      </c>
      <c r="B113" s="241">
        <f t="shared" si="59"/>
        <v>1</v>
      </c>
      <c r="C113" s="241">
        <f t="shared" si="48"/>
        <v>8.5524752475247517E-2</v>
      </c>
      <c r="D113" s="241">
        <f t="shared" si="49"/>
        <v>6.3019009900990106</v>
      </c>
      <c r="E113" s="241">
        <f t="shared" si="60"/>
        <v>19.999999999999982</v>
      </c>
      <c r="F113" s="241">
        <f t="shared" si="61"/>
        <v>14.282856857085692</v>
      </c>
      <c r="G113" s="241">
        <f t="shared" si="75"/>
        <v>160.22159999999982</v>
      </c>
      <c r="H113" s="241">
        <f t="shared" si="50"/>
        <v>314.15999999999946</v>
      </c>
      <c r="I113" s="241">
        <f t="shared" si="51"/>
        <v>160.22159999999982</v>
      </c>
      <c r="J113" s="241">
        <f t="shared" si="52"/>
        <v>314.15999999999946</v>
      </c>
      <c r="K113" s="241">
        <f t="shared" si="76"/>
        <v>153.93839999999963</v>
      </c>
      <c r="L113" s="241">
        <f t="shared" si="62"/>
        <v>13.999999999999984</v>
      </c>
      <c r="M113" s="241">
        <f t="shared" si="53"/>
        <v>2.9999999999999991</v>
      </c>
      <c r="N113" s="241">
        <f t="shared" si="54"/>
        <v>62.831999999999944</v>
      </c>
      <c r="O113" s="241">
        <f t="shared" si="55"/>
        <v>5.3736912475247471E-2</v>
      </c>
      <c r="P113" s="241">
        <f t="shared" si="56"/>
        <v>2.686845623762371E-3</v>
      </c>
      <c r="Q113" s="241">
        <f t="shared" si="73"/>
        <v>11.232526678420919</v>
      </c>
      <c r="R113" s="241">
        <f t="shared" si="74"/>
        <v>0.18317511747801904</v>
      </c>
      <c r="S113" s="250">
        <f t="shared" si="63"/>
        <v>1.3702912681188104E-3</v>
      </c>
      <c r="T113" s="250">
        <f t="shared" si="68"/>
        <v>0.10256286493862959</v>
      </c>
      <c r="U113" s="250">
        <f t="shared" si="69"/>
        <v>0</v>
      </c>
      <c r="V113" s="250">
        <f t="shared" si="70"/>
        <v>0</v>
      </c>
      <c r="W113" s="1">
        <f t="shared" si="64"/>
        <v>8.9011999999999891E-4</v>
      </c>
      <c r="X113" s="1">
        <f t="shared" si="65"/>
        <v>180000.00000000003</v>
      </c>
      <c r="Y113" s="1">
        <f t="shared" si="66"/>
        <v>1.8686401768318772E-5</v>
      </c>
      <c r="Z113" s="240">
        <f t="shared" si="57"/>
        <v>1.8686401768318772E-5</v>
      </c>
      <c r="AA113" s="240">
        <f t="shared" si="58"/>
        <v>1.7121485926781171E-4</v>
      </c>
      <c r="AB113" s="1">
        <f t="shared" si="71"/>
        <v>0</v>
      </c>
      <c r="AC113" s="248">
        <f t="shared" si="67"/>
        <v>-6.1637349336412213E-3</v>
      </c>
      <c r="AD113" s="240"/>
      <c r="AE113" s="243"/>
      <c r="AG113" s="239"/>
      <c r="AH113" s="239"/>
      <c r="AI113" s="239"/>
      <c r="AM113" s="240"/>
    </row>
    <row r="114" spans="1:40">
      <c r="A114" s="241">
        <f t="shared" si="72"/>
        <v>93</v>
      </c>
      <c r="B114" s="241">
        <f t="shared" si="59"/>
        <v>1</v>
      </c>
      <c r="C114" s="241">
        <f t="shared" si="48"/>
        <v>8.5910891089108904E-2</v>
      </c>
      <c r="D114" s="241">
        <f t="shared" si="49"/>
        <v>6.3878118811881182</v>
      </c>
      <c r="E114" s="241">
        <f t="shared" si="60"/>
        <v>19.999999999999982</v>
      </c>
      <c r="F114" s="241">
        <f t="shared" si="61"/>
        <v>14.282856857085692</v>
      </c>
      <c r="G114" s="241">
        <f t="shared" si="75"/>
        <v>160.22159999999982</v>
      </c>
      <c r="H114" s="241">
        <f t="shared" si="50"/>
        <v>314.15999999999946</v>
      </c>
      <c r="I114" s="241">
        <f t="shared" si="51"/>
        <v>160.22159999999982</v>
      </c>
      <c r="J114" s="241">
        <f t="shared" si="52"/>
        <v>314.15999999999946</v>
      </c>
      <c r="K114" s="241">
        <f t="shared" si="76"/>
        <v>153.93839999999963</v>
      </c>
      <c r="L114" s="241">
        <f t="shared" si="62"/>
        <v>13.999999999999984</v>
      </c>
      <c r="M114" s="241">
        <f t="shared" si="53"/>
        <v>2.9999999999999991</v>
      </c>
      <c r="N114" s="241">
        <f t="shared" si="54"/>
        <v>62.831999999999944</v>
      </c>
      <c r="O114" s="241">
        <f t="shared" si="55"/>
        <v>5.397953108910885E-2</v>
      </c>
      <c r="P114" s="241">
        <f t="shared" si="56"/>
        <v>2.6989765544554408E-3</v>
      </c>
      <c r="Q114" s="241">
        <f t="shared" si="73"/>
        <v>11.286506209510028</v>
      </c>
      <c r="R114" s="241">
        <f t="shared" si="74"/>
        <v>0.18587409403247449</v>
      </c>
      <c r="S114" s="250">
        <f t="shared" si="63"/>
        <v>1.3764780427722757E-3</v>
      </c>
      <c r="T114" s="250">
        <f t="shared" si="68"/>
        <v>0.10393934298140187</v>
      </c>
      <c r="U114" s="250">
        <f t="shared" si="69"/>
        <v>0</v>
      </c>
      <c r="V114" s="250">
        <f t="shared" si="70"/>
        <v>0</v>
      </c>
      <c r="W114" s="1">
        <f t="shared" si="64"/>
        <v>8.9011999999999891E-4</v>
      </c>
      <c r="X114" s="1">
        <f t="shared" si="65"/>
        <v>180000.00000000003</v>
      </c>
      <c r="Y114" s="1">
        <f t="shared" si="66"/>
        <v>1.8770769639233849E-5</v>
      </c>
      <c r="Z114" s="240">
        <f t="shared" si="57"/>
        <v>1.8770769639233849E-5</v>
      </c>
      <c r="AA114" s="240">
        <f t="shared" si="58"/>
        <v>1.5252845749949293E-4</v>
      </c>
      <c r="AB114" s="1">
        <f t="shared" si="71"/>
        <v>0</v>
      </c>
      <c r="AC114" s="248">
        <f t="shared" si="67"/>
        <v>-5.491024469981746E-3</v>
      </c>
      <c r="AD114" s="240"/>
      <c r="AE114" s="243"/>
      <c r="AG114" s="239"/>
      <c r="AH114" s="239"/>
      <c r="AI114" s="239"/>
      <c r="AM114" s="240"/>
    </row>
    <row r="115" spans="1:40">
      <c r="A115" s="241">
        <f t="shared" si="72"/>
        <v>94</v>
      </c>
      <c r="B115" s="241">
        <f t="shared" si="59"/>
        <v>1</v>
      </c>
      <c r="C115" s="241">
        <f t="shared" si="48"/>
        <v>8.629702970297029E-2</v>
      </c>
      <c r="D115" s="241">
        <f t="shared" si="49"/>
        <v>6.4741089108910881</v>
      </c>
      <c r="E115" s="241">
        <f t="shared" si="60"/>
        <v>19.999999999999982</v>
      </c>
      <c r="F115" s="241">
        <f t="shared" si="61"/>
        <v>14.282856857085692</v>
      </c>
      <c r="G115" s="241">
        <f t="shared" si="75"/>
        <v>160.22159999999982</v>
      </c>
      <c r="H115" s="241">
        <f t="shared" si="50"/>
        <v>314.15999999999946</v>
      </c>
      <c r="I115" s="241">
        <f t="shared" si="51"/>
        <v>160.22159999999982</v>
      </c>
      <c r="J115" s="241">
        <f t="shared" si="52"/>
        <v>314.15999999999946</v>
      </c>
      <c r="K115" s="241">
        <f t="shared" si="76"/>
        <v>153.93839999999963</v>
      </c>
      <c r="L115" s="241">
        <f t="shared" si="62"/>
        <v>13.999999999999984</v>
      </c>
      <c r="M115" s="241">
        <f t="shared" si="53"/>
        <v>2.9999999999999991</v>
      </c>
      <c r="N115" s="241">
        <f t="shared" si="54"/>
        <v>62.831999999999944</v>
      </c>
      <c r="O115" s="241">
        <f t="shared" si="55"/>
        <v>5.4222149702970242E-2</v>
      </c>
      <c r="P115" s="241">
        <f t="shared" si="56"/>
        <v>2.7111074851485098E-3</v>
      </c>
      <c r="Q115" s="241">
        <f t="shared" si="73"/>
        <v>11.340728359212999</v>
      </c>
      <c r="R115" s="241">
        <f t="shared" si="74"/>
        <v>0.18858520151762301</v>
      </c>
      <c r="S115" s="250">
        <f t="shared" si="63"/>
        <v>1.3826648174257411E-3</v>
      </c>
      <c r="T115" s="250">
        <f t="shared" si="68"/>
        <v>0.10532200779882761</v>
      </c>
      <c r="U115" s="250">
        <f t="shared" si="69"/>
        <v>0</v>
      </c>
      <c r="V115" s="250">
        <f t="shared" si="70"/>
        <v>0</v>
      </c>
      <c r="W115" s="1">
        <f t="shared" si="64"/>
        <v>8.9011999999999891E-4</v>
      </c>
      <c r="X115" s="1">
        <f t="shared" si="65"/>
        <v>180000.00000000003</v>
      </c>
      <c r="Y115" s="1">
        <f t="shared" si="66"/>
        <v>1.8855137510148926E-5</v>
      </c>
      <c r="Z115" s="240">
        <f t="shared" si="57"/>
        <v>1.8855137510148926E-5</v>
      </c>
      <c r="AA115" s="240">
        <f t="shared" si="58"/>
        <v>1.337576878602591E-4</v>
      </c>
      <c r="AB115" s="1">
        <f t="shared" si="71"/>
        <v>0</v>
      </c>
      <c r="AC115" s="248">
        <f t="shared" si="67"/>
        <v>-4.8152767629693278E-3</v>
      </c>
      <c r="AD115" s="240"/>
      <c r="AE115" s="243"/>
      <c r="AG115" s="239"/>
      <c r="AH115" s="239"/>
      <c r="AI115" s="239"/>
      <c r="AM115" s="240"/>
    </row>
    <row r="116" spans="1:40">
      <c r="A116" s="241">
        <f t="shared" si="72"/>
        <v>95</v>
      </c>
      <c r="B116" s="241">
        <f t="shared" si="59"/>
        <v>1</v>
      </c>
      <c r="C116" s="241">
        <f t="shared" si="48"/>
        <v>8.6683168316831677E-2</v>
      </c>
      <c r="D116" s="241">
        <f t="shared" si="49"/>
        <v>6.5607920792079195</v>
      </c>
      <c r="E116" s="241">
        <f t="shared" si="60"/>
        <v>19.999999999999982</v>
      </c>
      <c r="F116" s="241">
        <f t="shared" si="61"/>
        <v>14.282856857085692</v>
      </c>
      <c r="G116" s="241">
        <f t="shared" si="75"/>
        <v>160.22159999999982</v>
      </c>
      <c r="H116" s="241">
        <f t="shared" si="50"/>
        <v>314.15999999999946</v>
      </c>
      <c r="I116" s="241">
        <f t="shared" si="51"/>
        <v>160.22159999999982</v>
      </c>
      <c r="J116" s="241">
        <f t="shared" si="52"/>
        <v>314.15999999999946</v>
      </c>
      <c r="K116" s="241">
        <f t="shared" si="76"/>
        <v>153.93839999999963</v>
      </c>
      <c r="L116" s="241">
        <f t="shared" si="62"/>
        <v>13.999999999999984</v>
      </c>
      <c r="M116" s="241">
        <f t="shared" si="53"/>
        <v>2.9999999999999991</v>
      </c>
      <c r="N116" s="241">
        <f t="shared" si="54"/>
        <v>62.831999999999944</v>
      </c>
      <c r="O116" s="241">
        <f t="shared" si="55"/>
        <v>5.4464768316831627E-2</v>
      </c>
      <c r="P116" s="241">
        <f t="shared" si="56"/>
        <v>2.7232384158415788E-3</v>
      </c>
      <c r="Q116" s="241">
        <f t="shared" si="73"/>
        <v>11.395193127529831</v>
      </c>
      <c r="R116" s="241">
        <f t="shared" si="74"/>
        <v>0.19130843993346458</v>
      </c>
      <c r="S116" s="250">
        <f t="shared" si="63"/>
        <v>1.3888515920792064E-3</v>
      </c>
      <c r="T116" s="250">
        <f t="shared" si="68"/>
        <v>0.10671085939090681</v>
      </c>
      <c r="U116" s="250">
        <f t="shared" si="69"/>
        <v>0</v>
      </c>
      <c r="V116" s="250">
        <f t="shared" si="70"/>
        <v>0</v>
      </c>
      <c r="W116" s="1">
        <f t="shared" si="64"/>
        <v>8.9011999999999891E-4</v>
      </c>
      <c r="X116" s="1">
        <f t="shared" si="65"/>
        <v>180000.00000000003</v>
      </c>
      <c r="Y116" s="1">
        <f t="shared" si="66"/>
        <v>1.8939505381064003E-5</v>
      </c>
      <c r="Z116" s="240">
        <f t="shared" si="57"/>
        <v>1.8939505381064003E-5</v>
      </c>
      <c r="AA116" s="240">
        <f t="shared" si="58"/>
        <v>1.1490255035011018E-4</v>
      </c>
      <c r="AB116" s="1">
        <f t="shared" si="71"/>
        <v>0</v>
      </c>
      <c r="AC116" s="248">
        <f t="shared" si="67"/>
        <v>-4.1364918126039667E-3</v>
      </c>
      <c r="AD116" s="240"/>
      <c r="AE116" s="243"/>
      <c r="AG116" s="239"/>
      <c r="AH116" s="239"/>
      <c r="AI116" s="239"/>
      <c r="AM116" s="240"/>
    </row>
    <row r="117" spans="1:40">
      <c r="A117" s="241">
        <f t="shared" si="72"/>
        <v>96</v>
      </c>
      <c r="B117" s="241">
        <f t="shared" si="59"/>
        <v>1</v>
      </c>
      <c r="C117" s="241">
        <f t="shared" si="48"/>
        <v>8.7069306930693063E-2</v>
      </c>
      <c r="D117" s="241">
        <f t="shared" si="49"/>
        <v>6.6478613861386133</v>
      </c>
      <c r="E117" s="241">
        <f t="shared" si="60"/>
        <v>19.999999999999982</v>
      </c>
      <c r="F117" s="241">
        <f t="shared" si="61"/>
        <v>14.282856857085692</v>
      </c>
      <c r="G117" s="241">
        <f t="shared" si="75"/>
        <v>160.22159999999982</v>
      </c>
      <c r="H117" s="241">
        <f t="shared" si="50"/>
        <v>314.15999999999946</v>
      </c>
      <c r="I117" s="241">
        <f t="shared" si="51"/>
        <v>160.22159999999982</v>
      </c>
      <c r="J117" s="241">
        <f t="shared" si="52"/>
        <v>314.15999999999946</v>
      </c>
      <c r="K117" s="241">
        <f t="shared" si="76"/>
        <v>153.93839999999963</v>
      </c>
      <c r="L117" s="241">
        <f t="shared" si="62"/>
        <v>13.999999999999984</v>
      </c>
      <c r="M117" s="241">
        <f>(E117-L117)/2</f>
        <v>2.9999999999999991</v>
      </c>
      <c r="N117" s="241">
        <f t="shared" si="54"/>
        <v>62.831999999999944</v>
      </c>
      <c r="O117" s="241">
        <f t="shared" si="55"/>
        <v>5.4707386930693019E-2</v>
      </c>
      <c r="P117" s="241">
        <f t="shared" si="56"/>
        <v>2.7353693465346487E-3</v>
      </c>
      <c r="Q117" s="241">
        <f t="shared" si="73"/>
        <v>11.449900514460523</v>
      </c>
      <c r="R117" s="241">
        <f t="shared" si="74"/>
        <v>0.19404380927999923</v>
      </c>
      <c r="S117" s="250">
        <f t="shared" si="63"/>
        <v>1.3950383667326717E-3</v>
      </c>
      <c r="T117" s="250">
        <f t="shared" si="68"/>
        <v>0.10810589775763949</v>
      </c>
      <c r="U117" s="250">
        <f t="shared" si="69"/>
        <v>0</v>
      </c>
      <c r="V117" s="250">
        <f t="shared" si="70"/>
        <v>0</v>
      </c>
      <c r="W117" s="1">
        <f t="shared" si="64"/>
        <v>8.9011999999999891E-4</v>
      </c>
      <c r="X117" s="1">
        <f t="shared" si="65"/>
        <v>180000.00000000003</v>
      </c>
      <c r="Y117" s="1">
        <f t="shared" si="66"/>
        <v>1.9023873251979077E-5</v>
      </c>
      <c r="Z117" s="240">
        <f>Y117/B117</f>
        <v>1.9023873251979077E-5</v>
      </c>
      <c r="AA117" s="240">
        <f t="shared" si="58"/>
        <v>9.5963044969046176E-5</v>
      </c>
      <c r="AB117" s="1">
        <f t="shared" si="71"/>
        <v>0</v>
      </c>
      <c r="AC117" s="248">
        <f t="shared" si="67"/>
        <v>-3.4546696188856624E-3</v>
      </c>
      <c r="AD117" s="240"/>
      <c r="AE117" s="243"/>
      <c r="AG117" s="239"/>
      <c r="AH117" s="239"/>
      <c r="AI117" s="239"/>
      <c r="AM117" s="240"/>
    </row>
    <row r="118" spans="1:40">
      <c r="A118" s="241">
        <f t="shared" si="72"/>
        <v>97</v>
      </c>
      <c r="B118" s="241">
        <f t="shared" si="59"/>
        <v>1</v>
      </c>
      <c r="C118" s="241">
        <f t="shared" si="48"/>
        <v>8.745544554455445E-2</v>
      </c>
      <c r="D118" s="241">
        <f t="shared" si="49"/>
        <v>6.7353168316831677</v>
      </c>
      <c r="E118" s="241">
        <f t="shared" si="60"/>
        <v>19.999999999999982</v>
      </c>
      <c r="F118" s="241">
        <f t="shared" si="61"/>
        <v>14.282856857085692</v>
      </c>
      <c r="G118" s="241">
        <f t="shared" si="75"/>
        <v>160.22159999999982</v>
      </c>
      <c r="H118" s="241">
        <f t="shared" si="50"/>
        <v>314.15999999999946</v>
      </c>
      <c r="I118" s="241">
        <f t="shared" si="51"/>
        <v>160.22159999999982</v>
      </c>
      <c r="J118" s="241">
        <f t="shared" si="52"/>
        <v>314.15999999999946</v>
      </c>
      <c r="K118" s="241">
        <f t="shared" si="76"/>
        <v>153.93839999999963</v>
      </c>
      <c r="L118" s="241">
        <f t="shared" si="62"/>
        <v>13.999999999999984</v>
      </c>
      <c r="M118" s="241">
        <f>(E118-L118)/2</f>
        <v>2.9999999999999991</v>
      </c>
      <c r="N118" s="241">
        <f t="shared" si="54"/>
        <v>62.831999999999944</v>
      </c>
      <c r="O118" s="241">
        <f t="shared" si="55"/>
        <v>5.4950005544554398E-2</v>
      </c>
      <c r="P118" s="241">
        <f t="shared" si="56"/>
        <v>2.7475002772277177E-3</v>
      </c>
      <c r="Q118" s="241">
        <f t="shared" si="73"/>
        <v>11.504850520005078</v>
      </c>
      <c r="R118" s="241">
        <f t="shared" si="74"/>
        <v>0.19679130955722696</v>
      </c>
      <c r="S118" s="250">
        <f t="shared" si="63"/>
        <v>1.401225141386137E-3</v>
      </c>
      <c r="T118" s="250">
        <f t="shared" si="68"/>
        <v>0.10950712289902562</v>
      </c>
      <c r="U118" s="250">
        <f t="shared" si="69"/>
        <v>0</v>
      </c>
      <c r="V118" s="250">
        <f t="shared" si="70"/>
        <v>0</v>
      </c>
      <c r="W118" s="1">
        <f t="shared" si="64"/>
        <v>8.9011999999999891E-4</v>
      </c>
      <c r="X118" s="1">
        <f t="shared" si="65"/>
        <v>180000.00000000003</v>
      </c>
      <c r="Y118" s="1">
        <f t="shared" si="66"/>
        <v>1.9108241122894154E-5</v>
      </c>
      <c r="Z118" s="240">
        <f>Y118/B118</f>
        <v>1.9108241122894154E-5</v>
      </c>
      <c r="AA118" s="240">
        <f t="shared" si="58"/>
        <v>7.6939171717067096E-5</v>
      </c>
      <c r="AB118" s="1">
        <f t="shared" si="71"/>
        <v>0</v>
      </c>
      <c r="AC118" s="248">
        <f t="shared" si="67"/>
        <v>-2.7698101818144152E-3</v>
      </c>
      <c r="AD118" s="240"/>
      <c r="AE118" s="243"/>
      <c r="AG118" s="239"/>
      <c r="AH118" s="239"/>
      <c r="AI118" s="239"/>
      <c r="AM118" s="240"/>
    </row>
    <row r="119" spans="1:40">
      <c r="A119" s="241">
        <f t="shared" si="72"/>
        <v>98</v>
      </c>
      <c r="B119" s="241">
        <f t="shared" si="59"/>
        <v>1</v>
      </c>
      <c r="C119" s="241">
        <f t="shared" si="48"/>
        <v>8.7841584158415836E-2</v>
      </c>
      <c r="D119" s="241">
        <f t="shared" si="49"/>
        <v>6.8231584158415837</v>
      </c>
      <c r="E119" s="241">
        <f t="shared" si="60"/>
        <v>19.999999999999982</v>
      </c>
      <c r="F119" s="241">
        <f t="shared" si="61"/>
        <v>14.282856857085692</v>
      </c>
      <c r="G119" s="241">
        <f t="shared" si="75"/>
        <v>160.22159999999982</v>
      </c>
      <c r="H119" s="241">
        <f t="shared" si="50"/>
        <v>314.15999999999946</v>
      </c>
      <c r="I119" s="241">
        <f t="shared" si="51"/>
        <v>160.22159999999982</v>
      </c>
      <c r="J119" s="241">
        <f t="shared" si="52"/>
        <v>314.15999999999946</v>
      </c>
      <c r="K119" s="241">
        <f t="shared" si="76"/>
        <v>153.93839999999963</v>
      </c>
      <c r="L119" s="241">
        <f t="shared" si="62"/>
        <v>13.999999999999984</v>
      </c>
      <c r="M119" s="241">
        <f>(E119-L119)/2</f>
        <v>2.9999999999999991</v>
      </c>
      <c r="N119" s="241">
        <f t="shared" si="54"/>
        <v>62.831999999999944</v>
      </c>
      <c r="O119" s="241">
        <f t="shared" si="55"/>
        <v>5.5192624158415783E-2</v>
      </c>
      <c r="P119" s="241">
        <f t="shared" si="56"/>
        <v>2.7596312079207863E-3</v>
      </c>
      <c r="Q119" s="241">
        <f t="shared" si="73"/>
        <v>11.560043144163494</v>
      </c>
      <c r="R119" s="241">
        <f t="shared" si="74"/>
        <v>0.19955094076514773</v>
      </c>
      <c r="S119" s="250">
        <f t="shared" si="63"/>
        <v>1.4074119160396024E-3</v>
      </c>
      <c r="T119" s="250">
        <f t="shared" si="68"/>
        <v>0.11091453481506522</v>
      </c>
      <c r="U119" s="250">
        <f t="shared" si="69"/>
        <v>0</v>
      </c>
      <c r="V119" s="250">
        <f t="shared" si="70"/>
        <v>0</v>
      </c>
      <c r="W119" s="1">
        <f t="shared" si="64"/>
        <v>8.9011999999999891E-4</v>
      </c>
      <c r="X119" s="1">
        <f t="shared" si="65"/>
        <v>180000.00000000003</v>
      </c>
      <c r="Y119" s="1">
        <f t="shared" si="66"/>
        <v>1.9192608993809237E-5</v>
      </c>
      <c r="Z119" s="240">
        <f>Y119/B119</f>
        <v>1.9192608993809237E-5</v>
      </c>
      <c r="AA119" s="240">
        <f t="shared" si="58"/>
        <v>5.7830930594172936E-5</v>
      </c>
      <c r="AB119" s="1">
        <f t="shared" si="71"/>
        <v>0</v>
      </c>
      <c r="AC119" s="248">
        <f t="shared" si="67"/>
        <v>-2.0819135013902257E-3</v>
      </c>
      <c r="AD119" s="240"/>
      <c r="AE119" s="243"/>
      <c r="AG119" s="239"/>
      <c r="AH119" s="239"/>
      <c r="AI119" s="239"/>
      <c r="AM119" s="240"/>
    </row>
    <row r="120" spans="1:40">
      <c r="A120" s="241">
        <f t="shared" si="72"/>
        <v>99</v>
      </c>
      <c r="B120" s="241">
        <f t="shared" si="59"/>
        <v>1</v>
      </c>
      <c r="C120" s="241">
        <f t="shared" si="48"/>
        <v>8.8227722772277223E-2</v>
      </c>
      <c r="D120" s="241">
        <f t="shared" si="49"/>
        <v>6.9113861386138602</v>
      </c>
      <c r="E120" s="241">
        <f t="shared" si="60"/>
        <v>19.999999999999982</v>
      </c>
      <c r="F120" s="241">
        <f t="shared" si="61"/>
        <v>14.282856857085692</v>
      </c>
      <c r="G120" s="241">
        <f t="shared" si="75"/>
        <v>160.22159999999982</v>
      </c>
      <c r="H120" s="241">
        <f t="shared" si="50"/>
        <v>314.15999999999946</v>
      </c>
      <c r="I120" s="241">
        <f t="shared" si="51"/>
        <v>160.22159999999982</v>
      </c>
      <c r="J120" s="241">
        <f t="shared" si="52"/>
        <v>314.15999999999946</v>
      </c>
      <c r="K120" s="241">
        <f t="shared" si="76"/>
        <v>153.93839999999963</v>
      </c>
      <c r="L120" s="241">
        <f t="shared" si="62"/>
        <v>13.999999999999984</v>
      </c>
      <c r="M120" s="241">
        <f>(E120-L120)/2</f>
        <v>2.9999999999999991</v>
      </c>
      <c r="N120" s="241">
        <f t="shared" si="54"/>
        <v>62.831999999999944</v>
      </c>
      <c r="O120" s="241">
        <f t="shared" si="55"/>
        <v>5.5435242772277175E-2</v>
      </c>
      <c r="P120" s="241">
        <f t="shared" si="56"/>
        <v>2.7717621386138562E-3</v>
      </c>
      <c r="Q120" s="241">
        <f t="shared" si="73"/>
        <v>11.615478386935772</v>
      </c>
      <c r="R120" s="241">
        <f t="shared" si="74"/>
        <v>0.20232270290376159</v>
      </c>
      <c r="S120" s="250">
        <f t="shared" si="63"/>
        <v>1.4135986906930677E-3</v>
      </c>
      <c r="T120" s="250">
        <f t="shared" si="68"/>
        <v>0.11232813350575829</v>
      </c>
      <c r="U120" s="250">
        <f t="shared" si="69"/>
        <v>0</v>
      </c>
      <c r="V120" s="250">
        <f t="shared" si="70"/>
        <v>0</v>
      </c>
      <c r="W120" s="1">
        <f t="shared" si="64"/>
        <v>8.9011999999999891E-4</v>
      </c>
      <c r="X120" s="1">
        <f t="shared" si="65"/>
        <v>180000.00000000003</v>
      </c>
      <c r="Y120" s="1">
        <f t="shared" si="66"/>
        <v>1.9276976864724314E-5</v>
      </c>
      <c r="Z120" s="240">
        <f>Y120/B120</f>
        <v>1.9276976864724314E-5</v>
      </c>
      <c r="AA120" s="240">
        <f>AA121+Z120</f>
        <v>3.8638321600363702E-5</v>
      </c>
      <c r="AB120" s="1">
        <f t="shared" si="71"/>
        <v>0</v>
      </c>
      <c r="AC120" s="248">
        <f t="shared" si="67"/>
        <v>-1.3909795776130933E-3</v>
      </c>
      <c r="AD120" s="240"/>
      <c r="AE120" s="243"/>
      <c r="AG120" s="239"/>
      <c r="AH120" s="239"/>
      <c r="AI120" s="239"/>
      <c r="AM120" s="240"/>
    </row>
    <row r="121" spans="1:40">
      <c r="A121" s="241">
        <f t="shared" si="72"/>
        <v>100</v>
      </c>
      <c r="B121" s="241">
        <f t="shared" si="59"/>
        <v>1</v>
      </c>
      <c r="C121" s="241">
        <f t="shared" si="48"/>
        <v>8.8613861386138609E-2</v>
      </c>
      <c r="D121" s="241">
        <f t="shared" si="49"/>
        <v>6.9999999999999991</v>
      </c>
      <c r="E121" s="241">
        <f t="shared" si="60"/>
        <v>19.999999999999982</v>
      </c>
      <c r="F121" s="241">
        <f t="shared" si="61"/>
        <v>14.282856857085692</v>
      </c>
      <c r="G121" s="241">
        <f>F121*F121*3.1416/4</f>
        <v>160.22159999999982</v>
      </c>
      <c r="H121" s="241">
        <f t="shared" si="50"/>
        <v>314.15999999999946</v>
      </c>
      <c r="I121" s="241">
        <f t="shared" si="51"/>
        <v>160.22159999999982</v>
      </c>
      <c r="J121" s="241">
        <f t="shared" si="52"/>
        <v>314.15999999999946</v>
      </c>
      <c r="K121" s="241">
        <f>H121-G121</f>
        <v>153.93839999999963</v>
      </c>
      <c r="L121" s="241">
        <f t="shared" si="62"/>
        <v>13.999999999999984</v>
      </c>
      <c r="M121" s="241">
        <f>(E121-L121)/2</f>
        <v>2.9999999999999991</v>
      </c>
      <c r="N121" s="241">
        <f t="shared" si="54"/>
        <v>62.831999999999944</v>
      </c>
      <c r="O121" s="241">
        <f t="shared" si="55"/>
        <v>5.5677861386138554E-2</v>
      </c>
      <c r="P121" s="241">
        <f t="shared" si="56"/>
        <v>2.7838930693069252E-3</v>
      </c>
      <c r="Q121" s="241">
        <f t="shared" si="73"/>
        <v>11.67115624832191</v>
      </c>
      <c r="R121" s="241">
        <f t="shared" si="74"/>
        <v>0.20510659597306852</v>
      </c>
      <c r="S121" s="250">
        <f t="shared" si="63"/>
        <v>1.419785465346533E-3</v>
      </c>
      <c r="T121" s="250">
        <f t="shared" si="68"/>
        <v>0.11374791897110482</v>
      </c>
      <c r="U121" s="250">
        <f t="shared" si="69"/>
        <v>0</v>
      </c>
      <c r="V121" s="250">
        <f t="shared" si="70"/>
        <v>0</v>
      </c>
      <c r="W121" s="1">
        <f t="shared" si="64"/>
        <v>8.9011999999999891E-4</v>
      </c>
      <c r="X121" s="1">
        <f t="shared" si="65"/>
        <v>180000.00000000003</v>
      </c>
      <c r="Y121" s="1">
        <f t="shared" si="66"/>
        <v>1.9361344735639388E-5</v>
      </c>
      <c r="Z121" s="240">
        <f>Y121/B121</f>
        <v>1.9361344735639388E-5</v>
      </c>
      <c r="AA121" s="240">
        <f>Z121</f>
        <v>1.9361344735639388E-5</v>
      </c>
      <c r="AB121" s="1">
        <f t="shared" si="71"/>
        <v>0</v>
      </c>
      <c r="AC121" s="248">
        <f t="shared" si="67"/>
        <v>-6.9700841048301796E-4</v>
      </c>
      <c r="AD121" s="240"/>
      <c r="AE121" s="243"/>
      <c r="AG121" s="239"/>
      <c r="AH121" s="239"/>
      <c r="AI121" s="239"/>
      <c r="AM121" s="240"/>
    </row>
    <row r="122" spans="1:40">
      <c r="A122" s="241"/>
      <c r="B122" s="241"/>
      <c r="C122" s="241"/>
      <c r="D122" s="241"/>
      <c r="E122" s="241"/>
      <c r="G122" s="241"/>
      <c r="H122" s="241"/>
      <c r="I122" s="241"/>
      <c r="J122" s="241"/>
      <c r="K122" s="241"/>
      <c r="L122" s="241"/>
      <c r="M122" s="241"/>
      <c r="N122" s="241"/>
      <c r="O122" s="241"/>
      <c r="P122" s="241"/>
      <c r="Q122" s="241"/>
      <c r="R122" s="241"/>
      <c r="W122" s="241"/>
      <c r="X122" s="1"/>
      <c r="Y122" s="1"/>
      <c r="Z122" s="215"/>
      <c r="AA122" s="239"/>
      <c r="AC122" s="239"/>
      <c r="AD122" s="239"/>
      <c r="AE122" s="239"/>
      <c r="AF122" s="243"/>
      <c r="AH122" s="239"/>
      <c r="AI122" s="239"/>
      <c r="AJ122" s="239"/>
      <c r="AN122" s="240"/>
    </row>
    <row r="123" spans="1:40">
      <c r="A123" s="241"/>
      <c r="B123" s="241"/>
      <c r="C123" s="241"/>
      <c r="D123" s="241"/>
      <c r="E123" s="241"/>
      <c r="G123" s="241"/>
      <c r="H123" s="241"/>
      <c r="I123" s="241"/>
      <c r="J123" s="241"/>
      <c r="K123" s="241"/>
      <c r="L123" s="241"/>
      <c r="M123" s="241"/>
      <c r="N123" s="241"/>
      <c r="O123" s="241"/>
      <c r="P123" s="241"/>
      <c r="Q123" s="241"/>
      <c r="R123" s="241"/>
      <c r="W123" s="241"/>
      <c r="X123" s="1"/>
      <c r="Y123" s="1"/>
      <c r="Z123" s="215"/>
      <c r="AA123" s="239"/>
      <c r="AC123" s="239"/>
      <c r="AD123" s="239"/>
      <c r="AE123" s="239"/>
      <c r="AF123" s="243"/>
      <c r="AH123" s="239"/>
      <c r="AI123" s="239"/>
      <c r="AJ123" s="239"/>
      <c r="AN123" s="240"/>
    </row>
    <row r="124" spans="1:40">
      <c r="A124" s="241"/>
      <c r="B124" s="241"/>
      <c r="C124" s="241"/>
      <c r="D124" s="241"/>
      <c r="E124" s="241"/>
      <c r="G124" s="241"/>
      <c r="H124" s="241"/>
      <c r="I124" s="241"/>
      <c r="J124" s="241"/>
      <c r="K124" s="241"/>
      <c r="L124" s="241"/>
      <c r="M124" s="241"/>
      <c r="N124" s="241"/>
      <c r="O124" s="241"/>
      <c r="P124" s="241"/>
      <c r="Q124" s="241"/>
      <c r="R124" s="241"/>
      <c r="W124" s="241"/>
      <c r="X124" s="1"/>
      <c r="Y124" s="1"/>
      <c r="Z124" s="215"/>
      <c r="AA124" s="239"/>
      <c r="AC124" s="239"/>
      <c r="AD124" s="239"/>
      <c r="AE124" s="239"/>
      <c r="AF124" s="243"/>
      <c r="AH124" s="239"/>
      <c r="AI124" s="239"/>
      <c r="AJ124" s="239"/>
      <c r="AN124" s="240"/>
    </row>
    <row r="125" spans="1:40">
      <c r="A125" s="241"/>
      <c r="B125" s="241"/>
      <c r="C125" s="241"/>
      <c r="D125" s="241"/>
      <c r="E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W125" s="241"/>
      <c r="X125" s="1"/>
      <c r="Y125" s="1"/>
      <c r="Z125" s="215"/>
      <c r="AA125" s="239"/>
      <c r="AC125" s="239"/>
      <c r="AD125" s="239"/>
      <c r="AE125" s="239"/>
      <c r="AF125" s="243"/>
      <c r="AH125" s="239"/>
      <c r="AI125" s="239"/>
      <c r="AJ125" s="239"/>
      <c r="AN125" s="240"/>
    </row>
    <row r="126" spans="1:40">
      <c r="A126" s="241"/>
      <c r="B126" s="241"/>
      <c r="C126" s="241"/>
      <c r="D126" s="241"/>
      <c r="E126" s="241"/>
      <c r="G126" s="241">
        <f>G121/10000</f>
        <v>1.6022159999999983E-2</v>
      </c>
      <c r="H126" s="241"/>
      <c r="I126" s="241"/>
      <c r="J126" s="241"/>
      <c r="K126" s="241"/>
      <c r="L126" s="241"/>
      <c r="M126" s="241"/>
      <c r="N126" s="241"/>
      <c r="O126" s="241"/>
      <c r="P126" s="241"/>
      <c r="Q126" s="241"/>
      <c r="R126" s="241"/>
      <c r="W126" s="241"/>
      <c r="X126" s="1"/>
      <c r="Y126" s="1"/>
      <c r="Z126" s="215"/>
      <c r="AA126" s="239"/>
      <c r="AC126" s="239"/>
      <c r="AD126" s="239"/>
      <c r="AE126" s="239"/>
      <c r="AF126" s="243"/>
      <c r="AH126" s="239"/>
      <c r="AI126" s="239"/>
      <c r="AJ126" s="239"/>
      <c r="AN126" s="240"/>
    </row>
    <row r="127" spans="1:40">
      <c r="A127" s="241"/>
      <c r="B127" s="241"/>
      <c r="C127" s="241"/>
      <c r="D127" s="241"/>
      <c r="E127" s="241"/>
      <c r="G127" s="1">
        <f>G126*sureau_ini.txt!EU32</f>
        <v>160.22159999999982</v>
      </c>
      <c r="H127" s="241"/>
      <c r="I127" s="241"/>
      <c r="J127" s="241"/>
      <c r="K127" s="241"/>
      <c r="L127" s="241"/>
      <c r="M127" s="241"/>
      <c r="N127" s="241"/>
      <c r="O127" s="241"/>
      <c r="P127" s="241"/>
      <c r="Q127" s="241"/>
      <c r="R127" s="241"/>
      <c r="W127" s="241"/>
      <c r="X127" s="1"/>
      <c r="Y127" s="1"/>
      <c r="Z127" s="215"/>
      <c r="AA127" s="239"/>
      <c r="AC127" s="239"/>
      <c r="AD127" s="239"/>
      <c r="AE127" s="239"/>
      <c r="AF127" s="243"/>
      <c r="AH127" s="239"/>
      <c r="AI127" s="239"/>
      <c r="AJ127" s="239"/>
      <c r="AN127" s="240"/>
    </row>
    <row r="128" spans="1:40">
      <c r="A128" s="241"/>
      <c r="B128" s="241"/>
      <c r="C128" s="241"/>
      <c r="D128" s="241"/>
      <c r="E128" s="241"/>
      <c r="G128" s="90">
        <f>G127/20</f>
        <v>8.0110799999999909</v>
      </c>
      <c r="H128" s="241"/>
      <c r="I128" s="241"/>
      <c r="J128" s="241"/>
      <c r="K128" s="241"/>
      <c r="L128" s="241"/>
      <c r="M128" s="241"/>
      <c r="N128" s="241"/>
      <c r="O128" s="241"/>
      <c r="P128" s="241"/>
      <c r="Q128" s="241"/>
      <c r="R128" s="241"/>
      <c r="W128" s="241"/>
      <c r="X128" s="1"/>
      <c r="Y128" s="1"/>
      <c r="Z128" s="215"/>
      <c r="AA128" s="239"/>
      <c r="AC128" s="239"/>
      <c r="AD128" s="239"/>
      <c r="AE128" s="239"/>
      <c r="AF128" s="243"/>
      <c r="AH128" s="239"/>
      <c r="AI128" s="239"/>
      <c r="AJ128" s="239"/>
      <c r="AN128" s="240"/>
    </row>
    <row r="129" spans="1:44">
      <c r="A129" s="241"/>
      <c r="B129" s="241"/>
      <c r="C129" s="241"/>
      <c r="D129" s="241"/>
      <c r="E129" s="241"/>
      <c r="G129" s="241"/>
      <c r="H129" s="241"/>
      <c r="I129" s="241"/>
      <c r="J129" s="241"/>
      <c r="K129" s="241"/>
      <c r="L129" s="241"/>
      <c r="M129" s="241"/>
      <c r="N129" s="241"/>
      <c r="O129" s="241"/>
      <c r="P129" s="241"/>
      <c r="Q129" s="241"/>
      <c r="R129" s="241"/>
      <c r="W129" s="241"/>
      <c r="X129" s="1"/>
      <c r="Y129" s="1"/>
      <c r="Z129" s="215"/>
      <c r="AA129" s="239"/>
      <c r="AC129" s="239"/>
      <c r="AD129" s="239"/>
      <c r="AE129" s="239"/>
      <c r="AF129" s="243"/>
      <c r="AH129" s="239"/>
      <c r="AI129" s="239"/>
      <c r="AJ129" s="239"/>
      <c r="AN129" s="240"/>
    </row>
    <row r="130" spans="1:44">
      <c r="A130" s="241"/>
      <c r="B130" s="241"/>
      <c r="C130" s="241"/>
      <c r="D130" s="241"/>
      <c r="E130" s="241"/>
      <c r="G130" s="241"/>
      <c r="H130" s="241"/>
      <c r="I130" s="241"/>
      <c r="J130" s="241"/>
      <c r="K130" s="241"/>
      <c r="L130" s="241"/>
      <c r="M130" s="241"/>
      <c r="N130" s="241"/>
      <c r="O130" s="241"/>
      <c r="P130" s="241"/>
      <c r="Q130" s="241"/>
      <c r="R130" s="241"/>
      <c r="W130" s="241"/>
      <c r="X130" s="1"/>
      <c r="Y130" s="1"/>
      <c r="Z130" s="215"/>
      <c r="AA130" s="239"/>
      <c r="AC130" s="239"/>
      <c r="AD130" s="239"/>
      <c r="AE130" s="239"/>
      <c r="AF130" s="243"/>
      <c r="AH130" s="239"/>
      <c r="AI130" s="239"/>
      <c r="AJ130" s="239"/>
      <c r="AN130" s="240"/>
    </row>
    <row r="131" spans="1:44">
      <c r="A131" s="241"/>
      <c r="B131" s="241"/>
      <c r="C131" s="241"/>
      <c r="D131" s="241"/>
      <c r="E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1"/>
      <c r="W131" s="241"/>
      <c r="X131" s="1"/>
      <c r="Y131" s="1"/>
      <c r="Z131" s="240"/>
      <c r="AA131" s="240"/>
      <c r="AC131" s="240"/>
      <c r="AD131" s="240"/>
      <c r="AE131" s="215"/>
      <c r="AF131" s="239"/>
      <c r="AG131" s="239"/>
      <c r="AH131" s="239"/>
      <c r="AI131" s="239"/>
      <c r="AJ131" s="243"/>
      <c r="AL131" s="239"/>
      <c r="AM131" s="239"/>
      <c r="AN131" s="239"/>
      <c r="AR131" s="240"/>
    </row>
    <row r="132" spans="1:44">
      <c r="A132" s="241"/>
      <c r="B132" s="241"/>
      <c r="C132" s="241"/>
      <c r="D132" s="241"/>
      <c r="E132" s="241"/>
      <c r="G132" s="241"/>
      <c r="H132" s="241"/>
      <c r="I132" s="241"/>
      <c r="J132" s="241"/>
      <c r="K132" s="241"/>
      <c r="L132" s="241"/>
      <c r="M132" s="241"/>
      <c r="N132" s="241"/>
      <c r="O132" s="241"/>
      <c r="P132" s="241"/>
      <c r="Q132" s="241"/>
      <c r="R132" s="241"/>
      <c r="W132" s="241"/>
      <c r="X132" s="1"/>
      <c r="Y132" s="1"/>
      <c r="Z132" s="240"/>
      <c r="AA132" s="240"/>
      <c r="AC132" s="240"/>
      <c r="AD132" s="240"/>
      <c r="AE132" s="215"/>
      <c r="AF132" s="239"/>
      <c r="AG132" s="239"/>
      <c r="AH132" s="239"/>
      <c r="AI132" s="239"/>
      <c r="AJ132" s="243"/>
      <c r="AL132" s="239"/>
      <c r="AM132" s="239"/>
      <c r="AN132" s="239"/>
      <c r="AR132" s="240"/>
    </row>
    <row r="133" spans="1:44">
      <c r="A133" s="241"/>
      <c r="B133" s="241"/>
      <c r="C133" s="241"/>
      <c r="D133" s="241"/>
      <c r="E133" s="241"/>
      <c r="G133" s="241"/>
      <c r="H133" s="241"/>
      <c r="I133" s="241"/>
      <c r="J133" s="241"/>
      <c r="K133" s="241"/>
      <c r="L133" s="241"/>
      <c r="M133" s="241"/>
      <c r="N133" s="241"/>
      <c r="O133" s="241"/>
      <c r="P133" s="241"/>
      <c r="Q133" s="241"/>
      <c r="R133" s="241"/>
      <c r="W133" s="241"/>
      <c r="X133" s="1"/>
      <c r="Y133" s="1"/>
      <c r="Z133" s="240"/>
      <c r="AA133" s="240"/>
      <c r="AC133" s="240"/>
      <c r="AD133" s="240"/>
      <c r="AE133" s="215"/>
      <c r="AF133" s="239"/>
      <c r="AG133" s="239"/>
      <c r="AH133" s="239"/>
      <c r="AI133" s="239"/>
      <c r="AJ133" s="243"/>
      <c r="AL133" s="239"/>
      <c r="AM133" s="239"/>
      <c r="AN133" s="239"/>
      <c r="AR133" s="240"/>
    </row>
    <row r="134" spans="1:44">
      <c r="A134" s="241"/>
      <c r="B134" s="241"/>
      <c r="C134" s="241"/>
      <c r="D134" s="241"/>
      <c r="E134" s="241"/>
      <c r="G134" s="241"/>
      <c r="H134" s="241"/>
      <c r="I134" s="241"/>
      <c r="J134" s="241"/>
      <c r="K134" s="241"/>
      <c r="L134" s="241"/>
      <c r="M134" s="241"/>
      <c r="N134" s="241"/>
      <c r="O134" s="241"/>
      <c r="P134" s="241"/>
      <c r="Q134" s="241"/>
      <c r="R134" s="241"/>
      <c r="W134" s="241"/>
      <c r="X134" s="1"/>
      <c r="Y134" s="1"/>
      <c r="Z134" s="240"/>
      <c r="AA134" s="240"/>
      <c r="AC134" s="240"/>
      <c r="AD134" s="240"/>
      <c r="AE134" s="215"/>
      <c r="AF134" s="239"/>
      <c r="AG134" s="239"/>
      <c r="AH134" s="239"/>
      <c r="AI134" s="239"/>
      <c r="AJ134" s="243"/>
      <c r="AL134" s="239"/>
      <c r="AM134" s="239"/>
      <c r="AN134" s="239"/>
      <c r="AR134" s="240"/>
    </row>
    <row r="135" spans="1:44">
      <c r="A135" s="241"/>
      <c r="B135" s="241"/>
      <c r="C135" s="241"/>
      <c r="D135" s="241"/>
      <c r="E135" s="241"/>
      <c r="G135" s="241"/>
      <c r="H135" s="241"/>
      <c r="I135" s="241"/>
      <c r="J135" s="241"/>
      <c r="K135" s="241"/>
      <c r="L135" s="241"/>
      <c r="M135" s="241"/>
      <c r="N135" s="241"/>
      <c r="O135" s="241"/>
      <c r="P135" s="241"/>
      <c r="Q135" s="241"/>
      <c r="R135" s="241"/>
      <c r="W135" s="241"/>
      <c r="X135" s="1"/>
      <c r="Y135" s="1"/>
      <c r="Z135" s="240"/>
      <c r="AA135" s="240"/>
      <c r="AC135" s="240"/>
      <c r="AD135" s="240"/>
      <c r="AE135" s="215"/>
      <c r="AF135" s="239"/>
      <c r="AG135" s="239"/>
      <c r="AH135" s="239"/>
      <c r="AI135" s="239"/>
      <c r="AJ135" s="243"/>
      <c r="AL135" s="239"/>
      <c r="AM135" s="239"/>
      <c r="AN135" s="239"/>
      <c r="AR135" s="240"/>
    </row>
    <row r="136" spans="1:44">
      <c r="A136" s="241"/>
      <c r="B136" s="241"/>
      <c r="C136" s="241"/>
      <c r="D136" s="241"/>
      <c r="E136" s="241"/>
      <c r="G136" s="241"/>
      <c r="H136" s="241"/>
      <c r="I136" s="241"/>
      <c r="J136" s="241"/>
      <c r="K136" s="241"/>
      <c r="L136" s="241"/>
      <c r="M136" s="241"/>
      <c r="N136" s="241"/>
      <c r="O136" s="241"/>
      <c r="P136" s="241"/>
      <c r="Q136" s="241"/>
      <c r="R136" s="241"/>
      <c r="W136" s="241"/>
      <c r="X136" s="1"/>
      <c r="Y136" s="1"/>
      <c r="Z136" s="240"/>
      <c r="AA136" s="240"/>
      <c r="AC136" s="240"/>
      <c r="AD136" s="240"/>
      <c r="AE136" s="215"/>
      <c r="AF136" s="239"/>
      <c r="AG136" s="239"/>
      <c r="AH136" s="239"/>
      <c r="AI136" s="239"/>
      <c r="AJ136" s="243"/>
      <c r="AL136" s="239"/>
      <c r="AM136" s="239"/>
      <c r="AN136" s="239"/>
      <c r="AR136" s="240"/>
    </row>
    <row r="137" spans="1:44">
      <c r="A137" s="241"/>
      <c r="B137" s="241"/>
      <c r="C137" s="241"/>
      <c r="D137" s="241"/>
      <c r="E137" s="241"/>
      <c r="G137" s="241"/>
      <c r="H137" s="241"/>
      <c r="I137" s="241"/>
      <c r="J137" s="241"/>
      <c r="K137" s="241"/>
      <c r="L137" s="241"/>
      <c r="M137" s="241"/>
      <c r="N137" s="241"/>
      <c r="O137" s="241"/>
      <c r="P137" s="241"/>
      <c r="Q137" s="241"/>
      <c r="R137" s="241"/>
      <c r="W137" s="241"/>
      <c r="X137" s="1"/>
      <c r="Y137" s="1"/>
      <c r="Z137" s="240"/>
      <c r="AA137" s="240"/>
      <c r="AC137" s="240"/>
      <c r="AD137" s="240"/>
      <c r="AE137" s="215"/>
      <c r="AF137" s="239"/>
      <c r="AG137" s="239"/>
      <c r="AH137" s="239"/>
      <c r="AI137" s="239"/>
      <c r="AJ137" s="243"/>
      <c r="AL137" s="239"/>
      <c r="AM137" s="239"/>
      <c r="AN137" s="239"/>
      <c r="AR137" s="240"/>
    </row>
    <row r="138" spans="1:44">
      <c r="A138" s="241"/>
      <c r="B138" s="241"/>
      <c r="C138" s="241"/>
      <c r="D138" s="241"/>
      <c r="E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W138" s="241"/>
      <c r="X138" s="1"/>
      <c r="Y138" s="1"/>
      <c r="Z138" s="240"/>
      <c r="AA138" s="240"/>
      <c r="AC138" s="240"/>
      <c r="AD138" s="240"/>
      <c r="AE138" s="215"/>
      <c r="AF138" s="239"/>
      <c r="AG138" s="239"/>
      <c r="AH138" s="239"/>
      <c r="AI138" s="239"/>
      <c r="AJ138" s="243"/>
      <c r="AL138" s="239"/>
      <c r="AM138" s="239"/>
      <c r="AN138" s="239"/>
      <c r="AR138" s="240"/>
    </row>
    <row r="139" spans="1:44">
      <c r="A139" s="241"/>
      <c r="B139" s="241"/>
      <c r="C139" s="241"/>
      <c r="D139" s="241"/>
      <c r="E139" s="241"/>
      <c r="G139" s="241"/>
      <c r="H139" s="241"/>
      <c r="I139" s="241"/>
      <c r="J139" s="241"/>
      <c r="K139" s="241"/>
      <c r="L139" s="241"/>
      <c r="M139" s="241"/>
      <c r="N139" s="241"/>
      <c r="O139" s="241"/>
      <c r="P139" s="241"/>
      <c r="Q139" s="241"/>
      <c r="R139" s="241"/>
      <c r="W139" s="241"/>
      <c r="X139" s="1"/>
      <c r="Y139" s="1"/>
      <c r="Z139" s="240"/>
      <c r="AA139" s="240"/>
      <c r="AC139" s="240"/>
      <c r="AD139" s="240"/>
      <c r="AE139" s="215"/>
      <c r="AF139" s="239"/>
      <c r="AG139" s="239"/>
      <c r="AH139" s="239"/>
      <c r="AI139" s="239"/>
      <c r="AJ139" s="243"/>
      <c r="AL139" s="239"/>
      <c r="AM139" s="239"/>
      <c r="AN139" s="239"/>
      <c r="AR139" s="240"/>
    </row>
    <row r="140" spans="1:44">
      <c r="A140" s="241"/>
      <c r="B140" s="241"/>
      <c r="C140" s="241"/>
      <c r="D140" s="241"/>
      <c r="E140" s="241"/>
      <c r="G140" s="241"/>
      <c r="H140" s="241"/>
      <c r="I140" s="241"/>
      <c r="J140" s="241"/>
      <c r="K140" s="241"/>
      <c r="L140" s="241"/>
      <c r="M140" s="241"/>
      <c r="N140" s="241"/>
      <c r="O140" s="241"/>
      <c r="P140" s="241"/>
      <c r="Q140" s="241"/>
      <c r="R140" s="241"/>
      <c r="W140" s="241"/>
      <c r="X140" s="1"/>
      <c r="Y140" s="1"/>
      <c r="Z140" s="240"/>
      <c r="AA140" s="240"/>
      <c r="AC140" s="240"/>
      <c r="AD140" s="240"/>
      <c r="AE140" s="215"/>
      <c r="AF140" s="239"/>
      <c r="AG140" s="239"/>
      <c r="AH140" s="239"/>
      <c r="AI140" s="239"/>
      <c r="AJ140" s="243"/>
      <c r="AL140" s="239"/>
      <c r="AM140" s="239"/>
      <c r="AN140" s="239"/>
      <c r="AR140" s="240"/>
    </row>
    <row r="141" spans="1:44">
      <c r="A141" s="241"/>
      <c r="B141" s="241"/>
      <c r="C141" s="241"/>
      <c r="D141" s="241"/>
      <c r="E141" s="241"/>
      <c r="G141" s="241"/>
      <c r="H141" s="241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W141" s="241"/>
      <c r="X141" s="1"/>
      <c r="Y141" s="1"/>
      <c r="Z141" s="240"/>
      <c r="AA141" s="240"/>
      <c r="AC141" s="240"/>
      <c r="AD141" s="240"/>
      <c r="AE141" s="215"/>
      <c r="AF141" s="239"/>
      <c r="AG141" s="239"/>
      <c r="AH141" s="239"/>
      <c r="AI141" s="239"/>
      <c r="AJ141" s="243"/>
      <c r="AL141" s="239"/>
      <c r="AM141" s="239"/>
      <c r="AN141" s="239"/>
      <c r="AR141" s="240"/>
    </row>
    <row r="142" spans="1:44">
      <c r="A142" s="241"/>
      <c r="B142" s="241"/>
      <c r="C142" s="241"/>
      <c r="D142" s="241"/>
      <c r="E142" s="241"/>
      <c r="G142" s="241"/>
      <c r="H142" s="241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W142" s="241"/>
      <c r="X142" s="1"/>
      <c r="Y142" s="1"/>
      <c r="Z142" s="240"/>
      <c r="AA142" s="240"/>
      <c r="AC142" s="240"/>
      <c r="AD142" s="240"/>
      <c r="AE142" s="215"/>
      <c r="AF142" s="239"/>
      <c r="AG142" s="239"/>
      <c r="AH142" s="239"/>
      <c r="AI142" s="239"/>
      <c r="AJ142" s="243"/>
      <c r="AL142" s="239"/>
      <c r="AM142" s="239"/>
      <c r="AN142" s="239"/>
      <c r="AR142" s="240"/>
    </row>
    <row r="143" spans="1:44">
      <c r="A143" s="241"/>
      <c r="B143" s="241"/>
      <c r="C143" s="241"/>
      <c r="D143" s="241"/>
      <c r="E143" s="241"/>
      <c r="G143" s="241"/>
      <c r="H143" s="241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W143" s="241"/>
      <c r="X143" s="1"/>
      <c r="Y143" s="1"/>
      <c r="Z143" s="240"/>
      <c r="AA143" s="240"/>
      <c r="AC143" s="240"/>
      <c r="AD143" s="240"/>
      <c r="AE143" s="215"/>
      <c r="AF143" s="239"/>
      <c r="AG143" s="239"/>
      <c r="AH143" s="239"/>
      <c r="AI143" s="239"/>
      <c r="AJ143" s="243"/>
      <c r="AL143" s="239"/>
      <c r="AM143" s="239"/>
      <c r="AN143" s="239"/>
      <c r="AR143" s="240"/>
    </row>
    <row r="144" spans="1:44">
      <c r="A144" s="241"/>
      <c r="B144" s="241"/>
      <c r="C144" s="241"/>
      <c r="D144" s="241"/>
      <c r="E144" s="241"/>
      <c r="G144" s="241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W144" s="241"/>
      <c r="X144" s="1"/>
      <c r="Y144" s="1"/>
      <c r="Z144" s="240"/>
      <c r="AA144" s="240"/>
      <c r="AC144" s="240"/>
      <c r="AD144" s="240"/>
      <c r="AE144" s="215"/>
      <c r="AF144" s="239"/>
      <c r="AG144" s="239"/>
      <c r="AH144" s="239"/>
      <c r="AI144" s="239"/>
      <c r="AJ144" s="243"/>
      <c r="AL144" s="239"/>
      <c r="AM144" s="239"/>
      <c r="AN144" s="239"/>
      <c r="AR144" s="240"/>
    </row>
    <row r="145" spans="1:44">
      <c r="A145" s="241"/>
      <c r="B145" s="241"/>
      <c r="C145" s="241"/>
      <c r="D145" s="241"/>
      <c r="E145" s="241"/>
      <c r="G145" s="241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W145" s="241"/>
      <c r="X145" s="1"/>
      <c r="Y145" s="1"/>
      <c r="Z145" s="240"/>
      <c r="AA145" s="240"/>
      <c r="AC145" s="240"/>
      <c r="AD145" s="240"/>
      <c r="AE145" s="215"/>
      <c r="AF145" s="239"/>
      <c r="AG145" s="239"/>
      <c r="AH145" s="239"/>
      <c r="AI145" s="239"/>
      <c r="AJ145" s="243"/>
      <c r="AL145" s="239"/>
      <c r="AM145" s="239"/>
      <c r="AN145" s="239"/>
      <c r="AR145" s="240"/>
    </row>
    <row r="146" spans="1:44">
      <c r="A146" s="241"/>
      <c r="B146" s="241"/>
      <c r="C146" s="241"/>
      <c r="D146" s="241"/>
      <c r="E146" s="241"/>
      <c r="G146" s="241"/>
      <c r="H146" s="241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W146" s="241"/>
      <c r="X146" s="1"/>
      <c r="Y146" s="1"/>
      <c r="Z146" s="240"/>
      <c r="AA146" s="240"/>
      <c r="AC146" s="240"/>
      <c r="AD146" s="240"/>
      <c r="AE146" s="215"/>
      <c r="AF146" s="239"/>
      <c r="AG146" s="239"/>
      <c r="AH146" s="239"/>
      <c r="AI146" s="239"/>
      <c r="AJ146" s="243"/>
      <c r="AL146" s="239"/>
      <c r="AM146" s="239"/>
      <c r="AN146" s="239"/>
      <c r="AR146" s="240"/>
    </row>
    <row r="147" spans="1:44">
      <c r="A147" s="241"/>
      <c r="B147" s="241"/>
      <c r="C147" s="241"/>
      <c r="D147" s="241"/>
      <c r="E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W147" s="241"/>
      <c r="X147" s="1"/>
      <c r="Y147" s="1"/>
      <c r="Z147" s="240"/>
      <c r="AA147" s="240"/>
      <c r="AC147" s="240"/>
      <c r="AD147" s="240"/>
      <c r="AE147" s="215"/>
      <c r="AF147" s="239"/>
      <c r="AG147" s="239"/>
      <c r="AH147" s="239"/>
      <c r="AI147" s="239"/>
      <c r="AJ147" s="243"/>
      <c r="AL147" s="239"/>
      <c r="AM147" s="239"/>
      <c r="AN147" s="239"/>
      <c r="AR147" s="240"/>
    </row>
    <row r="148" spans="1:44">
      <c r="A148" s="241"/>
      <c r="B148" s="241"/>
      <c r="C148" s="241"/>
      <c r="D148" s="241"/>
      <c r="E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W148" s="241"/>
      <c r="X148" s="1"/>
      <c r="Y148" s="1"/>
      <c r="Z148" s="240"/>
      <c r="AA148" s="240"/>
      <c r="AC148" s="240"/>
      <c r="AD148" s="240"/>
      <c r="AE148" s="215"/>
      <c r="AF148" s="239"/>
      <c r="AG148" s="239"/>
      <c r="AH148" s="239"/>
      <c r="AI148" s="239"/>
      <c r="AJ148" s="243"/>
      <c r="AL148" s="239"/>
      <c r="AM148" s="239"/>
      <c r="AN148" s="239"/>
      <c r="AR148" s="240"/>
    </row>
    <row r="149" spans="1:44">
      <c r="A149" s="241"/>
      <c r="B149" s="241"/>
      <c r="C149" s="241"/>
      <c r="D149" s="241"/>
      <c r="E149" s="241"/>
      <c r="G149" s="241"/>
      <c r="H149" s="241"/>
      <c r="I149" s="241"/>
      <c r="J149" s="241"/>
      <c r="K149" s="241"/>
      <c r="L149" s="241"/>
      <c r="M149" s="241"/>
      <c r="N149" s="241"/>
      <c r="O149" s="241"/>
      <c r="P149" s="241"/>
      <c r="Q149" s="241"/>
      <c r="R149" s="241"/>
      <c r="W149" s="241"/>
      <c r="X149" s="1"/>
      <c r="Y149" s="1"/>
      <c r="Z149" s="240"/>
      <c r="AA149" s="240"/>
      <c r="AC149" s="240"/>
      <c r="AD149" s="240"/>
      <c r="AE149" s="215"/>
      <c r="AF149" s="239"/>
      <c r="AG149" s="239"/>
      <c r="AH149" s="239"/>
      <c r="AI149" s="239"/>
      <c r="AJ149" s="243"/>
      <c r="AL149" s="239"/>
      <c r="AM149" s="239"/>
      <c r="AN149" s="239"/>
      <c r="AR149" s="240"/>
    </row>
    <row r="150" spans="1:44">
      <c r="A150" s="241"/>
      <c r="B150" s="241"/>
      <c r="C150" s="241"/>
      <c r="D150" s="241"/>
      <c r="E150" s="241"/>
      <c r="G150" s="241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W150" s="241"/>
      <c r="X150" s="1"/>
      <c r="Y150" s="1"/>
      <c r="Z150" s="240"/>
      <c r="AA150" s="240"/>
      <c r="AC150" s="240"/>
      <c r="AD150" s="240"/>
      <c r="AE150" s="215"/>
      <c r="AF150" s="239"/>
      <c r="AG150" s="239"/>
      <c r="AH150" s="239"/>
      <c r="AI150" s="239"/>
      <c r="AJ150" s="243"/>
      <c r="AL150" s="239"/>
      <c r="AM150" s="239"/>
      <c r="AN150" s="239"/>
      <c r="AR150" s="240"/>
    </row>
    <row r="151" spans="1:44">
      <c r="A151" s="241"/>
      <c r="B151" s="241"/>
      <c r="C151" s="241"/>
      <c r="D151" s="241"/>
      <c r="E151" s="241"/>
      <c r="G151" s="241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W151" s="241"/>
      <c r="X151" s="1"/>
      <c r="Y151" s="1"/>
      <c r="Z151" s="240"/>
      <c r="AA151" s="240"/>
      <c r="AC151" s="240"/>
      <c r="AD151" s="240"/>
      <c r="AE151" s="215"/>
      <c r="AF151" s="239"/>
      <c r="AG151" s="239"/>
      <c r="AH151" s="239"/>
      <c r="AI151" s="239"/>
      <c r="AJ151" s="243"/>
      <c r="AL151" s="239"/>
      <c r="AM151" s="239"/>
      <c r="AN151" s="239"/>
      <c r="AR151" s="240"/>
    </row>
    <row r="152" spans="1:44">
      <c r="A152" s="241"/>
      <c r="B152" s="241"/>
      <c r="C152" s="241"/>
      <c r="D152" s="241"/>
      <c r="E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W152" s="241"/>
      <c r="X152" s="1"/>
      <c r="Y152" s="1"/>
      <c r="Z152" s="240"/>
      <c r="AA152" s="240"/>
      <c r="AC152" s="240"/>
      <c r="AD152" s="240"/>
      <c r="AE152" s="215"/>
      <c r="AF152" s="239"/>
      <c r="AG152" s="239"/>
      <c r="AH152" s="239"/>
      <c r="AI152" s="239"/>
      <c r="AJ152" s="243"/>
      <c r="AL152" s="239"/>
      <c r="AM152" s="239"/>
      <c r="AN152" s="239"/>
      <c r="AR152" s="240"/>
    </row>
    <row r="153" spans="1:44">
      <c r="A153" s="241"/>
      <c r="B153" s="241"/>
      <c r="C153" s="241"/>
      <c r="D153" s="241"/>
      <c r="E153" s="241"/>
      <c r="G153" s="241"/>
      <c r="H153" s="241"/>
      <c r="I153" s="241"/>
      <c r="J153" s="241"/>
      <c r="K153" s="241"/>
      <c r="L153" s="241"/>
      <c r="M153" s="241"/>
      <c r="N153" s="241"/>
      <c r="O153" s="241"/>
      <c r="P153" s="241"/>
      <c r="Q153" s="241"/>
      <c r="R153" s="241"/>
      <c r="W153" s="241"/>
      <c r="X153" s="1"/>
      <c r="Y153" s="1"/>
      <c r="Z153" s="240"/>
      <c r="AA153" s="240"/>
      <c r="AC153" s="240"/>
      <c r="AD153" s="240"/>
      <c r="AE153" s="215"/>
      <c r="AF153" s="239"/>
      <c r="AG153" s="239"/>
      <c r="AH153" s="239"/>
      <c r="AI153" s="239"/>
      <c r="AJ153" s="243"/>
      <c r="AL153" s="239"/>
      <c r="AM153" s="239"/>
      <c r="AN153" s="239"/>
      <c r="AR153" s="240"/>
    </row>
    <row r="154" spans="1:44">
      <c r="A154" s="241"/>
      <c r="B154" s="241"/>
      <c r="C154" s="241"/>
      <c r="D154" s="241"/>
      <c r="E154" s="241"/>
      <c r="G154" s="241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W154" s="241"/>
      <c r="X154" s="1"/>
      <c r="Y154" s="1"/>
      <c r="Z154" s="240"/>
      <c r="AA154" s="240"/>
      <c r="AC154" s="240"/>
      <c r="AD154" s="240"/>
      <c r="AE154" s="215"/>
      <c r="AF154" s="239"/>
      <c r="AG154" s="239"/>
      <c r="AH154" s="239"/>
      <c r="AI154" s="239"/>
      <c r="AJ154" s="243"/>
      <c r="AL154" s="239"/>
      <c r="AM154" s="239"/>
      <c r="AN154" s="239"/>
      <c r="AR154" s="240"/>
    </row>
    <row r="155" spans="1:44">
      <c r="A155" s="241"/>
      <c r="B155" s="241"/>
      <c r="C155" s="241"/>
      <c r="D155" s="241"/>
      <c r="E155" s="241"/>
      <c r="G155" s="241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W155" s="241"/>
      <c r="X155" s="1"/>
      <c r="Y155" s="1"/>
      <c r="Z155" s="240"/>
      <c r="AA155" s="240"/>
      <c r="AC155" s="240"/>
      <c r="AD155" s="240"/>
      <c r="AE155" s="215"/>
      <c r="AF155" s="239"/>
      <c r="AG155" s="239"/>
      <c r="AH155" s="239"/>
      <c r="AI155" s="239"/>
      <c r="AJ155" s="243"/>
      <c r="AL155" s="239"/>
      <c r="AM155" s="239"/>
      <c r="AN155" s="239"/>
      <c r="AR155" s="240"/>
    </row>
    <row r="156" spans="1:44">
      <c r="A156" s="241"/>
      <c r="B156" s="241"/>
      <c r="C156" s="241"/>
      <c r="D156" s="241"/>
      <c r="E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W156" s="241"/>
      <c r="X156" s="1"/>
      <c r="Y156" s="1"/>
      <c r="Z156" s="240"/>
      <c r="AA156" s="240"/>
      <c r="AC156" s="240"/>
      <c r="AD156" s="240"/>
      <c r="AE156" s="215"/>
      <c r="AF156" s="239"/>
      <c r="AG156" s="239"/>
      <c r="AH156" s="239"/>
      <c r="AI156" s="239"/>
      <c r="AJ156" s="243"/>
      <c r="AL156" s="239"/>
      <c r="AM156" s="239"/>
      <c r="AN156" s="239"/>
      <c r="AR156" s="240"/>
    </row>
    <row r="157" spans="1:44">
      <c r="A157" s="241"/>
      <c r="B157" s="241"/>
      <c r="C157" s="241"/>
      <c r="D157" s="241"/>
      <c r="E157" s="241"/>
      <c r="G157" s="241"/>
      <c r="H157" s="241"/>
      <c r="I157" s="241"/>
      <c r="J157" s="241"/>
      <c r="K157" s="241"/>
      <c r="L157" s="241"/>
      <c r="M157" s="241"/>
      <c r="N157" s="241"/>
      <c r="O157" s="241"/>
      <c r="P157" s="241"/>
      <c r="Q157" s="241"/>
      <c r="R157" s="241"/>
      <c r="W157" s="241"/>
      <c r="X157" s="1"/>
      <c r="Y157" s="1"/>
      <c r="Z157" s="240"/>
      <c r="AA157" s="240"/>
      <c r="AC157" s="240"/>
      <c r="AD157" s="240"/>
      <c r="AE157" s="215"/>
      <c r="AF157" s="239"/>
      <c r="AG157" s="239"/>
      <c r="AH157" s="239"/>
      <c r="AI157" s="239"/>
      <c r="AJ157" s="243"/>
      <c r="AL157" s="239"/>
      <c r="AM157" s="239"/>
      <c r="AN157" s="239"/>
      <c r="AR157" s="240"/>
    </row>
    <row r="158" spans="1:44">
      <c r="A158" s="241"/>
      <c r="B158" s="241"/>
      <c r="C158" s="241"/>
      <c r="D158" s="241"/>
      <c r="E158" s="241"/>
      <c r="G158" s="241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  <c r="R158" s="241"/>
      <c r="W158" s="241"/>
      <c r="X158" s="1"/>
      <c r="Y158" s="1"/>
      <c r="Z158" s="240"/>
      <c r="AA158" s="240"/>
      <c r="AC158" s="240"/>
      <c r="AD158" s="240"/>
      <c r="AE158" s="215"/>
      <c r="AF158" s="239"/>
      <c r="AG158" s="239"/>
      <c r="AH158" s="239"/>
      <c r="AI158" s="239"/>
      <c r="AJ158" s="243"/>
      <c r="AL158" s="239"/>
      <c r="AM158" s="239"/>
      <c r="AN158" s="239"/>
      <c r="AR158" s="240"/>
    </row>
    <row r="159" spans="1:44">
      <c r="A159" s="241"/>
      <c r="B159" s="241"/>
      <c r="C159" s="241"/>
      <c r="D159" s="241"/>
      <c r="E159" s="241"/>
      <c r="G159" s="241"/>
      <c r="H159" s="241"/>
      <c r="I159" s="241"/>
      <c r="J159" s="241"/>
      <c r="K159" s="241"/>
      <c r="L159" s="241"/>
      <c r="M159" s="241"/>
      <c r="N159" s="241"/>
      <c r="O159" s="241"/>
      <c r="P159" s="241"/>
      <c r="Q159" s="241"/>
      <c r="R159" s="241"/>
      <c r="W159" s="241"/>
      <c r="X159" s="1"/>
      <c r="Y159" s="1"/>
      <c r="Z159" s="240"/>
      <c r="AA159" s="240"/>
      <c r="AC159" s="240"/>
      <c r="AD159" s="240"/>
      <c r="AE159" s="215"/>
      <c r="AF159" s="239"/>
      <c r="AG159" s="239"/>
      <c r="AH159" s="239"/>
      <c r="AI159" s="239"/>
      <c r="AJ159" s="243"/>
      <c r="AL159" s="239"/>
      <c r="AM159" s="239"/>
      <c r="AN159" s="239"/>
      <c r="AR159" s="240"/>
    </row>
    <row r="160" spans="1:44">
      <c r="A160" s="241"/>
      <c r="B160" s="241"/>
      <c r="C160" s="241"/>
      <c r="D160" s="241"/>
      <c r="E160" s="241"/>
      <c r="G160" s="241"/>
      <c r="H160" s="241"/>
      <c r="I160" s="241"/>
      <c r="J160" s="241"/>
      <c r="K160" s="241"/>
      <c r="L160" s="241"/>
      <c r="M160" s="241"/>
      <c r="N160" s="241"/>
      <c r="O160" s="241"/>
      <c r="P160" s="241"/>
      <c r="Q160" s="241"/>
      <c r="R160" s="241"/>
      <c r="W160" s="241"/>
      <c r="X160" s="1"/>
      <c r="Y160" s="1"/>
      <c r="Z160" s="240"/>
      <c r="AA160" s="240"/>
      <c r="AC160" s="240"/>
      <c r="AD160" s="240"/>
      <c r="AE160" s="215"/>
      <c r="AF160" s="239"/>
      <c r="AG160" s="239"/>
      <c r="AH160" s="239"/>
      <c r="AI160" s="239"/>
      <c r="AJ160" s="243"/>
      <c r="AL160" s="239"/>
      <c r="AM160" s="239"/>
      <c r="AN160" s="239"/>
      <c r="AR160" s="240"/>
    </row>
    <row r="161" spans="1:44">
      <c r="A161" s="241"/>
      <c r="B161" s="241"/>
      <c r="C161" s="241"/>
      <c r="D161" s="241"/>
      <c r="E161" s="241"/>
      <c r="G161" s="241"/>
      <c r="H161" s="241"/>
      <c r="I161" s="241"/>
      <c r="J161" s="241"/>
      <c r="K161" s="241"/>
      <c r="L161" s="241"/>
      <c r="M161" s="241"/>
      <c r="N161" s="241"/>
      <c r="O161" s="241"/>
      <c r="P161" s="241"/>
      <c r="Q161" s="241"/>
      <c r="R161" s="241"/>
      <c r="W161" s="241"/>
      <c r="X161" s="1"/>
      <c r="Y161" s="1"/>
      <c r="Z161" s="240"/>
      <c r="AA161" s="240"/>
      <c r="AC161" s="240"/>
      <c r="AD161" s="240"/>
      <c r="AE161" s="215"/>
      <c r="AF161" s="239"/>
      <c r="AG161" s="239"/>
      <c r="AH161" s="239"/>
      <c r="AI161" s="239"/>
      <c r="AJ161" s="243"/>
      <c r="AL161" s="239"/>
      <c r="AM161" s="239"/>
      <c r="AN161" s="239"/>
      <c r="AR161" s="240"/>
    </row>
    <row r="162" spans="1:44">
      <c r="A162" s="241"/>
      <c r="B162" s="241"/>
      <c r="C162" s="241"/>
      <c r="D162" s="241"/>
      <c r="E162" s="241"/>
      <c r="G162" s="241"/>
      <c r="H162" s="241"/>
      <c r="I162" s="241"/>
      <c r="J162" s="241"/>
      <c r="K162" s="241"/>
      <c r="L162" s="241"/>
      <c r="M162" s="241"/>
      <c r="N162" s="241"/>
      <c r="O162" s="241"/>
      <c r="P162" s="241"/>
      <c r="Q162" s="241"/>
      <c r="R162" s="241"/>
      <c r="W162" s="241"/>
      <c r="X162" s="1"/>
      <c r="Y162" s="1"/>
      <c r="Z162" s="240"/>
      <c r="AA162" s="240"/>
      <c r="AC162" s="240"/>
      <c r="AD162" s="240"/>
      <c r="AE162" s="215"/>
      <c r="AF162" s="239"/>
      <c r="AG162" s="239"/>
      <c r="AH162" s="239"/>
      <c r="AI162" s="239"/>
      <c r="AJ162" s="243"/>
      <c r="AL162" s="239"/>
      <c r="AM162" s="239"/>
      <c r="AN162" s="239"/>
      <c r="AR162" s="240"/>
    </row>
    <row r="163" spans="1:44">
      <c r="A163" s="241"/>
      <c r="B163" s="241"/>
      <c r="C163" s="241"/>
      <c r="D163" s="241"/>
      <c r="E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1"/>
      <c r="W163" s="241"/>
      <c r="X163" s="1"/>
      <c r="Y163" s="1"/>
      <c r="Z163" s="240"/>
      <c r="AA163" s="240"/>
      <c r="AC163" s="240"/>
      <c r="AD163" s="240"/>
      <c r="AE163" s="215"/>
      <c r="AF163" s="239"/>
      <c r="AG163" s="239"/>
      <c r="AH163" s="239"/>
      <c r="AI163" s="239"/>
      <c r="AJ163" s="243"/>
      <c r="AL163" s="239"/>
      <c r="AM163" s="239"/>
      <c r="AN163" s="239"/>
      <c r="AR163" s="240"/>
    </row>
    <row r="164" spans="1:44">
      <c r="A164" s="241"/>
      <c r="B164" s="241"/>
      <c r="C164" s="241"/>
      <c r="D164" s="241"/>
      <c r="E164" s="241"/>
      <c r="G164" s="241"/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W164" s="241"/>
      <c r="X164" s="1"/>
      <c r="Y164" s="1"/>
      <c r="Z164" s="240"/>
      <c r="AA164" s="240"/>
      <c r="AC164" s="240"/>
      <c r="AD164" s="240"/>
      <c r="AE164" s="215"/>
      <c r="AF164" s="239"/>
      <c r="AG164" s="239"/>
      <c r="AH164" s="239"/>
      <c r="AI164" s="239"/>
      <c r="AJ164" s="243"/>
      <c r="AL164" s="239"/>
      <c r="AM164" s="239"/>
      <c r="AN164" s="239"/>
      <c r="AR164" s="240"/>
    </row>
    <row r="165" spans="1:44">
      <c r="A165" s="241"/>
      <c r="B165" s="241"/>
      <c r="C165" s="241"/>
      <c r="D165" s="241"/>
      <c r="E165" s="241"/>
      <c r="G165" s="241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1"/>
      <c r="W165" s="241"/>
      <c r="X165" s="1"/>
      <c r="Y165" s="1"/>
      <c r="Z165" s="240"/>
      <c r="AA165" s="240"/>
      <c r="AC165" s="240"/>
      <c r="AD165" s="240"/>
      <c r="AE165" s="215"/>
      <c r="AF165" s="239"/>
      <c r="AG165" s="239"/>
      <c r="AH165" s="239"/>
      <c r="AI165" s="239"/>
      <c r="AJ165" s="243"/>
      <c r="AL165" s="239"/>
      <c r="AM165" s="239"/>
      <c r="AN165" s="239"/>
      <c r="AR165" s="240"/>
    </row>
    <row r="166" spans="1:44">
      <c r="A166" s="241"/>
      <c r="B166" s="241"/>
      <c r="C166" s="241"/>
      <c r="D166" s="241"/>
      <c r="E166" s="241"/>
      <c r="G166" s="241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W166" s="241"/>
      <c r="X166" s="1"/>
      <c r="Y166" s="1"/>
      <c r="Z166" s="240"/>
      <c r="AA166" s="240"/>
      <c r="AC166" s="240"/>
      <c r="AD166" s="240"/>
      <c r="AE166" s="215"/>
      <c r="AF166" s="239"/>
      <c r="AG166" s="239"/>
      <c r="AH166" s="239"/>
      <c r="AI166" s="239"/>
      <c r="AJ166" s="243"/>
      <c r="AL166" s="239"/>
      <c r="AM166" s="239"/>
      <c r="AN166" s="239"/>
      <c r="AR166" s="240"/>
    </row>
    <row r="167" spans="1:44">
      <c r="A167" s="241"/>
      <c r="B167" s="241"/>
      <c r="C167" s="241"/>
      <c r="D167" s="241"/>
      <c r="E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W167" s="241"/>
      <c r="X167" s="1"/>
      <c r="Y167" s="1"/>
      <c r="Z167" s="240"/>
      <c r="AA167" s="240"/>
      <c r="AC167" s="240"/>
      <c r="AD167" s="240"/>
      <c r="AE167" s="215"/>
      <c r="AF167" s="239"/>
      <c r="AG167" s="239"/>
      <c r="AH167" s="239"/>
      <c r="AI167" s="239"/>
      <c r="AJ167" s="243"/>
      <c r="AL167" s="239"/>
      <c r="AM167" s="239"/>
      <c r="AN167" s="239"/>
      <c r="AR167" s="240"/>
    </row>
    <row r="168" spans="1:44">
      <c r="A168" s="241"/>
      <c r="B168" s="241"/>
      <c r="C168" s="241"/>
      <c r="D168" s="241"/>
      <c r="E168" s="241"/>
      <c r="G168" s="241"/>
      <c r="H168" s="241"/>
      <c r="I168" s="241"/>
      <c r="J168" s="241"/>
      <c r="K168" s="241"/>
      <c r="L168" s="241"/>
      <c r="M168" s="241"/>
      <c r="N168" s="241"/>
      <c r="O168" s="241"/>
      <c r="P168" s="241"/>
      <c r="Q168" s="241"/>
      <c r="R168" s="241"/>
      <c r="W168" s="241"/>
      <c r="X168" s="1"/>
      <c r="Y168" s="1"/>
      <c r="Z168" s="240"/>
      <c r="AA168" s="240"/>
      <c r="AC168" s="240"/>
      <c r="AD168" s="240"/>
      <c r="AE168" s="215"/>
      <c r="AF168" s="239"/>
      <c r="AG168" s="239"/>
      <c r="AH168" s="239"/>
      <c r="AI168" s="239"/>
      <c r="AJ168" s="243"/>
      <c r="AL168" s="239"/>
      <c r="AM168" s="239"/>
      <c r="AN168" s="239"/>
      <c r="AR168" s="240"/>
    </row>
    <row r="169" spans="1:44">
      <c r="A169" s="241"/>
      <c r="B169" s="241"/>
      <c r="C169" s="241"/>
      <c r="D169" s="241"/>
      <c r="E169" s="241"/>
      <c r="G169" s="241"/>
      <c r="H169" s="241"/>
      <c r="I169" s="241"/>
      <c r="J169" s="241"/>
      <c r="K169" s="241"/>
      <c r="L169" s="241"/>
      <c r="M169" s="241"/>
      <c r="N169" s="241"/>
      <c r="O169" s="241"/>
      <c r="P169" s="241"/>
      <c r="Q169" s="241"/>
      <c r="R169" s="241"/>
      <c r="W169" s="241"/>
      <c r="X169" s="1"/>
      <c r="Y169" s="1"/>
      <c r="Z169" s="240"/>
      <c r="AA169" s="240"/>
      <c r="AC169" s="240"/>
      <c r="AD169" s="240"/>
      <c r="AE169" s="215"/>
      <c r="AF169" s="239"/>
      <c r="AG169" s="239"/>
      <c r="AH169" s="239"/>
      <c r="AI169" s="239"/>
      <c r="AJ169" s="243"/>
      <c r="AL169" s="239"/>
      <c r="AM169" s="239"/>
      <c r="AN169" s="239"/>
      <c r="AR169" s="240"/>
    </row>
    <row r="170" spans="1:44">
      <c r="A170" s="241"/>
      <c r="B170" s="241"/>
      <c r="C170" s="241"/>
      <c r="D170" s="241"/>
      <c r="E170" s="241"/>
      <c r="G170" s="241"/>
      <c r="H170" s="241"/>
      <c r="I170" s="241"/>
      <c r="J170" s="241"/>
      <c r="K170" s="241"/>
      <c r="L170" s="241"/>
      <c r="M170" s="241"/>
      <c r="N170" s="241"/>
      <c r="O170" s="241"/>
      <c r="P170" s="241"/>
      <c r="Q170" s="241"/>
      <c r="R170" s="241"/>
      <c r="W170" s="241"/>
      <c r="X170" s="1"/>
      <c r="Y170" s="1"/>
      <c r="Z170" s="240"/>
      <c r="AA170" s="240"/>
      <c r="AC170" s="240"/>
      <c r="AD170" s="240"/>
      <c r="AE170" s="215"/>
      <c r="AF170" s="239"/>
      <c r="AG170" s="239"/>
      <c r="AH170" s="239"/>
      <c r="AI170" s="239"/>
      <c r="AJ170" s="243"/>
      <c r="AL170" s="239"/>
      <c r="AM170" s="239"/>
      <c r="AN170" s="239"/>
      <c r="AR170" s="240"/>
    </row>
    <row r="171" spans="1:44">
      <c r="A171" s="241"/>
      <c r="B171" s="241"/>
      <c r="C171" s="241"/>
      <c r="D171" s="241"/>
      <c r="E171" s="241"/>
      <c r="G171" s="241"/>
      <c r="H171" s="241"/>
      <c r="I171" s="241"/>
      <c r="J171" s="241"/>
      <c r="K171" s="241"/>
      <c r="L171" s="241"/>
      <c r="M171" s="241"/>
      <c r="N171" s="241"/>
      <c r="O171" s="241"/>
      <c r="P171" s="241"/>
      <c r="Q171" s="241"/>
      <c r="R171" s="241"/>
      <c r="W171" s="241"/>
      <c r="X171" s="1"/>
      <c r="Y171" s="1"/>
      <c r="Z171" s="240"/>
      <c r="AA171" s="240"/>
      <c r="AC171" s="240"/>
      <c r="AD171" s="240"/>
      <c r="AE171" s="215"/>
      <c r="AF171" s="239"/>
      <c r="AG171" s="239"/>
      <c r="AH171" s="239"/>
      <c r="AI171" s="239"/>
      <c r="AJ171" s="243"/>
      <c r="AL171" s="239"/>
      <c r="AM171" s="239"/>
      <c r="AN171" s="239"/>
      <c r="AR171" s="240"/>
    </row>
    <row r="172" spans="1:44">
      <c r="A172" s="241"/>
      <c r="B172" s="241"/>
      <c r="C172" s="241"/>
      <c r="D172" s="241"/>
      <c r="E172" s="241"/>
      <c r="G172" s="241"/>
      <c r="H172" s="241"/>
      <c r="I172" s="241"/>
      <c r="J172" s="241"/>
      <c r="K172" s="241"/>
      <c r="L172" s="241"/>
      <c r="M172" s="241"/>
      <c r="N172" s="241"/>
      <c r="O172" s="241"/>
      <c r="P172" s="241"/>
      <c r="Q172" s="241"/>
      <c r="R172" s="241"/>
      <c r="W172" s="241"/>
      <c r="X172" s="1"/>
      <c r="Y172" s="1"/>
      <c r="Z172" s="240"/>
      <c r="AA172" s="240"/>
      <c r="AC172" s="240"/>
      <c r="AD172" s="240"/>
      <c r="AE172" s="215"/>
      <c r="AF172" s="239"/>
      <c r="AG172" s="239"/>
      <c r="AH172" s="239"/>
      <c r="AI172" s="239"/>
      <c r="AJ172" s="243"/>
      <c r="AL172" s="239"/>
      <c r="AM172" s="239"/>
      <c r="AN172" s="239"/>
      <c r="AR172" s="240"/>
    </row>
    <row r="173" spans="1:44">
      <c r="A173" s="241"/>
      <c r="B173" s="241"/>
      <c r="C173" s="241"/>
      <c r="D173" s="241"/>
      <c r="E173" s="241"/>
      <c r="G173" s="241"/>
      <c r="H173" s="241"/>
      <c r="I173" s="241"/>
      <c r="J173" s="241"/>
      <c r="K173" s="241"/>
      <c r="L173" s="241"/>
      <c r="M173" s="241"/>
      <c r="N173" s="241"/>
      <c r="O173" s="241"/>
      <c r="P173" s="241"/>
      <c r="Q173" s="241"/>
      <c r="R173" s="241"/>
      <c r="W173" s="241"/>
      <c r="X173" s="1"/>
      <c r="Y173" s="1"/>
      <c r="Z173" s="240"/>
      <c r="AA173" s="240"/>
      <c r="AC173" s="240"/>
      <c r="AD173" s="240"/>
      <c r="AE173" s="215"/>
      <c r="AF173" s="239"/>
      <c r="AG173" s="239"/>
      <c r="AH173" s="239"/>
      <c r="AI173" s="239"/>
      <c r="AJ173" s="243"/>
      <c r="AL173" s="239"/>
      <c r="AM173" s="239"/>
      <c r="AN173" s="239"/>
      <c r="AR173" s="240"/>
    </row>
    <row r="174" spans="1:44">
      <c r="A174" s="241"/>
      <c r="B174" s="241"/>
      <c r="C174" s="241"/>
      <c r="D174" s="241"/>
      <c r="E174" s="241"/>
      <c r="G174" s="241"/>
      <c r="H174" s="241"/>
      <c r="I174" s="241"/>
      <c r="J174" s="241"/>
      <c r="K174" s="241"/>
      <c r="L174" s="241"/>
      <c r="M174" s="241"/>
      <c r="N174" s="241"/>
      <c r="O174" s="241"/>
      <c r="P174" s="241"/>
      <c r="Q174" s="241"/>
      <c r="R174" s="241"/>
      <c r="W174" s="241"/>
      <c r="X174" s="1"/>
      <c r="Y174" s="1"/>
      <c r="Z174" s="240"/>
      <c r="AA174" s="240"/>
      <c r="AC174" s="240"/>
      <c r="AD174" s="240"/>
      <c r="AE174" s="215"/>
      <c r="AF174" s="239"/>
      <c r="AG174" s="239"/>
      <c r="AH174" s="239"/>
      <c r="AI174" s="239"/>
      <c r="AJ174" s="243"/>
      <c r="AL174" s="239"/>
      <c r="AM174" s="239"/>
      <c r="AN174" s="239"/>
      <c r="AR174" s="240"/>
    </row>
    <row r="175" spans="1:44">
      <c r="A175" s="241"/>
      <c r="B175" s="241"/>
      <c r="C175" s="241"/>
      <c r="D175" s="241"/>
      <c r="E175" s="241"/>
      <c r="G175" s="241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1"/>
      <c r="W175" s="241"/>
      <c r="X175" s="1"/>
      <c r="Y175" s="1"/>
      <c r="Z175" s="240"/>
      <c r="AA175" s="240"/>
      <c r="AC175" s="240"/>
      <c r="AD175" s="240"/>
      <c r="AE175" s="215"/>
      <c r="AF175" s="239"/>
      <c r="AG175" s="239"/>
      <c r="AH175" s="239"/>
      <c r="AI175" s="239"/>
      <c r="AJ175" s="243"/>
      <c r="AL175" s="239"/>
      <c r="AM175" s="239"/>
      <c r="AN175" s="239"/>
      <c r="AR175" s="240"/>
    </row>
    <row r="176" spans="1:44">
      <c r="A176" s="241"/>
      <c r="B176" s="241"/>
      <c r="C176" s="241"/>
      <c r="D176" s="241"/>
      <c r="E176" s="241"/>
      <c r="G176" s="241"/>
      <c r="H176" s="241"/>
      <c r="I176" s="241"/>
      <c r="J176" s="241"/>
      <c r="K176" s="241"/>
      <c r="L176" s="241"/>
      <c r="M176" s="241"/>
      <c r="N176" s="241"/>
      <c r="O176" s="241"/>
      <c r="P176" s="241"/>
      <c r="Q176" s="241"/>
      <c r="R176" s="241"/>
      <c r="W176" s="241"/>
      <c r="X176" s="1"/>
      <c r="Y176" s="1"/>
      <c r="Z176" s="240"/>
      <c r="AA176" s="240"/>
      <c r="AC176" s="240"/>
      <c r="AD176" s="240"/>
      <c r="AE176" s="215"/>
      <c r="AF176" s="239"/>
      <c r="AG176" s="239"/>
      <c r="AH176" s="239"/>
      <c r="AI176" s="239"/>
      <c r="AJ176" s="243"/>
      <c r="AL176" s="239"/>
      <c r="AM176" s="239"/>
      <c r="AN176" s="239"/>
      <c r="AR176" s="240"/>
    </row>
    <row r="177" spans="1:44">
      <c r="A177" s="241"/>
      <c r="B177" s="241"/>
      <c r="C177" s="241"/>
      <c r="D177" s="241"/>
      <c r="E177" s="241"/>
      <c r="G177" s="241"/>
      <c r="H177" s="241"/>
      <c r="I177" s="241"/>
      <c r="J177" s="241"/>
      <c r="K177" s="241"/>
      <c r="L177" s="241"/>
      <c r="M177" s="241"/>
      <c r="N177" s="241"/>
      <c r="O177" s="241"/>
      <c r="P177" s="241"/>
      <c r="Q177" s="241"/>
      <c r="R177" s="241"/>
      <c r="W177" s="241"/>
      <c r="X177" s="1"/>
      <c r="Y177" s="1"/>
      <c r="Z177" s="240"/>
      <c r="AA177" s="240"/>
      <c r="AC177" s="240"/>
      <c r="AD177" s="240"/>
      <c r="AE177" s="215"/>
      <c r="AF177" s="239"/>
      <c r="AG177" s="239"/>
      <c r="AH177" s="239"/>
      <c r="AI177" s="239"/>
      <c r="AJ177" s="243"/>
      <c r="AL177" s="239"/>
      <c r="AM177" s="239"/>
      <c r="AN177" s="239"/>
      <c r="AR177" s="240"/>
    </row>
    <row r="178" spans="1:44">
      <c r="A178" s="241"/>
      <c r="B178" s="241"/>
      <c r="C178" s="241"/>
      <c r="D178" s="241"/>
      <c r="E178" s="241"/>
      <c r="G178" s="241"/>
      <c r="H178" s="241"/>
      <c r="I178" s="241"/>
      <c r="J178" s="241"/>
      <c r="K178" s="241"/>
      <c r="L178" s="241"/>
      <c r="M178" s="241"/>
      <c r="N178" s="241"/>
      <c r="O178" s="241"/>
      <c r="P178" s="241"/>
      <c r="Q178" s="241"/>
      <c r="R178" s="241"/>
      <c r="W178" s="241"/>
      <c r="X178" s="1"/>
      <c r="Y178" s="1"/>
      <c r="Z178" s="240"/>
      <c r="AA178" s="240"/>
      <c r="AC178" s="240"/>
      <c r="AD178" s="240"/>
      <c r="AE178" s="215"/>
      <c r="AF178" s="239"/>
      <c r="AG178" s="239"/>
      <c r="AH178" s="239"/>
      <c r="AI178" s="239"/>
      <c r="AJ178" s="243"/>
      <c r="AL178" s="239"/>
      <c r="AM178" s="239"/>
      <c r="AN178" s="239"/>
      <c r="AR178" s="240"/>
    </row>
    <row r="179" spans="1:44">
      <c r="A179" s="241"/>
      <c r="B179" s="241"/>
      <c r="C179" s="241"/>
      <c r="D179" s="241"/>
      <c r="E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1"/>
      <c r="W179" s="241"/>
      <c r="X179" s="1"/>
      <c r="Y179" s="1"/>
      <c r="Z179" s="240"/>
      <c r="AA179" s="240"/>
      <c r="AC179" s="240"/>
      <c r="AD179" s="240"/>
      <c r="AE179" s="215"/>
      <c r="AF179" s="239"/>
      <c r="AG179" s="239"/>
      <c r="AH179" s="239"/>
      <c r="AI179" s="239"/>
      <c r="AJ179" s="243"/>
      <c r="AL179" s="239"/>
      <c r="AM179" s="239"/>
      <c r="AN179" s="239"/>
      <c r="AR179" s="240"/>
    </row>
    <row r="180" spans="1:44">
      <c r="A180" s="241"/>
      <c r="B180" s="241"/>
      <c r="C180" s="241"/>
      <c r="D180" s="241"/>
      <c r="E180" s="241"/>
      <c r="G180" s="241"/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1"/>
      <c r="W180" s="241"/>
      <c r="X180" s="1"/>
      <c r="Y180" s="1"/>
      <c r="Z180" s="240"/>
      <c r="AA180" s="240"/>
      <c r="AC180" s="240"/>
      <c r="AD180" s="240"/>
      <c r="AE180" s="215"/>
      <c r="AF180" s="239"/>
      <c r="AG180" s="239"/>
      <c r="AH180" s="239"/>
      <c r="AI180" s="239"/>
      <c r="AJ180" s="243"/>
      <c r="AL180" s="239"/>
      <c r="AM180" s="239"/>
      <c r="AN180" s="239"/>
      <c r="AR180" s="240"/>
    </row>
    <row r="181" spans="1:44">
      <c r="A181" s="241"/>
      <c r="B181" s="241"/>
      <c r="C181" s="241"/>
      <c r="D181" s="241"/>
      <c r="E181" s="241"/>
      <c r="G181" s="241"/>
      <c r="H181" s="241"/>
      <c r="I181" s="241"/>
      <c r="J181" s="241"/>
      <c r="K181" s="241"/>
      <c r="L181" s="241"/>
      <c r="M181" s="241"/>
      <c r="N181" s="241"/>
      <c r="O181" s="241"/>
      <c r="P181" s="241"/>
      <c r="Q181" s="241"/>
      <c r="R181" s="241"/>
      <c r="W181" s="241"/>
      <c r="X181" s="1"/>
      <c r="Y181" s="1"/>
      <c r="Z181" s="240"/>
      <c r="AA181" s="240"/>
      <c r="AC181" s="240"/>
      <c r="AD181" s="240"/>
      <c r="AE181" s="215"/>
      <c r="AF181" s="239"/>
      <c r="AG181" s="239"/>
      <c r="AH181" s="239"/>
      <c r="AI181" s="239"/>
      <c r="AJ181" s="243"/>
      <c r="AL181" s="239"/>
      <c r="AM181" s="239"/>
      <c r="AN181" s="239"/>
      <c r="AR181" s="240"/>
    </row>
    <row r="182" spans="1:44">
      <c r="A182" s="241"/>
      <c r="B182" s="241"/>
      <c r="C182" s="241"/>
      <c r="D182" s="241"/>
      <c r="E182" s="241"/>
      <c r="G182" s="241"/>
      <c r="H182" s="241"/>
      <c r="I182" s="241"/>
      <c r="J182" s="241"/>
      <c r="K182" s="241"/>
      <c r="L182" s="241"/>
      <c r="M182" s="241"/>
      <c r="N182" s="241"/>
      <c r="O182" s="241"/>
      <c r="P182" s="241"/>
      <c r="Q182" s="241"/>
      <c r="R182" s="241"/>
      <c r="W182" s="241"/>
      <c r="X182" s="1"/>
      <c r="Y182" s="1"/>
      <c r="Z182" s="240"/>
      <c r="AA182" s="240"/>
      <c r="AC182" s="240"/>
      <c r="AD182" s="240"/>
      <c r="AE182" s="215"/>
      <c r="AF182" s="239"/>
      <c r="AG182" s="239"/>
      <c r="AH182" s="239"/>
      <c r="AI182" s="239"/>
      <c r="AJ182" s="243"/>
      <c r="AL182" s="239"/>
      <c r="AM182" s="239"/>
      <c r="AN182" s="239"/>
      <c r="AR182" s="240"/>
    </row>
    <row r="183" spans="1:44">
      <c r="A183" s="241"/>
      <c r="B183" s="241"/>
      <c r="C183" s="241"/>
      <c r="D183" s="241"/>
      <c r="E183" s="241"/>
      <c r="G183" s="241"/>
      <c r="H183" s="241"/>
      <c r="I183" s="241"/>
      <c r="J183" s="241"/>
      <c r="K183" s="241"/>
      <c r="L183" s="241"/>
      <c r="M183" s="241"/>
      <c r="N183" s="241"/>
      <c r="O183" s="241"/>
      <c r="P183" s="241"/>
      <c r="Q183" s="241"/>
      <c r="R183" s="241"/>
      <c r="W183" s="241"/>
      <c r="X183" s="1"/>
      <c r="Y183" s="1"/>
      <c r="Z183" s="240"/>
      <c r="AA183" s="240"/>
      <c r="AC183" s="240"/>
      <c r="AD183" s="240"/>
      <c r="AE183" s="215"/>
      <c r="AF183" s="239"/>
      <c r="AG183" s="239"/>
      <c r="AH183" s="239"/>
      <c r="AI183" s="239"/>
      <c r="AJ183" s="243"/>
      <c r="AL183" s="239"/>
      <c r="AM183" s="239"/>
      <c r="AN183" s="239"/>
      <c r="AR183" s="240"/>
    </row>
    <row r="184" spans="1:44">
      <c r="A184" s="241"/>
      <c r="B184" s="241"/>
      <c r="C184" s="241"/>
      <c r="D184" s="241"/>
      <c r="E184" s="241"/>
      <c r="G184" s="241"/>
      <c r="H184" s="241"/>
      <c r="I184" s="241"/>
      <c r="J184" s="241"/>
      <c r="K184" s="241"/>
      <c r="L184" s="241"/>
      <c r="M184" s="241"/>
      <c r="N184" s="241"/>
      <c r="O184" s="241"/>
      <c r="P184" s="241"/>
      <c r="Q184" s="241"/>
      <c r="R184" s="241"/>
      <c r="W184" s="241"/>
      <c r="X184" s="1"/>
      <c r="Y184" s="1"/>
      <c r="Z184" s="240"/>
      <c r="AA184" s="240"/>
      <c r="AC184" s="240"/>
      <c r="AD184" s="240"/>
      <c r="AE184" s="215"/>
      <c r="AF184" s="239"/>
      <c r="AG184" s="239"/>
      <c r="AH184" s="239"/>
      <c r="AI184" s="239"/>
      <c r="AJ184" s="243"/>
      <c r="AL184" s="239"/>
      <c r="AM184" s="239"/>
      <c r="AN184" s="239"/>
      <c r="AR184" s="240"/>
    </row>
    <row r="185" spans="1:44">
      <c r="A185" s="241"/>
      <c r="B185" s="241"/>
      <c r="C185" s="241"/>
      <c r="D185" s="241"/>
      <c r="E185" s="241"/>
      <c r="G185" s="241"/>
      <c r="H185" s="241"/>
      <c r="I185" s="241"/>
      <c r="J185" s="241"/>
      <c r="K185" s="241"/>
      <c r="L185" s="241"/>
      <c r="M185" s="241"/>
      <c r="N185" s="241"/>
      <c r="O185" s="241"/>
      <c r="P185" s="241"/>
      <c r="Q185" s="241"/>
      <c r="R185" s="241"/>
      <c r="W185" s="241"/>
      <c r="X185" s="1"/>
      <c r="Y185" s="1"/>
      <c r="Z185" s="240"/>
      <c r="AA185" s="240"/>
      <c r="AC185" s="240"/>
      <c r="AD185" s="240"/>
      <c r="AE185" s="215"/>
      <c r="AF185" s="239"/>
      <c r="AG185" s="239"/>
      <c r="AH185" s="239"/>
      <c r="AI185" s="239"/>
      <c r="AJ185" s="243"/>
      <c r="AL185" s="239"/>
      <c r="AM185" s="239"/>
      <c r="AN185" s="239"/>
      <c r="AR185" s="240"/>
    </row>
    <row r="186" spans="1:44">
      <c r="A186" s="241"/>
      <c r="B186" s="241"/>
      <c r="C186" s="241"/>
      <c r="D186" s="241"/>
      <c r="E186" s="241"/>
      <c r="G186" s="241"/>
      <c r="H186" s="241"/>
      <c r="I186" s="241"/>
      <c r="J186" s="241"/>
      <c r="K186" s="241"/>
      <c r="L186" s="241"/>
      <c r="M186" s="241"/>
      <c r="N186" s="241"/>
      <c r="O186" s="241"/>
      <c r="P186" s="241"/>
      <c r="Q186" s="241"/>
      <c r="R186" s="241"/>
      <c r="W186" s="241"/>
      <c r="X186" s="1"/>
      <c r="Y186" s="1"/>
      <c r="Z186" s="240"/>
      <c r="AA186" s="240"/>
      <c r="AC186" s="240"/>
      <c r="AD186" s="240"/>
      <c r="AE186" s="215"/>
      <c r="AF186" s="239"/>
      <c r="AG186" s="239"/>
      <c r="AH186" s="239"/>
      <c r="AI186" s="239"/>
      <c r="AJ186" s="243"/>
      <c r="AL186" s="239"/>
      <c r="AM186" s="239"/>
      <c r="AN186" s="239"/>
      <c r="AR186" s="240"/>
    </row>
    <row r="187" spans="1:44">
      <c r="A187" s="241"/>
      <c r="B187" s="241"/>
      <c r="C187" s="241"/>
      <c r="D187" s="241"/>
      <c r="E187" s="241"/>
      <c r="G187" s="241"/>
      <c r="H187" s="241"/>
      <c r="I187" s="241"/>
      <c r="J187" s="241"/>
      <c r="K187" s="241"/>
      <c r="L187" s="241"/>
      <c r="M187" s="241"/>
      <c r="N187" s="241"/>
      <c r="O187" s="241"/>
      <c r="P187" s="241"/>
      <c r="Q187" s="241"/>
      <c r="R187" s="241"/>
      <c r="W187" s="241"/>
      <c r="X187" s="1"/>
      <c r="Y187" s="1"/>
      <c r="Z187" s="240"/>
      <c r="AA187" s="240"/>
      <c r="AC187" s="240"/>
      <c r="AD187" s="240"/>
      <c r="AE187" s="215"/>
      <c r="AF187" s="239"/>
      <c r="AG187" s="239"/>
      <c r="AH187" s="239"/>
      <c r="AI187" s="239"/>
      <c r="AJ187" s="243"/>
      <c r="AL187" s="239"/>
      <c r="AM187" s="239"/>
      <c r="AN187" s="239"/>
      <c r="AR187" s="240"/>
    </row>
    <row r="188" spans="1:44">
      <c r="A188" s="241"/>
      <c r="B188" s="241"/>
      <c r="C188" s="241"/>
      <c r="D188" s="241"/>
      <c r="E188" s="241"/>
      <c r="G188" s="241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1"/>
      <c r="W188" s="241"/>
      <c r="X188" s="1"/>
      <c r="Y188" s="1"/>
      <c r="Z188" s="240"/>
      <c r="AA188" s="240"/>
      <c r="AC188" s="240"/>
      <c r="AD188" s="240"/>
      <c r="AE188" s="215"/>
      <c r="AF188" s="239"/>
      <c r="AG188" s="239"/>
      <c r="AH188" s="239"/>
      <c r="AI188" s="239"/>
      <c r="AJ188" s="243"/>
      <c r="AL188" s="239"/>
      <c r="AM188" s="239"/>
      <c r="AN188" s="239"/>
      <c r="AR188" s="240"/>
    </row>
    <row r="189" spans="1:44">
      <c r="A189" s="241"/>
      <c r="B189" s="241"/>
      <c r="C189" s="241"/>
      <c r="D189" s="241"/>
      <c r="E189" s="241"/>
      <c r="G189" s="241"/>
      <c r="H189" s="241"/>
      <c r="I189" s="241"/>
      <c r="J189" s="241"/>
      <c r="K189" s="241"/>
      <c r="L189" s="241"/>
      <c r="M189" s="241"/>
      <c r="N189" s="241"/>
      <c r="O189" s="241"/>
      <c r="P189" s="241"/>
      <c r="Q189" s="241"/>
      <c r="R189" s="241"/>
      <c r="W189" s="241"/>
      <c r="X189" s="1"/>
      <c r="Y189" s="1"/>
      <c r="Z189" s="240"/>
      <c r="AA189" s="240"/>
      <c r="AC189" s="240"/>
      <c r="AD189" s="240"/>
      <c r="AE189" s="215"/>
      <c r="AF189" s="239"/>
      <c r="AG189" s="239"/>
      <c r="AH189" s="239"/>
      <c r="AI189" s="239"/>
      <c r="AJ189" s="243"/>
      <c r="AL189" s="239"/>
      <c r="AM189" s="239"/>
      <c r="AN189" s="239"/>
      <c r="AR189" s="240"/>
    </row>
    <row r="190" spans="1:44">
      <c r="A190" s="241"/>
      <c r="B190" s="241"/>
      <c r="C190" s="241"/>
      <c r="D190" s="241"/>
      <c r="E190" s="241"/>
      <c r="G190" s="241"/>
      <c r="H190" s="241"/>
      <c r="I190" s="241"/>
      <c r="J190" s="241"/>
      <c r="K190" s="241"/>
      <c r="L190" s="241"/>
      <c r="M190" s="241"/>
      <c r="N190" s="241"/>
      <c r="O190" s="241"/>
      <c r="P190" s="241"/>
      <c r="Q190" s="241"/>
      <c r="R190" s="241"/>
      <c r="W190" s="241"/>
      <c r="X190" s="1"/>
      <c r="Y190" s="1"/>
      <c r="Z190" s="240"/>
      <c r="AA190" s="240"/>
      <c r="AC190" s="240"/>
      <c r="AD190" s="240"/>
      <c r="AE190" s="215"/>
      <c r="AF190" s="239"/>
      <c r="AG190" s="239"/>
      <c r="AH190" s="239"/>
      <c r="AI190" s="239"/>
      <c r="AJ190" s="243"/>
      <c r="AL190" s="239"/>
      <c r="AM190" s="239"/>
      <c r="AN190" s="239"/>
      <c r="AR190" s="240"/>
    </row>
    <row r="191" spans="1:44">
      <c r="K191" s="210"/>
      <c r="N191" s="1"/>
      <c r="O191" s="241"/>
      <c r="P191" s="241"/>
      <c r="Q191" s="241"/>
      <c r="R191" s="241"/>
      <c r="W191" s="241"/>
      <c r="X191" s="1"/>
      <c r="Y191" s="1"/>
      <c r="Z191" s="240"/>
      <c r="AA191" s="240"/>
      <c r="AC191" s="240"/>
      <c r="AD191" s="240"/>
      <c r="AE191" s="215"/>
      <c r="AF191" s="239"/>
      <c r="AG191" s="239"/>
      <c r="AH191" s="239"/>
      <c r="AI191" s="239"/>
      <c r="AJ191" s="243"/>
      <c r="AL191" s="239"/>
      <c r="AM191" s="239"/>
      <c r="AN191" s="239"/>
      <c r="AR191" s="240"/>
    </row>
    <row r="192" spans="1:44">
      <c r="K192" s="210"/>
      <c r="N192" s="1"/>
      <c r="O192" s="241"/>
      <c r="P192" s="241"/>
      <c r="Q192" s="241"/>
      <c r="R192" s="241"/>
      <c r="W192" s="241"/>
      <c r="X192" s="1"/>
      <c r="Y192" s="1"/>
      <c r="Z192" s="240"/>
      <c r="AA192" s="240"/>
      <c r="AC192" s="240"/>
      <c r="AD192" s="240"/>
      <c r="AE192" s="215"/>
      <c r="AF192" s="239"/>
      <c r="AG192" s="239"/>
      <c r="AH192" s="239"/>
      <c r="AI192" s="239"/>
      <c r="AJ192" s="243"/>
      <c r="AL192" s="239"/>
      <c r="AM192" s="239"/>
      <c r="AN192" s="239"/>
      <c r="AR192" s="240"/>
    </row>
    <row r="193" spans="11:44">
      <c r="K193" s="210"/>
      <c r="N193" s="1"/>
      <c r="O193" s="241"/>
      <c r="P193" s="241"/>
      <c r="Q193" s="241"/>
      <c r="R193" s="241"/>
      <c r="W193" s="241"/>
      <c r="X193" s="1"/>
      <c r="Y193" s="1"/>
      <c r="Z193" s="240"/>
      <c r="AA193" s="240"/>
      <c r="AC193" s="240"/>
      <c r="AD193" s="240"/>
      <c r="AE193" s="215"/>
      <c r="AF193" s="239"/>
      <c r="AG193" s="239"/>
      <c r="AH193" s="239"/>
      <c r="AI193" s="239"/>
      <c r="AJ193" s="243"/>
      <c r="AL193" s="239"/>
      <c r="AM193" s="239"/>
      <c r="AN193" s="239"/>
      <c r="AR193" s="240"/>
    </row>
    <row r="194" spans="11:44">
      <c r="K194" s="210"/>
      <c r="N194" s="1"/>
      <c r="O194" s="241"/>
      <c r="P194" s="241"/>
      <c r="Q194" s="241"/>
      <c r="R194" s="241"/>
      <c r="W194" s="241"/>
      <c r="X194" s="1"/>
      <c r="Y194" s="1"/>
      <c r="Z194" s="240"/>
      <c r="AA194" s="240"/>
      <c r="AC194" s="240"/>
      <c r="AD194" s="240"/>
      <c r="AE194" s="215"/>
      <c r="AF194" s="239"/>
      <c r="AG194" s="239"/>
      <c r="AH194" s="239"/>
      <c r="AI194" s="239"/>
      <c r="AJ194" s="243"/>
      <c r="AL194" s="239"/>
      <c r="AM194" s="239"/>
      <c r="AN194" s="239"/>
      <c r="AR194" s="240"/>
    </row>
    <row r="195" spans="11:44">
      <c r="K195" s="210"/>
      <c r="N195" s="1"/>
      <c r="O195" s="241"/>
      <c r="P195" s="241"/>
      <c r="Q195" s="241"/>
      <c r="R195" s="241"/>
      <c r="W195" s="241"/>
      <c r="X195" s="1"/>
      <c r="Y195" s="1"/>
      <c r="Z195" s="240"/>
      <c r="AA195" s="240"/>
      <c r="AC195" s="240"/>
      <c r="AD195" s="240"/>
      <c r="AE195" s="215"/>
      <c r="AF195" s="239"/>
      <c r="AG195" s="239"/>
      <c r="AH195" s="239"/>
      <c r="AI195" s="239"/>
      <c r="AJ195" s="243"/>
      <c r="AL195" s="239"/>
      <c r="AM195" s="239"/>
      <c r="AN195" s="239"/>
      <c r="AR195" s="240"/>
    </row>
    <row r="196" spans="11:44">
      <c r="K196" s="210"/>
      <c r="N196" s="1"/>
      <c r="O196" s="241"/>
      <c r="P196" s="241"/>
      <c r="Q196" s="241"/>
      <c r="R196" s="241"/>
      <c r="W196" s="241"/>
      <c r="X196" s="1"/>
      <c r="Y196" s="1"/>
      <c r="Z196" s="240"/>
      <c r="AA196" s="240"/>
      <c r="AC196" s="240"/>
      <c r="AD196" s="240"/>
      <c r="AE196" s="215"/>
      <c r="AF196" s="239"/>
      <c r="AG196" s="239"/>
      <c r="AH196" s="239"/>
      <c r="AI196" s="239"/>
      <c r="AJ196" s="243"/>
      <c r="AL196" s="239"/>
      <c r="AM196" s="239"/>
      <c r="AN196" s="239"/>
      <c r="AR196" s="240"/>
    </row>
    <row r="197" spans="11:44">
      <c r="K197" s="210"/>
      <c r="N197" s="1"/>
      <c r="O197" s="241"/>
      <c r="P197" s="241"/>
      <c r="Q197" s="241"/>
      <c r="R197" s="241"/>
      <c r="W197" s="241"/>
      <c r="X197" s="1"/>
      <c r="Y197" s="1"/>
      <c r="Z197" s="240"/>
      <c r="AA197" s="240"/>
      <c r="AC197" s="240"/>
      <c r="AD197" s="240"/>
      <c r="AE197" s="215"/>
      <c r="AF197" s="239"/>
      <c r="AG197" s="239"/>
      <c r="AH197" s="239"/>
      <c r="AI197" s="239"/>
      <c r="AJ197" s="243"/>
      <c r="AL197" s="239"/>
      <c r="AM197" s="239"/>
      <c r="AN197" s="239"/>
      <c r="AR197" s="240"/>
    </row>
    <row r="198" spans="11:44">
      <c r="K198" s="210"/>
      <c r="N198" s="1"/>
      <c r="O198" s="241"/>
      <c r="P198" s="241"/>
      <c r="Q198" s="241"/>
      <c r="R198" s="241"/>
      <c r="W198" s="241"/>
      <c r="X198" s="1"/>
      <c r="Y198" s="1"/>
      <c r="Z198" s="240"/>
      <c r="AA198" s="240"/>
      <c r="AC198" s="240"/>
      <c r="AD198" s="240"/>
      <c r="AE198" s="215"/>
      <c r="AF198" s="239"/>
      <c r="AG198" s="239"/>
      <c r="AH198" s="239"/>
      <c r="AI198" s="239"/>
      <c r="AJ198" s="243"/>
      <c r="AL198" s="239"/>
      <c r="AM198" s="239"/>
      <c r="AN198" s="239"/>
      <c r="AR198" s="240"/>
    </row>
    <row r="199" spans="11:44">
      <c r="K199" s="210"/>
      <c r="N199" s="1"/>
      <c r="O199" s="241"/>
      <c r="P199" s="241"/>
      <c r="Q199" s="241"/>
      <c r="R199" s="241"/>
      <c r="W199" s="241"/>
      <c r="X199" s="1"/>
      <c r="Y199" s="1"/>
      <c r="Z199" s="240"/>
      <c r="AA199" s="240"/>
      <c r="AC199" s="240"/>
      <c r="AD199" s="240"/>
      <c r="AE199" s="215"/>
      <c r="AF199" s="239"/>
      <c r="AG199" s="239"/>
      <c r="AH199" s="239"/>
      <c r="AI199" s="239"/>
      <c r="AJ199" s="243"/>
      <c r="AL199" s="239"/>
      <c r="AM199" s="239"/>
      <c r="AN199" s="239"/>
      <c r="AR199" s="240"/>
    </row>
    <row r="200" spans="11:44">
      <c r="K200" s="210"/>
      <c r="N200" s="1"/>
      <c r="O200" s="241"/>
      <c r="P200" s="241"/>
      <c r="Q200" s="241"/>
      <c r="R200" s="241"/>
      <c r="W200" s="241"/>
      <c r="X200" s="1"/>
      <c r="Y200" s="1"/>
      <c r="Z200" s="240"/>
      <c r="AA200" s="240"/>
      <c r="AC200" s="240"/>
      <c r="AD200" s="240"/>
      <c r="AE200" s="215"/>
      <c r="AF200" s="239"/>
      <c r="AG200" s="239"/>
      <c r="AH200" s="239"/>
      <c r="AI200" s="239"/>
      <c r="AJ200" s="243"/>
      <c r="AL200" s="239"/>
      <c r="AM200" s="239"/>
      <c r="AN200" s="239"/>
      <c r="AR200" s="240"/>
    </row>
    <row r="201" spans="11:44">
      <c r="K201" s="210"/>
      <c r="N201" s="1"/>
      <c r="O201" s="241"/>
      <c r="P201" s="241"/>
      <c r="Q201" s="241"/>
      <c r="R201" s="241"/>
      <c r="W201" s="241"/>
      <c r="X201" s="1"/>
      <c r="Y201" s="1"/>
      <c r="Z201" s="240"/>
      <c r="AA201" s="240"/>
      <c r="AC201" s="240"/>
      <c r="AD201" s="240"/>
      <c r="AE201" s="215"/>
      <c r="AF201" s="239"/>
      <c r="AG201" s="239"/>
      <c r="AH201" s="239"/>
      <c r="AI201" s="239"/>
      <c r="AJ201" s="243"/>
      <c r="AL201" s="239"/>
      <c r="AM201" s="239"/>
      <c r="AN201" s="239"/>
      <c r="AR201" s="240"/>
    </row>
    <row r="202" spans="11:44">
      <c r="K202" s="210"/>
      <c r="N202" s="1"/>
      <c r="O202" s="241"/>
      <c r="P202" s="241"/>
      <c r="Q202" s="241"/>
      <c r="R202" s="241"/>
      <c r="W202" s="241"/>
      <c r="X202" s="1"/>
      <c r="Y202" s="1"/>
      <c r="Z202" s="240"/>
      <c r="AA202" s="240"/>
      <c r="AC202" s="240"/>
      <c r="AD202" s="240"/>
      <c r="AE202" s="215"/>
      <c r="AF202" s="239"/>
      <c r="AG202" s="239"/>
      <c r="AH202" s="239"/>
      <c r="AI202" s="239"/>
      <c r="AJ202" s="243"/>
      <c r="AL202" s="239"/>
      <c r="AM202" s="239"/>
      <c r="AN202" s="239"/>
      <c r="AR202" s="240"/>
    </row>
    <row r="203" spans="11:44">
      <c r="K203" s="210"/>
      <c r="N203" s="1"/>
      <c r="O203" s="241"/>
      <c r="P203" s="241"/>
      <c r="Q203" s="241"/>
      <c r="R203" s="241"/>
      <c r="W203" s="241"/>
      <c r="X203" s="1"/>
      <c r="Y203" s="1"/>
      <c r="Z203" s="240"/>
      <c r="AA203" s="240"/>
      <c r="AC203" s="240"/>
      <c r="AD203" s="240"/>
      <c r="AE203" s="215"/>
      <c r="AF203" s="239"/>
      <c r="AG203" s="239"/>
      <c r="AH203" s="239"/>
      <c r="AI203" s="239"/>
      <c r="AJ203" s="243"/>
      <c r="AL203" s="239"/>
      <c r="AM203" s="239"/>
      <c r="AN203" s="239"/>
      <c r="AR203" s="240"/>
    </row>
    <row r="204" spans="11:44">
      <c r="K204" s="210"/>
      <c r="N204" s="1"/>
      <c r="O204" s="241"/>
      <c r="P204" s="241"/>
      <c r="Q204" s="241"/>
      <c r="R204" s="241"/>
      <c r="W204" s="241"/>
      <c r="X204" s="1"/>
      <c r="Y204" s="1"/>
      <c r="Z204" s="240"/>
      <c r="AA204" s="240"/>
      <c r="AC204" s="240"/>
      <c r="AD204" s="240"/>
      <c r="AE204" s="215"/>
      <c r="AF204" s="239"/>
      <c r="AG204" s="239"/>
      <c r="AH204" s="239"/>
      <c r="AI204" s="239"/>
      <c r="AJ204" s="243"/>
      <c r="AL204" s="239"/>
      <c r="AM204" s="239"/>
      <c r="AN204" s="239"/>
      <c r="AR204" s="240"/>
    </row>
    <row r="205" spans="11:44">
      <c r="K205" s="210"/>
      <c r="N205" s="1"/>
      <c r="O205" s="241"/>
      <c r="P205" s="241"/>
      <c r="Q205" s="241"/>
      <c r="R205" s="241"/>
      <c r="W205" s="241"/>
      <c r="X205" s="1"/>
      <c r="Y205" s="1"/>
      <c r="Z205" s="240"/>
      <c r="AA205" s="240"/>
      <c r="AC205" s="240"/>
      <c r="AD205" s="240"/>
      <c r="AE205" s="215"/>
      <c r="AF205" s="239"/>
      <c r="AG205" s="239"/>
      <c r="AH205" s="239"/>
      <c r="AI205" s="239"/>
      <c r="AJ205" s="243"/>
      <c r="AL205" s="239"/>
      <c r="AM205" s="239"/>
      <c r="AN205" s="239"/>
      <c r="AR205" s="240"/>
    </row>
    <row r="206" spans="11:44">
      <c r="K206" s="210"/>
      <c r="N206" s="1"/>
      <c r="O206" s="241"/>
      <c r="P206" s="241"/>
      <c r="Q206" s="241"/>
      <c r="R206" s="241"/>
      <c r="W206" s="241"/>
      <c r="X206" s="1"/>
      <c r="Y206" s="1"/>
      <c r="Z206" s="240"/>
      <c r="AA206" s="240"/>
      <c r="AC206" s="240"/>
      <c r="AD206" s="240"/>
      <c r="AE206" s="215"/>
      <c r="AF206" s="239"/>
      <c r="AG206" s="239"/>
      <c r="AH206" s="239"/>
      <c r="AI206" s="239"/>
      <c r="AJ206" s="243"/>
      <c r="AL206" s="239"/>
      <c r="AM206" s="239"/>
      <c r="AN206" s="239"/>
      <c r="AR206" s="240"/>
    </row>
    <row r="207" spans="11:44">
      <c r="K207" s="210"/>
      <c r="N207" s="1"/>
      <c r="O207" s="241"/>
      <c r="P207" s="241"/>
      <c r="Q207" s="241"/>
      <c r="R207" s="241"/>
      <c r="W207" s="241"/>
      <c r="X207" s="1"/>
      <c r="Y207" s="1"/>
      <c r="Z207" s="240"/>
      <c r="AA207" s="240"/>
      <c r="AC207" s="240"/>
      <c r="AD207" s="240"/>
      <c r="AE207" s="215"/>
      <c r="AF207" s="239"/>
      <c r="AG207" s="239"/>
      <c r="AH207" s="239"/>
      <c r="AI207" s="239"/>
      <c r="AJ207" s="243"/>
      <c r="AL207" s="239"/>
      <c r="AM207" s="239"/>
      <c r="AN207" s="239"/>
      <c r="AR207" s="240"/>
    </row>
    <row r="208" spans="11:44">
      <c r="K208" s="210"/>
      <c r="N208" s="1"/>
      <c r="O208" s="241"/>
      <c r="P208" s="241"/>
      <c r="Q208" s="241"/>
      <c r="R208" s="241"/>
      <c r="W208" s="241"/>
      <c r="X208" s="1"/>
      <c r="Y208" s="1"/>
      <c r="Z208" s="240"/>
      <c r="AA208" s="240"/>
      <c r="AC208" s="240"/>
      <c r="AD208" s="240"/>
      <c r="AE208" s="215"/>
      <c r="AF208" s="239"/>
      <c r="AG208" s="239"/>
      <c r="AH208" s="239"/>
      <c r="AI208" s="239"/>
      <c r="AJ208" s="243"/>
      <c r="AL208" s="239"/>
      <c r="AM208" s="239"/>
      <c r="AN208" s="239"/>
      <c r="AR208" s="240"/>
    </row>
    <row r="209" spans="11:44">
      <c r="K209" s="210"/>
      <c r="N209" s="1"/>
      <c r="O209" s="241"/>
      <c r="P209" s="241"/>
      <c r="Q209" s="241"/>
      <c r="R209" s="241"/>
      <c r="W209" s="241"/>
      <c r="X209" s="1"/>
      <c r="Y209" s="1"/>
      <c r="Z209" s="240"/>
      <c r="AA209" s="240"/>
      <c r="AC209" s="240"/>
      <c r="AD209" s="240"/>
      <c r="AE209" s="215"/>
      <c r="AF209" s="239"/>
      <c r="AG209" s="239"/>
      <c r="AH209" s="239"/>
      <c r="AI209" s="239"/>
      <c r="AJ209" s="243"/>
      <c r="AL209" s="239"/>
      <c r="AM209" s="239"/>
      <c r="AN209" s="239"/>
      <c r="AR209" s="240"/>
    </row>
    <row r="210" spans="11:44">
      <c r="K210" s="210"/>
      <c r="N210" s="1"/>
      <c r="O210" s="241"/>
      <c r="P210" s="241"/>
      <c r="Q210" s="241"/>
      <c r="R210" s="241"/>
      <c r="W210" s="241"/>
      <c r="X210" s="1"/>
      <c r="Y210" s="1"/>
      <c r="Z210" s="240"/>
      <c r="AA210" s="240"/>
      <c r="AC210" s="240"/>
      <c r="AD210" s="240"/>
      <c r="AE210" s="215"/>
      <c r="AF210" s="239"/>
      <c r="AG210" s="239"/>
      <c r="AH210" s="239"/>
      <c r="AI210" s="239"/>
      <c r="AJ210" s="243"/>
      <c r="AL210" s="239"/>
      <c r="AM210" s="239"/>
      <c r="AN210" s="239"/>
      <c r="AR210" s="240"/>
    </row>
    <row r="211" spans="11:44">
      <c r="K211" s="210"/>
      <c r="N211" s="1"/>
      <c r="O211" s="241"/>
      <c r="P211" s="241"/>
      <c r="Q211" s="241"/>
      <c r="R211" s="241"/>
      <c r="W211" s="241"/>
      <c r="X211" s="1"/>
      <c r="Y211" s="1"/>
      <c r="Z211" s="240"/>
      <c r="AA211" s="240"/>
      <c r="AC211" s="240"/>
      <c r="AD211" s="240"/>
      <c r="AE211" s="215"/>
      <c r="AF211" s="239"/>
      <c r="AG211" s="239"/>
      <c r="AH211" s="239"/>
      <c r="AI211" s="239"/>
      <c r="AJ211" s="243"/>
      <c r="AL211" s="239"/>
      <c r="AM211" s="239"/>
      <c r="AN211" s="239"/>
      <c r="AR211" s="240"/>
    </row>
    <row r="212" spans="11:44">
      <c r="K212" s="210"/>
      <c r="N212" s="1"/>
      <c r="O212" s="241"/>
      <c r="P212" s="241"/>
      <c r="Q212" s="241"/>
      <c r="R212" s="241"/>
      <c r="W212" s="241"/>
      <c r="X212" s="1"/>
      <c r="Y212" s="1"/>
      <c r="Z212" s="240"/>
      <c r="AA212" s="240"/>
      <c r="AC212" s="240"/>
      <c r="AD212" s="240"/>
      <c r="AE212" s="215"/>
      <c r="AF212" s="239"/>
      <c r="AG212" s="239"/>
      <c r="AH212" s="239"/>
      <c r="AI212" s="239"/>
      <c r="AJ212" s="243"/>
      <c r="AL212" s="239"/>
      <c r="AM212" s="239"/>
      <c r="AN212" s="239"/>
      <c r="AR212" s="240"/>
    </row>
    <row r="213" spans="11:44">
      <c r="K213" s="210"/>
      <c r="N213" s="1"/>
      <c r="O213" s="241"/>
      <c r="P213" s="241"/>
      <c r="Q213" s="241"/>
      <c r="R213" s="241"/>
      <c r="W213" s="241"/>
      <c r="X213" s="1"/>
      <c r="Y213" s="1"/>
      <c r="Z213" s="240"/>
      <c r="AA213" s="240"/>
      <c r="AC213" s="240"/>
      <c r="AD213" s="240"/>
      <c r="AE213" s="215"/>
      <c r="AF213" s="239"/>
      <c r="AG213" s="239"/>
      <c r="AH213" s="239"/>
      <c r="AI213" s="239"/>
      <c r="AJ213" s="243"/>
      <c r="AL213" s="239"/>
      <c r="AM213" s="239"/>
      <c r="AN213" s="239"/>
      <c r="AR213" s="240"/>
    </row>
    <row r="214" spans="11:44">
      <c r="K214" s="210"/>
      <c r="N214" s="1"/>
      <c r="O214" s="241"/>
      <c r="P214" s="241"/>
      <c r="Q214" s="241"/>
      <c r="R214" s="241"/>
      <c r="W214" s="241"/>
      <c r="X214" s="1"/>
      <c r="Y214" s="1"/>
      <c r="Z214" s="240"/>
      <c r="AA214" s="240"/>
      <c r="AC214" s="240"/>
      <c r="AD214" s="240"/>
      <c r="AE214" s="215"/>
      <c r="AF214" s="239"/>
      <c r="AG214" s="239"/>
      <c r="AH214" s="239"/>
      <c r="AI214" s="239"/>
      <c r="AJ214" s="243"/>
      <c r="AL214" s="239"/>
      <c r="AM214" s="239"/>
      <c r="AN214" s="239"/>
      <c r="AR214" s="240"/>
    </row>
    <row r="215" spans="11:44">
      <c r="K215" s="210"/>
      <c r="N215" s="1"/>
      <c r="O215" s="241"/>
      <c r="P215" s="241"/>
      <c r="Q215" s="241"/>
      <c r="R215" s="241"/>
      <c r="W215" s="241"/>
      <c r="X215" s="1"/>
      <c r="Y215" s="1"/>
      <c r="Z215" s="240"/>
      <c r="AA215" s="240"/>
      <c r="AC215" s="240"/>
      <c r="AD215" s="240"/>
      <c r="AE215" s="215"/>
      <c r="AF215" s="239"/>
      <c r="AG215" s="239"/>
      <c r="AH215" s="239"/>
      <c r="AI215" s="239"/>
      <c r="AJ215" s="243"/>
      <c r="AL215" s="239"/>
      <c r="AM215" s="239"/>
      <c r="AN215" s="239"/>
      <c r="AR215" s="240"/>
    </row>
    <row r="216" spans="11:44">
      <c r="K216" s="210"/>
      <c r="N216" s="1"/>
      <c r="O216" s="241"/>
      <c r="P216" s="241"/>
      <c r="Q216" s="241"/>
      <c r="R216" s="241"/>
      <c r="W216" s="241"/>
      <c r="X216" s="1"/>
      <c r="Y216" s="1"/>
      <c r="Z216" s="240"/>
      <c r="AA216" s="240"/>
      <c r="AC216" s="240"/>
      <c r="AD216" s="240"/>
      <c r="AE216" s="215"/>
      <c r="AF216" s="239"/>
      <c r="AG216" s="239"/>
      <c r="AH216" s="239"/>
      <c r="AI216" s="239"/>
      <c r="AJ216" s="243"/>
      <c r="AL216" s="239"/>
      <c r="AM216" s="239"/>
      <c r="AN216" s="239"/>
      <c r="AR216" s="240"/>
    </row>
    <row r="217" spans="11:44">
      <c r="K217" s="210"/>
      <c r="N217" s="1"/>
      <c r="O217" s="241"/>
      <c r="P217" s="241"/>
      <c r="Q217" s="241"/>
      <c r="R217" s="241"/>
      <c r="W217" s="241"/>
      <c r="X217" s="1"/>
      <c r="Y217" s="1"/>
      <c r="Z217" s="240"/>
      <c r="AA217" s="240"/>
      <c r="AC217" s="240"/>
      <c r="AD217" s="240"/>
      <c r="AE217" s="215"/>
      <c r="AF217" s="239"/>
      <c r="AG217" s="239"/>
      <c r="AH217" s="239"/>
      <c r="AI217" s="239"/>
      <c r="AJ217" s="243"/>
      <c r="AL217" s="239"/>
      <c r="AM217" s="239"/>
      <c r="AN217" s="239"/>
      <c r="AR217" s="240"/>
    </row>
    <row r="218" spans="11:44">
      <c r="K218" s="210"/>
      <c r="N218" s="1"/>
      <c r="O218" s="241"/>
      <c r="P218" s="241"/>
      <c r="Q218" s="241"/>
      <c r="R218" s="241"/>
      <c r="W218" s="241"/>
      <c r="X218" s="1"/>
      <c r="Y218" s="1"/>
      <c r="Z218" s="240"/>
      <c r="AA218" s="240"/>
      <c r="AC218" s="240"/>
      <c r="AD218" s="240"/>
      <c r="AE218" s="215"/>
      <c r="AF218" s="239"/>
      <c r="AG218" s="239"/>
      <c r="AH218" s="239"/>
      <c r="AI218" s="239"/>
      <c r="AJ218" s="243"/>
      <c r="AL218" s="239"/>
      <c r="AM218" s="239"/>
      <c r="AN218" s="239"/>
      <c r="AR218" s="240"/>
    </row>
    <row r="219" spans="11:44">
      <c r="K219" s="210"/>
      <c r="N219" s="1"/>
      <c r="O219" s="241"/>
      <c r="P219" s="241"/>
      <c r="Q219" s="241"/>
      <c r="R219" s="241"/>
      <c r="W219" s="241"/>
      <c r="X219" s="1"/>
      <c r="Y219" s="1"/>
      <c r="Z219" s="240"/>
      <c r="AA219" s="240"/>
      <c r="AC219" s="240"/>
      <c r="AD219" s="240"/>
      <c r="AE219" s="215"/>
      <c r="AF219" s="239"/>
      <c r="AG219" s="239"/>
      <c r="AH219" s="239"/>
      <c r="AI219" s="239"/>
      <c r="AJ219" s="243"/>
      <c r="AL219" s="239"/>
      <c r="AM219" s="239"/>
      <c r="AN219" s="239"/>
      <c r="AR219" s="240"/>
    </row>
    <row r="220" spans="11:44">
      <c r="K220" s="210"/>
      <c r="N220" s="1"/>
      <c r="O220" s="241"/>
      <c r="P220" s="241"/>
      <c r="Q220" s="241"/>
      <c r="R220" s="241"/>
      <c r="W220" s="241"/>
      <c r="X220" s="1"/>
      <c r="Y220" s="1"/>
      <c r="Z220" s="240"/>
      <c r="AA220" s="240"/>
      <c r="AC220" s="240"/>
      <c r="AD220" s="240"/>
      <c r="AE220" s="215"/>
      <c r="AF220" s="239"/>
      <c r="AG220" s="239"/>
      <c r="AH220" s="239"/>
      <c r="AI220" s="239"/>
      <c r="AJ220" s="243"/>
      <c r="AL220" s="239"/>
      <c r="AM220" s="239"/>
      <c r="AN220" s="239"/>
      <c r="AR220" s="240"/>
    </row>
    <row r="221" spans="11:44">
      <c r="K221" s="210"/>
      <c r="N221" s="1"/>
      <c r="O221" s="241"/>
      <c r="P221" s="241"/>
      <c r="Q221" s="241"/>
      <c r="R221" s="241"/>
      <c r="W221" s="241"/>
      <c r="X221" s="1"/>
      <c r="Y221" s="1"/>
      <c r="Z221" s="240"/>
      <c r="AA221" s="240"/>
      <c r="AC221" s="240"/>
      <c r="AD221" s="240"/>
      <c r="AE221" s="215"/>
      <c r="AF221" s="239"/>
      <c r="AG221" s="239"/>
      <c r="AH221" s="239"/>
      <c r="AI221" s="239"/>
      <c r="AJ221" s="243"/>
      <c r="AL221" s="239"/>
      <c r="AM221" s="239"/>
      <c r="AN221" s="239"/>
      <c r="AR221" s="240"/>
    </row>
    <row r="222" spans="11:44">
      <c r="K222" s="210"/>
      <c r="N222" s="1"/>
      <c r="O222" s="241"/>
      <c r="P222" s="241"/>
      <c r="Q222" s="241"/>
      <c r="R222" s="241"/>
      <c r="W222" s="241"/>
      <c r="X222" s="1"/>
      <c r="Y222" s="1"/>
      <c r="Z222" s="240"/>
      <c r="AA222" s="240"/>
      <c r="AC222" s="240"/>
      <c r="AD222" s="240"/>
      <c r="AE222" s="215"/>
      <c r="AF222" s="239"/>
      <c r="AG222" s="239"/>
      <c r="AH222" s="239"/>
      <c r="AI222" s="239"/>
      <c r="AJ222" s="243"/>
      <c r="AL222" s="239"/>
      <c r="AM222" s="239"/>
      <c r="AN222" s="239"/>
      <c r="AR222" s="240"/>
    </row>
    <row r="223" spans="11:44">
      <c r="K223" s="210"/>
      <c r="N223" s="1"/>
      <c r="O223" s="241"/>
      <c r="P223" s="241"/>
      <c r="Q223" s="241"/>
      <c r="R223" s="241"/>
      <c r="W223" s="241"/>
      <c r="X223" s="1"/>
      <c r="Y223" s="1"/>
      <c r="Z223" s="240"/>
      <c r="AA223" s="240"/>
      <c r="AC223" s="240"/>
      <c r="AD223" s="240"/>
      <c r="AE223" s="215"/>
      <c r="AF223" s="239"/>
      <c r="AG223" s="239"/>
      <c r="AH223" s="239"/>
      <c r="AI223" s="239"/>
      <c r="AJ223" s="243"/>
      <c r="AL223" s="239"/>
      <c r="AM223" s="239"/>
      <c r="AN223" s="239"/>
      <c r="AR223" s="240"/>
    </row>
    <row r="224" spans="11:44">
      <c r="K224" s="210"/>
      <c r="N224" s="1"/>
      <c r="O224" s="241"/>
      <c r="P224" s="241"/>
      <c r="Q224" s="241"/>
      <c r="R224" s="241"/>
      <c r="W224" s="241"/>
      <c r="X224" s="1"/>
      <c r="Y224" s="1"/>
      <c r="Z224" s="240"/>
      <c r="AA224" s="240"/>
      <c r="AC224" s="240"/>
      <c r="AD224" s="240"/>
      <c r="AE224" s="215"/>
      <c r="AF224" s="239"/>
      <c r="AG224" s="239"/>
      <c r="AH224" s="239"/>
      <c r="AI224" s="239"/>
      <c r="AJ224" s="243"/>
      <c r="AL224" s="239"/>
      <c r="AM224" s="239"/>
      <c r="AN224" s="239"/>
      <c r="AR224" s="240"/>
    </row>
    <row r="225" spans="11:44">
      <c r="K225" s="210"/>
      <c r="N225" s="1"/>
      <c r="O225" s="241"/>
      <c r="P225" s="241"/>
      <c r="Q225" s="241"/>
      <c r="R225" s="241"/>
      <c r="W225" s="241"/>
      <c r="X225" s="1"/>
      <c r="Y225" s="1"/>
      <c r="Z225" s="240"/>
      <c r="AA225" s="240"/>
      <c r="AC225" s="240"/>
      <c r="AD225" s="240"/>
      <c r="AE225" s="215"/>
      <c r="AF225" s="239"/>
      <c r="AG225" s="239"/>
      <c r="AH225" s="239"/>
      <c r="AI225" s="239"/>
      <c r="AJ225" s="243"/>
      <c r="AL225" s="239"/>
      <c r="AM225" s="239"/>
      <c r="AN225" s="239"/>
      <c r="AR225" s="240"/>
    </row>
    <row r="226" spans="11:44">
      <c r="K226" s="210"/>
      <c r="N226" s="1"/>
      <c r="O226" s="241"/>
      <c r="P226" s="241"/>
      <c r="Q226" s="241"/>
      <c r="R226" s="241"/>
      <c r="W226" s="241"/>
      <c r="X226" s="1"/>
      <c r="Y226" s="1"/>
      <c r="Z226" s="240"/>
      <c r="AA226" s="240"/>
      <c r="AC226" s="240"/>
      <c r="AD226" s="240"/>
      <c r="AE226" s="215"/>
      <c r="AF226" s="239"/>
      <c r="AG226" s="239"/>
      <c r="AH226" s="239"/>
      <c r="AI226" s="239"/>
      <c r="AJ226" s="243"/>
      <c r="AL226" s="239"/>
      <c r="AM226" s="239"/>
      <c r="AN226" s="239"/>
      <c r="AR226" s="240"/>
    </row>
    <row r="227" spans="11:44">
      <c r="K227" s="210"/>
      <c r="N227" s="1"/>
      <c r="O227" s="241"/>
      <c r="P227" s="241"/>
      <c r="Q227" s="241"/>
      <c r="R227" s="241"/>
      <c r="W227" s="241"/>
      <c r="X227" s="1"/>
      <c r="Y227" s="1"/>
      <c r="Z227" s="240"/>
      <c r="AA227" s="240"/>
      <c r="AC227" s="240"/>
      <c r="AD227" s="240"/>
      <c r="AE227" s="215"/>
      <c r="AF227" s="239"/>
      <c r="AG227" s="239"/>
      <c r="AH227" s="239"/>
      <c r="AI227" s="239"/>
      <c r="AJ227" s="243"/>
      <c r="AL227" s="239"/>
      <c r="AM227" s="239"/>
      <c r="AN227" s="239"/>
      <c r="AR227" s="240"/>
    </row>
    <row r="228" spans="11:44">
      <c r="K228" s="210"/>
      <c r="N228" s="1"/>
      <c r="O228" s="241"/>
      <c r="P228" s="241"/>
      <c r="Q228" s="241"/>
      <c r="R228" s="241"/>
      <c r="W228" s="241"/>
      <c r="X228" s="1"/>
      <c r="Y228" s="1"/>
      <c r="Z228" s="240"/>
      <c r="AA228" s="240"/>
      <c r="AC228" s="240"/>
      <c r="AD228" s="240"/>
      <c r="AE228" s="215"/>
      <c r="AF228" s="239"/>
      <c r="AG228" s="239"/>
      <c r="AH228" s="239"/>
      <c r="AI228" s="239"/>
      <c r="AJ228" s="243"/>
      <c r="AL228" s="239"/>
      <c r="AM228" s="239"/>
      <c r="AN228" s="239"/>
      <c r="AR228" s="240"/>
    </row>
    <row r="229" spans="11:44">
      <c r="K229" s="210"/>
      <c r="N229" s="1"/>
      <c r="O229" s="241"/>
      <c r="P229" s="241"/>
      <c r="Q229" s="241"/>
      <c r="R229" s="241"/>
      <c r="W229" s="241"/>
      <c r="X229" s="1"/>
      <c r="Y229" s="1"/>
      <c r="Z229" s="240"/>
      <c r="AA229" s="240"/>
      <c r="AC229" s="240"/>
      <c r="AD229" s="240"/>
      <c r="AE229" s="215"/>
      <c r="AF229" s="239"/>
      <c r="AG229" s="239"/>
      <c r="AH229" s="239"/>
      <c r="AI229" s="239"/>
      <c r="AJ229" s="243"/>
      <c r="AL229" s="239"/>
      <c r="AM229" s="239"/>
      <c r="AN229" s="239"/>
      <c r="AR229" s="240"/>
    </row>
    <row r="230" spans="11:44">
      <c r="K230" s="210"/>
      <c r="N230" s="1"/>
      <c r="O230" s="241"/>
      <c r="P230" s="241"/>
      <c r="Q230" s="241"/>
      <c r="R230" s="241"/>
      <c r="W230" s="241"/>
      <c r="X230" s="1"/>
      <c r="Y230" s="1"/>
      <c r="Z230" s="240"/>
      <c r="AA230" s="240"/>
      <c r="AC230" s="240"/>
      <c r="AD230" s="240"/>
      <c r="AE230" s="215"/>
      <c r="AF230" s="239"/>
      <c r="AG230" s="239"/>
      <c r="AH230" s="239"/>
      <c r="AI230" s="239"/>
      <c r="AJ230" s="243"/>
      <c r="AL230" s="239"/>
      <c r="AM230" s="239"/>
      <c r="AN230" s="239"/>
      <c r="AR230" s="240"/>
    </row>
    <row r="231" spans="11:44">
      <c r="K231" s="210"/>
      <c r="N231" s="1"/>
      <c r="O231" s="241"/>
      <c r="P231" s="241"/>
      <c r="Q231" s="241"/>
      <c r="R231" s="241"/>
      <c r="W231" s="241"/>
      <c r="X231" s="1"/>
      <c r="Y231" s="1"/>
      <c r="Z231" s="240"/>
      <c r="AA231" s="240"/>
      <c r="AC231" s="240"/>
      <c r="AD231" s="240"/>
      <c r="AE231" s="215"/>
      <c r="AF231" s="239"/>
      <c r="AG231" s="239"/>
      <c r="AH231" s="239"/>
      <c r="AI231" s="239"/>
      <c r="AJ231" s="243"/>
      <c r="AL231" s="239"/>
      <c r="AM231" s="239"/>
      <c r="AN231" s="239"/>
      <c r="AR231" s="240"/>
    </row>
    <row r="232" spans="11:44">
      <c r="K232" s="210"/>
      <c r="N232" s="1"/>
      <c r="O232" s="241"/>
      <c r="P232" s="241"/>
      <c r="Q232" s="241"/>
      <c r="R232" s="241"/>
      <c r="W232" s="241"/>
      <c r="X232" s="1"/>
      <c r="Y232" s="1"/>
      <c r="Z232" s="240"/>
      <c r="AA232" s="240"/>
      <c r="AC232" s="240"/>
      <c r="AD232" s="240"/>
      <c r="AE232" s="215"/>
      <c r="AF232" s="239"/>
      <c r="AG232" s="239"/>
      <c r="AH232" s="239"/>
      <c r="AI232" s="239"/>
      <c r="AJ232" s="243"/>
      <c r="AL232" s="239"/>
      <c r="AM232" s="239"/>
      <c r="AN232" s="239"/>
      <c r="AR232" s="240"/>
    </row>
    <row r="233" spans="11:44">
      <c r="K233" s="210"/>
      <c r="N233" s="1"/>
      <c r="O233" s="241"/>
      <c r="P233" s="241"/>
      <c r="Q233" s="241"/>
      <c r="R233" s="241"/>
      <c r="W233" s="241"/>
      <c r="X233" s="1"/>
      <c r="Y233" s="1"/>
      <c r="Z233" s="240"/>
      <c r="AA233" s="240"/>
      <c r="AC233" s="240"/>
      <c r="AD233" s="240"/>
      <c r="AE233" s="215"/>
      <c r="AF233" s="239"/>
      <c r="AG233" s="239"/>
      <c r="AH233" s="239"/>
      <c r="AI233" s="239"/>
      <c r="AJ233" s="243"/>
      <c r="AL233" s="239"/>
      <c r="AM233" s="239"/>
      <c r="AN233" s="239"/>
      <c r="AR233" s="240"/>
    </row>
    <row r="234" spans="11:44">
      <c r="K234" s="210"/>
      <c r="N234" s="1"/>
      <c r="O234" s="241"/>
      <c r="P234" s="241"/>
      <c r="Q234" s="241"/>
      <c r="R234" s="241"/>
      <c r="W234" s="241"/>
      <c r="X234" s="1"/>
      <c r="Y234" s="1"/>
      <c r="Z234" s="240"/>
      <c r="AA234" s="240"/>
      <c r="AC234" s="240"/>
      <c r="AD234" s="240"/>
      <c r="AE234" s="215"/>
      <c r="AF234" s="239"/>
      <c r="AG234" s="239"/>
      <c r="AH234" s="239"/>
      <c r="AI234" s="239"/>
      <c r="AJ234" s="243"/>
      <c r="AL234" s="239"/>
      <c r="AM234" s="239"/>
      <c r="AN234" s="239"/>
      <c r="AR234" s="240"/>
    </row>
    <row r="235" spans="11:44">
      <c r="K235" s="210"/>
      <c r="N235" s="1"/>
      <c r="O235" s="241"/>
      <c r="P235" s="241"/>
      <c r="Q235" s="241"/>
      <c r="R235" s="241"/>
      <c r="W235" s="241"/>
      <c r="X235" s="1"/>
      <c r="Y235" s="1"/>
      <c r="Z235" s="240"/>
      <c r="AA235" s="240"/>
      <c r="AC235" s="240"/>
      <c r="AD235" s="240"/>
      <c r="AE235" s="215"/>
      <c r="AF235" s="239"/>
      <c r="AG235" s="239"/>
      <c r="AH235" s="239"/>
      <c r="AI235" s="239"/>
      <c r="AJ235" s="243"/>
      <c r="AL235" s="239"/>
      <c r="AM235" s="239"/>
      <c r="AN235" s="239"/>
      <c r="AR235" s="240"/>
    </row>
    <row r="236" spans="11:44">
      <c r="K236" s="210"/>
      <c r="N236" s="1"/>
      <c r="O236" s="241"/>
      <c r="P236" s="241"/>
      <c r="Q236" s="241"/>
      <c r="R236" s="241"/>
      <c r="W236" s="241"/>
      <c r="X236" s="1"/>
      <c r="Y236" s="1"/>
      <c r="Z236" s="240"/>
      <c r="AA236" s="240"/>
      <c r="AC236" s="240"/>
      <c r="AD236" s="240"/>
      <c r="AE236" s="215"/>
      <c r="AF236" s="239"/>
      <c r="AG236" s="239"/>
      <c r="AH236" s="239"/>
      <c r="AI236" s="239"/>
      <c r="AJ236" s="243"/>
      <c r="AL236" s="239"/>
      <c r="AM236" s="239"/>
      <c r="AN236" s="239"/>
      <c r="AR236" s="240"/>
    </row>
    <row r="237" spans="11:44">
      <c r="K237" s="210"/>
      <c r="N237" s="1"/>
      <c r="O237" s="241"/>
      <c r="P237" s="241"/>
      <c r="Q237" s="241"/>
      <c r="R237" s="241"/>
      <c r="W237" s="241"/>
      <c r="X237" s="1"/>
      <c r="Y237" s="1"/>
      <c r="Z237" s="240"/>
      <c r="AA237" s="240"/>
      <c r="AC237" s="240"/>
      <c r="AD237" s="240"/>
      <c r="AE237" s="215"/>
      <c r="AF237" s="239"/>
      <c r="AG237" s="239"/>
      <c r="AH237" s="239"/>
      <c r="AI237" s="239"/>
      <c r="AJ237" s="243"/>
      <c r="AL237" s="239"/>
      <c r="AM237" s="239"/>
      <c r="AN237" s="239"/>
      <c r="AR237" s="240"/>
    </row>
    <row r="238" spans="11:44">
      <c r="K238" s="210"/>
      <c r="N238" s="1"/>
      <c r="O238" s="241"/>
      <c r="P238" s="241"/>
      <c r="Q238" s="241"/>
      <c r="R238" s="241"/>
      <c r="W238" s="241"/>
      <c r="X238" s="1"/>
      <c r="Y238" s="1"/>
      <c r="Z238" s="240"/>
      <c r="AA238" s="240"/>
      <c r="AC238" s="240"/>
      <c r="AD238" s="240"/>
      <c r="AE238" s="215"/>
      <c r="AF238" s="239"/>
      <c r="AG238" s="239"/>
      <c r="AH238" s="239"/>
      <c r="AI238" s="239"/>
      <c r="AJ238" s="243"/>
      <c r="AL238" s="239"/>
      <c r="AM238" s="239"/>
      <c r="AN238" s="239"/>
      <c r="AR238" s="240"/>
    </row>
    <row r="239" spans="11:44">
      <c r="K239" s="210"/>
      <c r="N239" s="1"/>
      <c r="O239" s="241"/>
      <c r="P239" s="241"/>
      <c r="Q239" s="241"/>
      <c r="R239" s="241"/>
      <c r="W239" s="241"/>
      <c r="X239" s="1"/>
      <c r="Y239" s="1"/>
      <c r="Z239" s="240"/>
      <c r="AA239" s="240"/>
      <c r="AC239" s="240"/>
      <c r="AD239" s="240"/>
      <c r="AE239" s="215"/>
      <c r="AF239" s="239"/>
      <c r="AG239" s="239"/>
      <c r="AH239" s="239"/>
      <c r="AI239" s="239"/>
      <c r="AJ239" s="243"/>
      <c r="AL239" s="239"/>
      <c r="AM239" s="239"/>
      <c r="AN239" s="239"/>
      <c r="AR239" s="240"/>
    </row>
    <row r="240" spans="11:44">
      <c r="K240" s="210"/>
      <c r="N240" s="1"/>
      <c r="O240" s="241"/>
      <c r="P240" s="241"/>
      <c r="Q240" s="241"/>
      <c r="R240" s="241"/>
      <c r="W240" s="241"/>
      <c r="X240" s="1"/>
      <c r="Y240" s="1"/>
      <c r="Z240" s="240"/>
      <c r="AA240" s="240"/>
      <c r="AC240" s="240"/>
      <c r="AD240" s="240"/>
      <c r="AE240" s="215"/>
      <c r="AF240" s="239"/>
      <c r="AG240" s="239"/>
      <c r="AH240" s="239"/>
      <c r="AI240" s="239"/>
      <c r="AJ240" s="243"/>
      <c r="AL240" s="239"/>
      <c r="AM240" s="239"/>
      <c r="AN240" s="239"/>
      <c r="AR240" s="240"/>
    </row>
    <row r="241" spans="11:44">
      <c r="K241" s="210"/>
      <c r="N241" s="1"/>
      <c r="O241" s="241"/>
      <c r="P241" s="241"/>
      <c r="Q241" s="241"/>
      <c r="R241" s="241"/>
      <c r="W241" s="241"/>
      <c r="X241" s="1"/>
      <c r="Y241" s="1"/>
      <c r="Z241" s="240"/>
      <c r="AA241" s="240"/>
      <c r="AC241" s="240"/>
      <c r="AD241" s="240"/>
      <c r="AE241" s="215"/>
      <c r="AF241" s="239"/>
      <c r="AG241" s="239"/>
      <c r="AH241" s="239"/>
      <c r="AI241" s="239"/>
      <c r="AJ241" s="243"/>
      <c r="AL241" s="239"/>
      <c r="AM241" s="239"/>
      <c r="AN241" s="239"/>
      <c r="AR241" s="240"/>
    </row>
    <row r="242" spans="11:44">
      <c r="K242" s="210"/>
      <c r="N242" s="1"/>
      <c r="O242" s="241"/>
      <c r="P242" s="241"/>
      <c r="Q242" s="241"/>
      <c r="R242" s="241"/>
      <c r="W242" s="241"/>
      <c r="X242" s="1"/>
      <c r="Y242" s="1"/>
      <c r="Z242" s="240"/>
      <c r="AA242" s="240"/>
      <c r="AC242" s="240"/>
      <c r="AD242" s="240"/>
      <c r="AE242" s="215"/>
      <c r="AF242" s="239"/>
      <c r="AG242" s="239"/>
      <c r="AH242" s="239"/>
      <c r="AI242" s="239"/>
      <c r="AJ242" s="243"/>
      <c r="AL242" s="239"/>
      <c r="AM242" s="239"/>
      <c r="AN242" s="239"/>
      <c r="AR242" s="240"/>
    </row>
    <row r="243" spans="11:44">
      <c r="K243" s="210"/>
      <c r="N243" s="1"/>
      <c r="O243" s="241"/>
      <c r="P243" s="241"/>
      <c r="Q243" s="241"/>
      <c r="R243" s="241"/>
      <c r="W243" s="241"/>
      <c r="X243" s="1"/>
      <c r="Y243" s="1"/>
      <c r="Z243" s="240"/>
      <c r="AA243" s="240"/>
      <c r="AC243" s="240"/>
      <c r="AD243" s="240"/>
      <c r="AE243" s="215"/>
      <c r="AF243" s="239"/>
      <c r="AG243" s="239"/>
      <c r="AH243" s="239"/>
      <c r="AI243" s="239"/>
      <c r="AJ243" s="243"/>
      <c r="AL243" s="239"/>
      <c r="AM243" s="239"/>
      <c r="AN243" s="239"/>
      <c r="AR243" s="240"/>
    </row>
    <row r="244" spans="11:44">
      <c r="K244" s="210"/>
      <c r="N244" s="1"/>
      <c r="O244" s="241"/>
      <c r="P244" s="241"/>
      <c r="Q244" s="241"/>
      <c r="R244" s="241"/>
      <c r="W244" s="241"/>
      <c r="X244" s="1"/>
      <c r="Y244" s="1"/>
      <c r="Z244" s="240"/>
      <c r="AA244" s="240"/>
      <c r="AC244" s="240"/>
      <c r="AD244" s="240"/>
      <c r="AE244" s="215"/>
      <c r="AF244" s="239"/>
      <c r="AG244" s="239"/>
      <c r="AH244" s="239"/>
      <c r="AI244" s="239"/>
      <c r="AJ244" s="243"/>
      <c r="AL244" s="239"/>
      <c r="AM244" s="239"/>
      <c r="AN244" s="239"/>
      <c r="AR244" s="240"/>
    </row>
    <row r="245" spans="11:44">
      <c r="K245" s="210"/>
      <c r="N245" s="1"/>
      <c r="O245" s="241"/>
      <c r="P245" s="241"/>
      <c r="Q245" s="241"/>
      <c r="R245" s="241"/>
      <c r="W245" s="241"/>
      <c r="X245" s="1"/>
      <c r="Y245" s="1"/>
      <c r="Z245" s="240"/>
      <c r="AA245" s="240"/>
      <c r="AC245" s="240"/>
      <c r="AD245" s="240"/>
      <c r="AE245" s="215"/>
      <c r="AF245" s="239"/>
      <c r="AG245" s="239"/>
      <c r="AH245" s="239"/>
      <c r="AI245" s="239"/>
      <c r="AJ245" s="243"/>
      <c r="AL245" s="239"/>
      <c r="AM245" s="239"/>
      <c r="AN245" s="239"/>
      <c r="AR245" s="240"/>
    </row>
    <row r="246" spans="11:44">
      <c r="K246" s="210"/>
      <c r="N246" s="1"/>
      <c r="O246" s="241"/>
      <c r="P246" s="241"/>
      <c r="Q246" s="241"/>
      <c r="R246" s="241"/>
      <c r="W246" s="241"/>
      <c r="X246" s="1"/>
      <c r="Y246" s="1"/>
      <c r="Z246" s="240"/>
      <c r="AA246" s="240"/>
      <c r="AC246" s="240"/>
      <c r="AD246" s="240"/>
      <c r="AE246" s="215"/>
      <c r="AF246" s="239"/>
      <c r="AG246" s="239"/>
      <c r="AH246" s="239"/>
      <c r="AI246" s="239"/>
      <c r="AJ246" s="243"/>
      <c r="AL246" s="239"/>
      <c r="AM246" s="239"/>
      <c r="AN246" s="239"/>
      <c r="AR246" s="240"/>
    </row>
    <row r="247" spans="11:44">
      <c r="K247" s="210"/>
      <c r="N247" s="1"/>
      <c r="O247" s="241"/>
      <c r="P247" s="241"/>
      <c r="Q247" s="241"/>
      <c r="R247" s="241"/>
      <c r="W247" s="241"/>
      <c r="X247" s="1"/>
      <c r="Y247" s="1"/>
      <c r="Z247" s="240"/>
      <c r="AA247" s="240"/>
      <c r="AC247" s="240"/>
      <c r="AD247" s="240"/>
      <c r="AE247" s="215"/>
      <c r="AF247" s="239"/>
      <c r="AG247" s="239"/>
      <c r="AH247" s="239"/>
      <c r="AI247" s="239"/>
      <c r="AJ247" s="243"/>
      <c r="AL247" s="239"/>
      <c r="AM247" s="239"/>
      <c r="AN247" s="239"/>
      <c r="AR247" s="240"/>
    </row>
    <row r="248" spans="11:44">
      <c r="K248" s="210"/>
      <c r="N248" s="1"/>
      <c r="O248" s="241"/>
      <c r="P248" s="241"/>
      <c r="Q248" s="241"/>
      <c r="R248" s="241"/>
      <c r="W248" s="241"/>
      <c r="X248" s="1"/>
      <c r="Y248" s="1"/>
      <c r="Z248" s="240"/>
      <c r="AA248" s="240"/>
      <c r="AC248" s="240"/>
      <c r="AD248" s="240"/>
      <c r="AE248" s="215"/>
      <c r="AF248" s="239"/>
      <c r="AG248" s="239"/>
      <c r="AH248" s="239"/>
      <c r="AI248" s="239"/>
      <c r="AJ248" s="243"/>
      <c r="AL248" s="239"/>
      <c r="AM248" s="239"/>
      <c r="AN248" s="239"/>
      <c r="AR248" s="240"/>
    </row>
    <row r="249" spans="11:44">
      <c r="K249" s="210"/>
      <c r="N249" s="1"/>
      <c r="O249" s="241"/>
      <c r="P249" s="241"/>
      <c r="Q249" s="241"/>
      <c r="R249" s="241"/>
      <c r="W249" s="241"/>
      <c r="X249" s="1"/>
      <c r="Y249" s="1"/>
      <c r="Z249" s="240"/>
      <c r="AA249" s="240"/>
      <c r="AC249" s="240"/>
      <c r="AD249" s="240"/>
      <c r="AE249" s="215"/>
      <c r="AF249" s="239"/>
      <c r="AG249" s="239"/>
      <c r="AH249" s="239"/>
      <c r="AI249" s="239"/>
      <c r="AJ249" s="243"/>
      <c r="AL249" s="239"/>
      <c r="AM249" s="239"/>
      <c r="AN249" s="239"/>
      <c r="AR249" s="240"/>
    </row>
    <row r="250" spans="11:44">
      <c r="K250" s="210"/>
      <c r="N250" s="1"/>
      <c r="O250" s="241"/>
      <c r="P250" s="241"/>
      <c r="Q250" s="241"/>
      <c r="R250" s="241"/>
      <c r="W250" s="241"/>
      <c r="X250" s="1"/>
      <c r="Y250" s="1"/>
      <c r="Z250" s="240"/>
      <c r="AA250" s="240"/>
      <c r="AC250" s="240"/>
      <c r="AD250" s="240"/>
      <c r="AE250" s="215"/>
      <c r="AF250" s="239"/>
      <c r="AG250" s="239"/>
      <c r="AH250" s="239"/>
      <c r="AI250" s="239"/>
      <c r="AJ250" s="243"/>
      <c r="AL250" s="239"/>
      <c r="AM250" s="239"/>
      <c r="AN250" s="239"/>
      <c r="AR250" s="240"/>
    </row>
    <row r="251" spans="11:44">
      <c r="K251" s="210"/>
      <c r="N251" s="1"/>
      <c r="O251" s="241"/>
      <c r="P251" s="241"/>
      <c r="Q251" s="241"/>
      <c r="R251" s="241"/>
      <c r="W251" s="241"/>
      <c r="X251" s="1"/>
      <c r="Y251" s="1"/>
      <c r="Z251" s="240"/>
      <c r="AA251" s="240"/>
      <c r="AC251" s="240"/>
      <c r="AD251" s="240"/>
      <c r="AE251" s="215"/>
      <c r="AF251" s="239"/>
      <c r="AG251" s="239"/>
      <c r="AH251" s="239"/>
      <c r="AI251" s="239"/>
      <c r="AJ251" s="243"/>
      <c r="AL251" s="239"/>
      <c r="AM251" s="239"/>
      <c r="AN251" s="239"/>
      <c r="AR251" s="240"/>
    </row>
    <row r="252" spans="11:44">
      <c r="K252" s="210"/>
      <c r="N252" s="1"/>
      <c r="O252" s="241"/>
      <c r="P252" s="241"/>
      <c r="Q252" s="241"/>
      <c r="R252" s="241"/>
      <c r="W252" s="241"/>
      <c r="X252" s="1"/>
      <c r="Y252" s="1"/>
      <c r="Z252" s="240"/>
      <c r="AA252" s="240"/>
      <c r="AC252" s="240"/>
      <c r="AD252" s="240"/>
      <c r="AE252" s="215"/>
      <c r="AF252" s="239"/>
      <c r="AG252" s="239"/>
      <c r="AH252" s="239"/>
      <c r="AI252" s="239"/>
      <c r="AJ252" s="243"/>
      <c r="AL252" s="239"/>
      <c r="AM252" s="239"/>
      <c r="AN252" s="239"/>
      <c r="AR252" s="240"/>
    </row>
    <row r="253" spans="11:44">
      <c r="K253" s="210"/>
      <c r="N253" s="1"/>
      <c r="O253" s="241"/>
      <c r="P253" s="241"/>
      <c r="Q253" s="241"/>
      <c r="R253" s="241"/>
      <c r="W253" s="241"/>
      <c r="X253" s="1"/>
      <c r="Y253" s="1"/>
      <c r="Z253" s="240"/>
      <c r="AA253" s="240"/>
      <c r="AC253" s="240"/>
      <c r="AD253" s="240"/>
      <c r="AE253" s="215"/>
      <c r="AF253" s="239"/>
      <c r="AG253" s="239"/>
      <c r="AH253" s="239"/>
      <c r="AI253" s="239"/>
      <c r="AJ253" s="243"/>
      <c r="AL253" s="239"/>
      <c r="AM253" s="239"/>
      <c r="AN253" s="239"/>
      <c r="AR253" s="240"/>
    </row>
    <row r="254" spans="11:44">
      <c r="K254" s="210"/>
      <c r="N254" s="1"/>
      <c r="O254" s="241"/>
      <c r="P254" s="241"/>
      <c r="Q254" s="241"/>
      <c r="R254" s="241"/>
      <c r="W254" s="241"/>
      <c r="X254" s="1"/>
      <c r="Y254" s="1"/>
      <c r="Z254" s="240"/>
      <c r="AA254" s="240"/>
      <c r="AC254" s="240"/>
      <c r="AD254" s="240"/>
      <c r="AE254" s="215"/>
      <c r="AF254" s="239"/>
      <c r="AG254" s="239"/>
      <c r="AH254" s="244"/>
      <c r="AI254" s="239"/>
      <c r="AJ254" s="243"/>
      <c r="AL254" s="239"/>
      <c r="AM254" s="239"/>
      <c r="AN254" s="239"/>
      <c r="AR254" s="240"/>
    </row>
    <row r="255" spans="11:44">
      <c r="K255" s="210"/>
      <c r="N255" s="1"/>
      <c r="O255" s="241"/>
      <c r="P255" s="241"/>
      <c r="Q255" s="241"/>
      <c r="R255" s="241"/>
      <c r="W255" s="241"/>
      <c r="X255" s="1"/>
      <c r="Y255" s="1"/>
      <c r="Z255" s="240"/>
      <c r="AA255" s="240"/>
      <c r="AC255" s="240"/>
      <c r="AD255" s="240"/>
      <c r="AE255" s="215"/>
      <c r="AF255" s="239"/>
      <c r="AG255" s="239"/>
      <c r="AH255" s="244"/>
      <c r="AI255" s="239"/>
      <c r="AJ255" s="243"/>
      <c r="AL255" s="239"/>
      <c r="AM255" s="239"/>
      <c r="AN255" s="239"/>
      <c r="AR255" s="240"/>
    </row>
    <row r="256" spans="11:44">
      <c r="K256" s="210"/>
      <c r="N256" s="1"/>
      <c r="O256" s="241"/>
      <c r="P256" s="241"/>
      <c r="Q256" s="241"/>
      <c r="R256" s="241"/>
      <c r="W256" s="241"/>
      <c r="X256" s="1"/>
      <c r="Y256" s="1"/>
      <c r="Z256" s="240"/>
      <c r="AA256" s="240"/>
      <c r="AC256" s="240"/>
      <c r="AD256" s="240"/>
      <c r="AE256" s="215"/>
      <c r="AF256" s="239"/>
      <c r="AG256" s="239"/>
      <c r="AH256" s="244"/>
      <c r="AI256" s="239"/>
      <c r="AJ256" s="243"/>
      <c r="AL256" s="239"/>
      <c r="AM256" s="239"/>
      <c r="AN256" s="239"/>
      <c r="AR256" s="240"/>
    </row>
    <row r="257" spans="11:44">
      <c r="K257" s="210"/>
      <c r="N257" s="1"/>
      <c r="O257" s="241"/>
      <c r="P257" s="241"/>
      <c r="Q257" s="241"/>
      <c r="R257" s="241"/>
      <c r="W257" s="241"/>
      <c r="X257" s="1"/>
      <c r="Y257" s="1"/>
      <c r="Z257" s="240"/>
      <c r="AA257" s="240"/>
      <c r="AC257" s="240"/>
      <c r="AD257" s="240"/>
      <c r="AE257" s="215"/>
      <c r="AF257" s="245"/>
      <c r="AG257" s="239"/>
      <c r="AH257" s="239"/>
      <c r="AI257" s="239"/>
      <c r="AJ257" s="243"/>
      <c r="AL257" s="239"/>
      <c r="AM257" s="239"/>
      <c r="AN257" s="239"/>
      <c r="AR257" s="240"/>
    </row>
    <row r="258" spans="11:44">
      <c r="K258" s="210"/>
      <c r="N258" s="1"/>
      <c r="O258" s="241"/>
      <c r="P258" s="241"/>
      <c r="Q258" s="241"/>
      <c r="R258" s="241"/>
      <c r="W258" s="241"/>
      <c r="X258" s="1"/>
      <c r="Y258" s="1"/>
      <c r="Z258" s="240"/>
      <c r="AA258" s="240"/>
      <c r="AC258" s="240"/>
      <c r="AD258" s="240"/>
      <c r="AE258" s="215"/>
      <c r="AF258" s="239"/>
      <c r="AG258" s="239"/>
      <c r="AH258" s="239"/>
      <c r="AI258" s="239"/>
      <c r="AJ258" s="243"/>
      <c r="AL258" s="239"/>
      <c r="AM258" s="239"/>
      <c r="AN258" s="239"/>
      <c r="AR258" s="240"/>
    </row>
    <row r="259" spans="11:44">
      <c r="K259" s="210"/>
      <c r="N259" s="1"/>
      <c r="O259" s="241"/>
      <c r="P259" s="241"/>
      <c r="Q259" s="241"/>
      <c r="R259" s="241"/>
      <c r="W259" s="241"/>
      <c r="X259" s="1"/>
      <c r="Y259" s="1"/>
      <c r="Z259" s="240"/>
      <c r="AA259" s="240"/>
      <c r="AC259" s="240"/>
      <c r="AD259" s="240"/>
      <c r="AE259" s="215"/>
      <c r="AF259" s="239"/>
      <c r="AG259" s="239"/>
      <c r="AH259" s="239"/>
      <c r="AI259" s="239"/>
      <c r="AJ259" s="243"/>
      <c r="AL259" s="239"/>
      <c r="AM259" s="239"/>
      <c r="AN259" s="239"/>
      <c r="AR259" s="240"/>
    </row>
    <row r="260" spans="11:44">
      <c r="K260" s="210"/>
      <c r="N260" s="1"/>
      <c r="O260" s="241"/>
      <c r="P260" s="241"/>
      <c r="Q260" s="241"/>
      <c r="R260" s="241"/>
      <c r="W260" s="241"/>
      <c r="X260" s="1"/>
      <c r="Y260" s="1"/>
      <c r="Z260" s="240"/>
      <c r="AA260" s="240"/>
      <c r="AC260" s="240"/>
      <c r="AD260" s="240"/>
      <c r="AE260" s="215"/>
      <c r="AF260" s="239"/>
      <c r="AG260" s="239"/>
      <c r="AH260" s="239"/>
      <c r="AI260" s="239"/>
      <c r="AJ260" s="243"/>
      <c r="AL260" s="239"/>
      <c r="AM260" s="239"/>
      <c r="AN260" s="239"/>
      <c r="AR260" s="240"/>
    </row>
    <row r="261" spans="11:44">
      <c r="K261" s="210"/>
      <c r="N261" s="1"/>
      <c r="O261" s="241"/>
      <c r="P261" s="241"/>
      <c r="Q261" s="241"/>
      <c r="R261" s="241"/>
      <c r="W261" s="241"/>
      <c r="X261" s="1"/>
      <c r="Y261" s="1"/>
      <c r="Z261" s="240"/>
      <c r="AA261" s="240"/>
      <c r="AC261" s="240"/>
      <c r="AD261" s="240"/>
      <c r="AE261" s="215"/>
      <c r="AF261" s="239"/>
      <c r="AG261" s="239"/>
      <c r="AH261" s="239"/>
      <c r="AI261" s="239"/>
      <c r="AJ261" s="243"/>
      <c r="AL261" s="239"/>
      <c r="AM261" s="239"/>
      <c r="AN261" s="239"/>
      <c r="AR261" s="240"/>
    </row>
    <row r="262" spans="11:44">
      <c r="K262" s="210"/>
      <c r="N262" s="1"/>
      <c r="O262" s="241"/>
      <c r="P262" s="241"/>
      <c r="Q262" s="241"/>
      <c r="R262" s="241"/>
      <c r="W262" s="241"/>
      <c r="X262" s="1"/>
      <c r="Y262" s="1"/>
      <c r="Z262" s="240"/>
      <c r="AA262" s="240"/>
      <c r="AC262" s="240"/>
      <c r="AD262" s="240"/>
      <c r="AE262" s="215"/>
      <c r="AF262" s="239"/>
      <c r="AG262" s="239"/>
      <c r="AH262" s="239"/>
      <c r="AI262" s="239"/>
      <c r="AJ262" s="243"/>
      <c r="AL262" s="239"/>
      <c r="AM262" s="239"/>
      <c r="AN262" s="239"/>
      <c r="AR262" s="240"/>
    </row>
    <row r="263" spans="11:44">
      <c r="K263" s="210"/>
      <c r="N263" s="1"/>
      <c r="O263" s="241"/>
      <c r="P263" s="241"/>
      <c r="Q263" s="241"/>
      <c r="R263" s="241"/>
      <c r="W263" s="241"/>
      <c r="X263" s="1"/>
      <c r="Y263" s="1"/>
      <c r="Z263" s="240"/>
      <c r="AA263" s="240"/>
      <c r="AC263" s="240"/>
      <c r="AD263" s="240"/>
      <c r="AE263" s="215"/>
      <c r="AF263" s="239"/>
      <c r="AG263" s="239"/>
      <c r="AH263" s="239"/>
      <c r="AI263" s="239"/>
      <c r="AJ263" s="243"/>
      <c r="AL263" s="239"/>
      <c r="AM263" s="239"/>
      <c r="AN263" s="239"/>
      <c r="AR263" s="240"/>
    </row>
    <row r="264" spans="11:44">
      <c r="K264" s="210"/>
      <c r="N264" s="1"/>
      <c r="O264" s="241"/>
      <c r="P264" s="241"/>
      <c r="Q264" s="241"/>
      <c r="R264" s="241"/>
      <c r="W264" s="241"/>
      <c r="X264" s="1"/>
      <c r="Y264" s="1"/>
      <c r="Z264" s="240"/>
      <c r="AA264" s="240"/>
      <c r="AC264" s="240"/>
      <c r="AD264" s="240"/>
      <c r="AE264" s="215"/>
      <c r="AF264" s="239"/>
      <c r="AG264" s="239"/>
      <c r="AH264" s="239"/>
      <c r="AI264" s="239"/>
      <c r="AJ264" s="243"/>
      <c r="AL264" s="239"/>
      <c r="AM264" s="239"/>
      <c r="AN264" s="239"/>
      <c r="AR264" s="240"/>
    </row>
    <row r="265" spans="11:44">
      <c r="K265" s="210"/>
      <c r="N265" s="1"/>
      <c r="O265" s="241"/>
      <c r="P265" s="241"/>
      <c r="Q265" s="241"/>
      <c r="R265" s="241"/>
      <c r="W265" s="241"/>
      <c r="X265" s="1"/>
      <c r="Y265" s="1"/>
      <c r="Z265" s="240"/>
      <c r="AA265" s="240"/>
      <c r="AC265" s="240"/>
      <c r="AD265" s="240"/>
      <c r="AE265" s="215"/>
      <c r="AF265" s="239"/>
      <c r="AG265" s="239"/>
      <c r="AH265" s="239"/>
      <c r="AI265" s="239"/>
      <c r="AJ265" s="243"/>
      <c r="AL265" s="239"/>
      <c r="AM265" s="239"/>
      <c r="AN265" s="239"/>
      <c r="AR265" s="240"/>
    </row>
    <row r="266" spans="11:44">
      <c r="K266" s="210"/>
      <c r="N266" s="1"/>
      <c r="O266" s="241"/>
      <c r="P266" s="241"/>
      <c r="Q266" s="241"/>
      <c r="R266" s="241"/>
      <c r="W266" s="241"/>
      <c r="X266" s="1"/>
      <c r="Y266" s="1"/>
      <c r="Z266" s="240"/>
      <c r="AA266" s="240"/>
      <c r="AC266" s="240"/>
      <c r="AD266" s="240"/>
      <c r="AE266" s="215"/>
      <c r="AF266" s="239"/>
      <c r="AG266" s="239"/>
      <c r="AH266" s="239"/>
      <c r="AI266" s="239"/>
      <c r="AJ266" s="243"/>
      <c r="AL266" s="239"/>
      <c r="AM266" s="239"/>
      <c r="AN266" s="239"/>
      <c r="AR266" s="240"/>
    </row>
    <row r="267" spans="11:44">
      <c r="K267" s="210"/>
      <c r="N267" s="1"/>
      <c r="O267" s="241"/>
      <c r="P267" s="241"/>
      <c r="Q267" s="241"/>
      <c r="R267" s="241"/>
      <c r="W267" s="241"/>
      <c r="X267" s="1"/>
      <c r="Y267" s="1"/>
      <c r="Z267" s="240"/>
      <c r="AA267" s="240"/>
      <c r="AC267" s="240"/>
      <c r="AD267" s="240"/>
      <c r="AE267" s="215"/>
      <c r="AF267" s="239"/>
      <c r="AG267" s="239"/>
      <c r="AH267" s="239"/>
      <c r="AI267" s="239"/>
      <c r="AJ267" s="243"/>
      <c r="AL267" s="239"/>
      <c r="AM267" s="239"/>
      <c r="AN267" s="239"/>
      <c r="AR267" s="240"/>
    </row>
    <row r="268" spans="11:44">
      <c r="K268" s="210"/>
      <c r="N268" s="1"/>
      <c r="O268" s="241"/>
      <c r="P268" s="241"/>
      <c r="Q268" s="241"/>
      <c r="R268" s="241"/>
      <c r="W268" s="241"/>
      <c r="X268" s="1"/>
      <c r="Y268" s="1"/>
      <c r="Z268" s="240"/>
      <c r="AA268" s="240"/>
      <c r="AC268" s="240"/>
      <c r="AD268" s="240"/>
      <c r="AE268" s="215"/>
      <c r="AF268" s="239"/>
      <c r="AG268" s="239"/>
      <c r="AH268" s="239"/>
      <c r="AI268" s="239"/>
      <c r="AJ268" s="243"/>
      <c r="AL268" s="239"/>
      <c r="AM268" s="239"/>
      <c r="AN268" s="239"/>
      <c r="AR268" s="240"/>
    </row>
    <row r="269" spans="11:44">
      <c r="K269" s="210"/>
      <c r="N269" s="1"/>
      <c r="O269" s="241"/>
      <c r="P269" s="241"/>
      <c r="Q269" s="241"/>
      <c r="R269" s="241"/>
      <c r="W269" s="241"/>
      <c r="X269" s="1"/>
      <c r="Y269" s="1"/>
      <c r="Z269" s="240"/>
      <c r="AA269" s="240"/>
      <c r="AC269" s="240"/>
      <c r="AD269" s="240"/>
      <c r="AE269" s="215"/>
      <c r="AF269" s="239"/>
      <c r="AG269" s="239"/>
      <c r="AH269" s="239"/>
      <c r="AI269" s="239"/>
      <c r="AJ269" s="243"/>
      <c r="AL269" s="239"/>
      <c r="AM269" s="239"/>
      <c r="AN269" s="239"/>
      <c r="AR269" s="240"/>
    </row>
    <row r="270" spans="11:44">
      <c r="K270" s="210"/>
      <c r="N270" s="1"/>
      <c r="O270" s="241"/>
      <c r="P270" s="241"/>
      <c r="Q270" s="241"/>
      <c r="R270" s="241"/>
      <c r="W270" s="241"/>
      <c r="X270" s="1"/>
      <c r="Y270" s="1"/>
      <c r="Z270" s="240"/>
      <c r="AA270" s="240"/>
      <c r="AC270" s="240"/>
      <c r="AD270" s="240"/>
      <c r="AE270" s="215"/>
      <c r="AF270" s="239"/>
      <c r="AG270" s="239"/>
      <c r="AH270" s="239"/>
      <c r="AI270" s="239"/>
      <c r="AJ270" s="243"/>
      <c r="AL270" s="239"/>
      <c r="AM270" s="239"/>
      <c r="AN270" s="239"/>
      <c r="AR270" s="240"/>
    </row>
    <row r="271" spans="11:44">
      <c r="K271" s="210"/>
      <c r="N271" s="1"/>
      <c r="O271" s="241"/>
      <c r="P271" s="241"/>
      <c r="Q271" s="241"/>
      <c r="R271" s="241"/>
      <c r="W271" s="241"/>
      <c r="X271" s="1"/>
      <c r="Y271" s="1"/>
      <c r="Z271" s="240"/>
      <c r="AA271" s="240"/>
      <c r="AC271" s="240"/>
      <c r="AD271" s="240"/>
      <c r="AE271" s="215"/>
      <c r="AF271" s="239"/>
      <c r="AG271" s="239"/>
      <c r="AH271" s="239"/>
      <c r="AI271" s="239"/>
      <c r="AJ271" s="243"/>
      <c r="AL271" s="239"/>
      <c r="AM271" s="239"/>
      <c r="AN271" s="239"/>
      <c r="AR271" s="240"/>
    </row>
    <row r="272" spans="11:44">
      <c r="K272" s="210"/>
      <c r="N272" s="1"/>
      <c r="O272" s="241"/>
      <c r="P272" s="241"/>
      <c r="Q272" s="241"/>
      <c r="R272" s="241"/>
      <c r="W272" s="241"/>
      <c r="X272" s="1"/>
      <c r="Y272" s="1"/>
      <c r="Z272" s="240"/>
      <c r="AA272" s="240"/>
      <c r="AC272" s="240"/>
      <c r="AD272" s="240"/>
      <c r="AE272" s="215"/>
      <c r="AF272" s="239"/>
      <c r="AG272" s="239"/>
      <c r="AH272" s="239"/>
      <c r="AI272" s="239"/>
      <c r="AJ272" s="243"/>
      <c r="AL272" s="239"/>
      <c r="AM272" s="239"/>
      <c r="AN272" s="239"/>
      <c r="AR272" s="240"/>
    </row>
    <row r="273" spans="11:44">
      <c r="K273" s="210"/>
      <c r="N273" s="1"/>
      <c r="O273" s="241"/>
      <c r="P273" s="241"/>
      <c r="Q273" s="241"/>
      <c r="R273" s="241"/>
      <c r="W273" s="241"/>
      <c r="X273" s="1"/>
      <c r="Y273" s="1"/>
      <c r="Z273" s="240"/>
      <c r="AA273" s="240"/>
      <c r="AC273" s="240"/>
      <c r="AD273" s="240"/>
      <c r="AE273" s="215"/>
      <c r="AF273" s="239"/>
      <c r="AG273" s="239"/>
      <c r="AH273" s="239"/>
      <c r="AI273" s="239"/>
      <c r="AJ273" s="243"/>
      <c r="AL273" s="239"/>
      <c r="AM273" s="239"/>
      <c r="AN273" s="239"/>
      <c r="AR273" s="240"/>
    </row>
    <row r="274" spans="11:44">
      <c r="K274" s="210"/>
      <c r="N274" s="1"/>
      <c r="O274" s="241"/>
      <c r="P274" s="241"/>
      <c r="Q274" s="241"/>
      <c r="R274" s="241"/>
      <c r="W274" s="241"/>
      <c r="X274" s="1"/>
      <c r="Y274" s="1"/>
      <c r="Z274" s="240"/>
      <c r="AA274" s="240"/>
      <c r="AC274" s="240"/>
      <c r="AD274" s="240"/>
      <c r="AE274" s="215"/>
      <c r="AF274" s="239"/>
      <c r="AG274" s="239"/>
      <c r="AH274" s="239"/>
      <c r="AI274" s="239"/>
      <c r="AJ274" s="243"/>
      <c r="AL274" s="239"/>
      <c r="AM274" s="239"/>
      <c r="AN274" s="239"/>
      <c r="AR274" s="240"/>
    </row>
    <row r="275" spans="11:44">
      <c r="K275" s="210"/>
      <c r="N275" s="1"/>
      <c r="O275" s="241"/>
      <c r="P275" s="241"/>
      <c r="Q275" s="241"/>
      <c r="R275" s="241"/>
      <c r="W275" s="241"/>
      <c r="X275" s="1"/>
      <c r="Y275" s="1"/>
      <c r="Z275" s="240"/>
      <c r="AA275" s="240"/>
      <c r="AC275" s="240"/>
      <c r="AD275" s="240"/>
      <c r="AE275" s="215"/>
      <c r="AF275" s="239"/>
      <c r="AG275" s="239"/>
      <c r="AH275" s="239"/>
      <c r="AI275" s="239"/>
      <c r="AJ275" s="243"/>
      <c r="AL275" s="239"/>
      <c r="AM275" s="239"/>
      <c r="AN275" s="239"/>
      <c r="AR275" s="240"/>
    </row>
    <row r="276" spans="11:44">
      <c r="K276" s="210"/>
      <c r="N276" s="1"/>
      <c r="O276" s="241"/>
      <c r="P276" s="241"/>
      <c r="Q276" s="241"/>
      <c r="R276" s="241"/>
      <c r="W276" s="241"/>
      <c r="X276" s="1"/>
      <c r="Y276" s="1"/>
      <c r="Z276" s="240"/>
      <c r="AA276" s="240"/>
      <c r="AC276" s="240"/>
      <c r="AD276" s="240"/>
      <c r="AE276" s="215"/>
      <c r="AF276" s="239"/>
      <c r="AG276" s="239"/>
      <c r="AH276" s="239"/>
      <c r="AI276" s="239"/>
      <c r="AJ276" s="243"/>
      <c r="AL276" s="239"/>
      <c r="AM276" s="239"/>
      <c r="AN276" s="239"/>
      <c r="AR276" s="240"/>
    </row>
    <row r="277" spans="11:44">
      <c r="K277" s="210"/>
      <c r="N277" s="1"/>
      <c r="O277" s="241"/>
      <c r="P277" s="241"/>
      <c r="Q277" s="241"/>
      <c r="R277" s="241"/>
      <c r="W277" s="241"/>
      <c r="X277" s="1"/>
      <c r="Y277" s="1"/>
      <c r="Z277" s="240"/>
      <c r="AA277" s="240"/>
      <c r="AC277" s="240"/>
      <c r="AD277" s="240"/>
      <c r="AE277" s="215"/>
      <c r="AF277" s="239"/>
      <c r="AG277" s="239"/>
      <c r="AH277" s="239"/>
      <c r="AI277" s="239"/>
      <c r="AJ277" s="243"/>
      <c r="AL277" s="239"/>
      <c r="AM277" s="239"/>
      <c r="AN277" s="239"/>
      <c r="AR277" s="240"/>
    </row>
    <row r="278" spans="11:44">
      <c r="K278" s="210"/>
      <c r="N278" s="1"/>
      <c r="O278" s="241"/>
      <c r="P278" s="241"/>
      <c r="Q278" s="241"/>
      <c r="R278" s="241"/>
      <c r="W278" s="241"/>
      <c r="X278" s="1"/>
      <c r="Y278" s="1"/>
      <c r="Z278" s="240"/>
      <c r="AA278" s="240"/>
      <c r="AC278" s="240"/>
      <c r="AD278" s="240"/>
      <c r="AE278" s="215"/>
      <c r="AF278" s="239"/>
      <c r="AG278" s="239"/>
      <c r="AH278" s="239"/>
      <c r="AI278" s="239"/>
      <c r="AJ278" s="243"/>
      <c r="AL278" s="239"/>
      <c r="AM278" s="239"/>
      <c r="AN278" s="239"/>
      <c r="AR278" s="240"/>
    </row>
    <row r="279" spans="11:44">
      <c r="K279" s="210"/>
      <c r="N279" s="1"/>
      <c r="O279" s="241"/>
      <c r="P279" s="241"/>
      <c r="Q279" s="241"/>
      <c r="R279" s="241"/>
      <c r="W279" s="241"/>
      <c r="X279" s="1"/>
      <c r="Y279" s="1"/>
      <c r="Z279" s="240"/>
      <c r="AA279" s="240"/>
      <c r="AC279" s="240"/>
      <c r="AD279" s="240"/>
      <c r="AE279" s="215"/>
      <c r="AF279" s="239"/>
      <c r="AG279" s="239"/>
      <c r="AH279" s="239"/>
      <c r="AI279" s="239"/>
      <c r="AJ279" s="243"/>
      <c r="AL279" s="239"/>
      <c r="AM279" s="239"/>
      <c r="AN279" s="239"/>
      <c r="AR279" s="240"/>
    </row>
    <row r="280" spans="11:44">
      <c r="K280" s="210"/>
      <c r="N280" s="1"/>
      <c r="O280" s="241"/>
      <c r="P280" s="241"/>
      <c r="Q280" s="241"/>
      <c r="R280" s="241"/>
      <c r="W280" s="241"/>
      <c r="X280" s="1"/>
      <c r="Y280" s="1"/>
      <c r="Z280" s="240"/>
      <c r="AA280" s="240"/>
      <c r="AC280" s="240"/>
      <c r="AD280" s="240"/>
      <c r="AE280" s="215"/>
      <c r="AF280" s="239"/>
      <c r="AG280" s="239"/>
      <c r="AH280" s="239"/>
      <c r="AI280" s="239"/>
      <c r="AJ280" s="243"/>
      <c r="AL280" s="239"/>
      <c r="AM280" s="239"/>
      <c r="AN280" s="239"/>
      <c r="AR280" s="240"/>
    </row>
    <row r="281" spans="11:44">
      <c r="K281" s="210"/>
      <c r="N281" s="1"/>
      <c r="O281" s="241"/>
      <c r="P281" s="241"/>
      <c r="Q281" s="241"/>
      <c r="R281" s="241"/>
      <c r="W281" s="241"/>
      <c r="X281" s="1"/>
      <c r="Y281" s="1"/>
      <c r="Z281" s="240"/>
      <c r="AA281" s="240"/>
      <c r="AC281" s="240"/>
      <c r="AD281" s="240"/>
      <c r="AE281" s="215"/>
      <c r="AF281" s="239"/>
      <c r="AG281" s="239"/>
      <c r="AH281" s="239"/>
      <c r="AI281" s="239"/>
      <c r="AJ281" s="243"/>
      <c r="AL281" s="239"/>
      <c r="AM281" s="239"/>
      <c r="AN281" s="239"/>
      <c r="AR281" s="240"/>
    </row>
    <row r="282" spans="11:44">
      <c r="K282" s="210"/>
      <c r="N282" s="1"/>
      <c r="O282" s="241"/>
      <c r="P282" s="241"/>
      <c r="Q282" s="241"/>
      <c r="R282" s="241"/>
      <c r="W282" s="241"/>
      <c r="X282" s="1"/>
      <c r="Y282" s="1"/>
      <c r="Z282" s="240"/>
      <c r="AA282" s="240"/>
      <c r="AC282" s="240"/>
      <c r="AD282" s="240"/>
      <c r="AE282" s="215"/>
      <c r="AF282" s="239"/>
      <c r="AG282" s="239"/>
      <c r="AH282" s="239"/>
      <c r="AI282" s="239"/>
      <c r="AJ282" s="243"/>
      <c r="AL282" s="239"/>
      <c r="AM282" s="239"/>
      <c r="AN282" s="239"/>
      <c r="AR282" s="240"/>
    </row>
    <row r="283" spans="11:44">
      <c r="K283" s="210"/>
      <c r="N283" s="1"/>
      <c r="O283" s="241"/>
      <c r="P283" s="241"/>
      <c r="Q283" s="241"/>
      <c r="R283" s="241"/>
      <c r="W283" s="241"/>
      <c r="X283" s="1"/>
      <c r="Y283" s="1"/>
      <c r="Z283" s="240"/>
      <c r="AA283" s="240"/>
      <c r="AC283" s="240"/>
      <c r="AD283" s="240"/>
      <c r="AE283" s="215"/>
      <c r="AF283" s="239"/>
      <c r="AG283" s="239"/>
      <c r="AH283" s="239"/>
      <c r="AI283" s="239"/>
      <c r="AJ283" s="243"/>
      <c r="AL283" s="239"/>
      <c r="AM283" s="239"/>
      <c r="AN283" s="239"/>
      <c r="AR283" s="240"/>
    </row>
    <row r="284" spans="11:44">
      <c r="K284" s="210"/>
      <c r="N284" s="1"/>
      <c r="O284" s="241"/>
      <c r="P284" s="241"/>
      <c r="Q284" s="241"/>
      <c r="R284" s="241"/>
      <c r="W284" s="241"/>
      <c r="X284" s="1"/>
      <c r="Y284" s="1"/>
      <c r="Z284" s="240"/>
      <c r="AA284" s="240"/>
      <c r="AC284" s="240"/>
      <c r="AD284" s="240"/>
      <c r="AE284" s="215"/>
      <c r="AF284" s="239"/>
      <c r="AG284" s="239"/>
      <c r="AH284" s="239"/>
      <c r="AI284" s="239"/>
      <c r="AJ284" s="243"/>
      <c r="AL284" s="239"/>
      <c r="AM284" s="239"/>
      <c r="AN284" s="239"/>
      <c r="AR284" s="240"/>
    </row>
    <row r="285" spans="11:44">
      <c r="K285" s="210"/>
      <c r="N285" s="1"/>
      <c r="O285" s="241"/>
      <c r="P285" s="241"/>
      <c r="Q285" s="241"/>
      <c r="R285" s="241"/>
      <c r="W285" s="241"/>
      <c r="X285" s="1"/>
      <c r="Y285" s="1"/>
      <c r="Z285" s="240"/>
      <c r="AA285" s="240"/>
      <c r="AC285" s="240"/>
      <c r="AD285" s="240"/>
      <c r="AE285" s="215"/>
      <c r="AF285" s="239"/>
      <c r="AG285" s="239"/>
      <c r="AH285" s="239"/>
      <c r="AI285" s="239"/>
      <c r="AJ285" s="243"/>
      <c r="AL285" s="239"/>
      <c r="AM285" s="239"/>
      <c r="AN285" s="239"/>
      <c r="AR285" s="240"/>
    </row>
    <row r="286" spans="11:44">
      <c r="K286" s="210"/>
      <c r="N286" s="1"/>
      <c r="O286" s="241"/>
      <c r="P286" s="241"/>
      <c r="Q286" s="241"/>
      <c r="R286" s="241"/>
      <c r="W286" s="241"/>
      <c r="X286" s="1"/>
      <c r="Y286" s="1"/>
      <c r="Z286" s="240"/>
      <c r="AA286" s="240"/>
      <c r="AC286" s="240"/>
      <c r="AD286" s="240"/>
      <c r="AE286" s="215"/>
      <c r="AF286" s="239"/>
      <c r="AG286" s="239"/>
      <c r="AH286" s="239"/>
      <c r="AI286" s="239"/>
      <c r="AJ286" s="243"/>
      <c r="AL286" s="239"/>
      <c r="AM286" s="239"/>
      <c r="AN286" s="239"/>
      <c r="AR286" s="240"/>
    </row>
    <row r="287" spans="11:44">
      <c r="K287" s="210"/>
      <c r="N287" s="1"/>
      <c r="O287" s="241"/>
      <c r="P287" s="241"/>
      <c r="Q287" s="241"/>
      <c r="R287" s="241"/>
      <c r="W287" s="241"/>
      <c r="X287" s="1"/>
      <c r="Y287" s="1"/>
      <c r="Z287" s="240"/>
      <c r="AA287" s="240"/>
      <c r="AC287" s="240"/>
      <c r="AD287" s="240"/>
      <c r="AE287" s="215"/>
      <c r="AF287" s="239"/>
      <c r="AG287" s="239"/>
      <c r="AH287" s="239"/>
      <c r="AI287" s="239"/>
      <c r="AJ287" s="243"/>
      <c r="AL287" s="239"/>
      <c r="AM287" s="239"/>
      <c r="AN287" s="239"/>
      <c r="AR287" s="240"/>
    </row>
    <row r="288" spans="11:44">
      <c r="K288" s="210"/>
      <c r="N288" s="1"/>
      <c r="O288" s="241"/>
      <c r="P288" s="241"/>
      <c r="Q288" s="241"/>
      <c r="R288" s="241"/>
      <c r="W288" s="241"/>
      <c r="X288" s="1"/>
      <c r="Y288" s="1"/>
      <c r="Z288" s="240"/>
      <c r="AA288" s="240"/>
      <c r="AC288" s="240"/>
      <c r="AD288" s="240"/>
      <c r="AE288" s="215"/>
      <c r="AF288" s="239"/>
      <c r="AG288" s="239"/>
      <c r="AH288" s="239"/>
      <c r="AI288" s="239"/>
      <c r="AJ288" s="243"/>
      <c r="AL288" s="239"/>
      <c r="AM288" s="239"/>
      <c r="AN288" s="239"/>
      <c r="AR288" s="240"/>
    </row>
    <row r="289" spans="11:44">
      <c r="K289" s="210"/>
      <c r="N289" s="1"/>
      <c r="O289" s="241"/>
      <c r="P289" s="241"/>
      <c r="Q289" s="241"/>
      <c r="R289" s="241"/>
      <c r="W289" s="241"/>
      <c r="X289" s="1"/>
      <c r="Y289" s="1"/>
      <c r="Z289" s="240"/>
      <c r="AA289" s="240"/>
      <c r="AC289" s="240"/>
      <c r="AD289" s="240"/>
      <c r="AE289" s="215"/>
      <c r="AF289" s="239"/>
      <c r="AG289" s="239"/>
      <c r="AH289" s="239"/>
      <c r="AI289" s="239"/>
      <c r="AJ289" s="243"/>
      <c r="AL289" s="239"/>
      <c r="AM289" s="239"/>
      <c r="AN289" s="239"/>
      <c r="AR289" s="240"/>
    </row>
    <row r="290" spans="11:44">
      <c r="K290" s="210"/>
      <c r="N290" s="1"/>
      <c r="O290" s="241"/>
      <c r="P290" s="241"/>
      <c r="Q290" s="241"/>
      <c r="R290" s="241"/>
      <c r="W290" s="241"/>
      <c r="X290" s="1"/>
      <c r="Y290" s="1"/>
      <c r="Z290" s="240"/>
      <c r="AA290" s="240"/>
      <c r="AC290" s="240"/>
      <c r="AD290" s="240"/>
      <c r="AE290" s="215"/>
      <c r="AF290" s="239"/>
      <c r="AG290" s="239"/>
      <c r="AH290" s="239"/>
      <c r="AI290" s="239"/>
      <c r="AJ290" s="243"/>
      <c r="AL290" s="239"/>
      <c r="AM290" s="239"/>
      <c r="AN290" s="239"/>
      <c r="AR290" s="240"/>
    </row>
    <row r="291" spans="11:44">
      <c r="K291" s="210"/>
      <c r="N291" s="1"/>
      <c r="O291" s="241"/>
      <c r="P291" s="241"/>
      <c r="Q291" s="241"/>
      <c r="R291" s="241"/>
      <c r="W291" s="241"/>
      <c r="X291" s="1"/>
      <c r="Y291" s="1"/>
      <c r="Z291" s="240"/>
      <c r="AA291" s="240"/>
      <c r="AC291" s="240"/>
      <c r="AD291" s="240"/>
      <c r="AE291" s="215"/>
      <c r="AF291" s="239"/>
      <c r="AG291" s="239"/>
      <c r="AH291" s="239"/>
      <c r="AI291" s="239"/>
      <c r="AJ291" s="243"/>
      <c r="AL291" s="239"/>
      <c r="AM291" s="239"/>
      <c r="AN291" s="239"/>
      <c r="AR291" s="240"/>
    </row>
    <row r="292" spans="11:44">
      <c r="K292" s="210"/>
      <c r="N292" s="1"/>
      <c r="O292" s="241"/>
      <c r="P292" s="241"/>
      <c r="Q292" s="241"/>
      <c r="R292" s="241"/>
      <c r="W292" s="241"/>
      <c r="X292" s="1"/>
      <c r="Y292" s="1"/>
      <c r="Z292" s="240"/>
      <c r="AA292" s="240"/>
      <c r="AC292" s="240"/>
      <c r="AD292" s="240"/>
      <c r="AE292" s="215"/>
      <c r="AF292" s="239"/>
      <c r="AG292" s="239"/>
      <c r="AH292" s="239"/>
      <c r="AI292" s="239"/>
      <c r="AJ292" s="243"/>
      <c r="AL292" s="239"/>
      <c r="AM292" s="239"/>
      <c r="AN292" s="239"/>
      <c r="AR292" s="240"/>
    </row>
    <row r="293" spans="11:44">
      <c r="K293" s="210"/>
      <c r="N293" s="1"/>
      <c r="O293" s="241"/>
      <c r="P293" s="241"/>
      <c r="Q293" s="241"/>
      <c r="R293" s="241"/>
      <c r="W293" s="241"/>
      <c r="X293" s="1"/>
      <c r="Y293" s="1"/>
      <c r="Z293" s="240"/>
      <c r="AA293" s="240"/>
      <c r="AC293" s="240"/>
      <c r="AD293" s="240"/>
      <c r="AE293" s="215"/>
      <c r="AF293" s="239"/>
      <c r="AG293" s="239"/>
      <c r="AH293" s="239"/>
      <c r="AI293" s="239"/>
      <c r="AJ293" s="243"/>
      <c r="AL293" s="239"/>
      <c r="AM293" s="239"/>
      <c r="AN293" s="239"/>
      <c r="AR293" s="240"/>
    </row>
    <row r="294" spans="11:44">
      <c r="K294" s="210"/>
      <c r="N294" s="1"/>
      <c r="O294" s="241"/>
      <c r="P294" s="241"/>
      <c r="Q294" s="241"/>
      <c r="R294" s="241"/>
      <c r="W294" s="241"/>
      <c r="X294" s="1"/>
      <c r="Y294" s="1"/>
      <c r="Z294" s="240"/>
      <c r="AA294" s="240"/>
      <c r="AC294" s="240"/>
      <c r="AD294" s="240"/>
      <c r="AE294" s="215"/>
      <c r="AF294" s="239"/>
      <c r="AG294" s="239"/>
      <c r="AH294" s="239"/>
      <c r="AI294" s="239"/>
      <c r="AJ294" s="243"/>
      <c r="AL294" s="239"/>
      <c r="AM294" s="239"/>
      <c r="AN294" s="239"/>
      <c r="AR294" s="240"/>
    </row>
    <row r="295" spans="11:44">
      <c r="K295" s="210"/>
      <c r="N295" s="1"/>
      <c r="O295" s="241"/>
      <c r="P295" s="241"/>
      <c r="Q295" s="241"/>
      <c r="R295" s="241"/>
      <c r="W295" s="241"/>
      <c r="X295" s="1"/>
      <c r="Y295" s="1"/>
      <c r="Z295" s="240"/>
      <c r="AA295" s="240"/>
      <c r="AC295" s="240"/>
      <c r="AD295" s="240"/>
      <c r="AE295" s="215"/>
      <c r="AF295" s="239"/>
      <c r="AG295" s="239"/>
      <c r="AH295" s="239"/>
      <c r="AI295" s="239"/>
      <c r="AJ295" s="243"/>
      <c r="AL295" s="239"/>
      <c r="AM295" s="239"/>
      <c r="AN295" s="239"/>
      <c r="AR295" s="240"/>
    </row>
    <row r="296" spans="11:44">
      <c r="K296" s="210"/>
      <c r="N296" s="1"/>
      <c r="O296" s="241"/>
      <c r="P296" s="241"/>
      <c r="Q296" s="241"/>
      <c r="R296" s="241"/>
      <c r="W296" s="241"/>
      <c r="X296" s="1"/>
      <c r="Y296" s="1"/>
      <c r="Z296" s="240"/>
      <c r="AA296" s="240"/>
      <c r="AC296" s="240"/>
      <c r="AD296" s="240"/>
      <c r="AE296" s="215"/>
      <c r="AF296" s="239"/>
      <c r="AG296" s="239"/>
      <c r="AH296" s="239"/>
      <c r="AI296" s="239"/>
      <c r="AJ296" s="243"/>
      <c r="AL296" s="239"/>
      <c r="AM296" s="239"/>
      <c r="AN296" s="239"/>
      <c r="AR296" s="240"/>
    </row>
    <row r="297" spans="11:44">
      <c r="K297" s="210"/>
      <c r="N297" s="1"/>
      <c r="O297" s="241"/>
      <c r="P297" s="241"/>
      <c r="Q297" s="241"/>
      <c r="R297" s="241"/>
      <c r="W297" s="241"/>
      <c r="X297" s="1"/>
      <c r="Y297" s="1"/>
      <c r="Z297" s="240"/>
      <c r="AA297" s="240"/>
      <c r="AC297" s="240"/>
      <c r="AD297" s="240"/>
      <c r="AE297" s="215"/>
      <c r="AF297" s="239"/>
      <c r="AG297" s="239"/>
      <c r="AH297" s="239"/>
      <c r="AI297" s="239"/>
      <c r="AJ297" s="243"/>
      <c r="AL297" s="239"/>
      <c r="AM297" s="239"/>
      <c r="AN297" s="239"/>
      <c r="AR297" s="240"/>
    </row>
    <row r="298" spans="11:44">
      <c r="K298" s="210"/>
      <c r="N298" s="1"/>
      <c r="O298" s="241"/>
      <c r="P298" s="241"/>
      <c r="Q298" s="241"/>
      <c r="R298" s="241"/>
      <c r="W298" s="241"/>
      <c r="X298" s="1"/>
      <c r="Y298" s="1"/>
      <c r="Z298" s="240"/>
      <c r="AA298" s="240"/>
      <c r="AC298" s="240"/>
      <c r="AD298" s="240"/>
      <c r="AE298" s="215"/>
      <c r="AF298" s="239"/>
      <c r="AG298" s="239"/>
      <c r="AH298" s="239"/>
      <c r="AI298" s="239"/>
      <c r="AJ298" s="243"/>
      <c r="AL298" s="239"/>
      <c r="AM298" s="239"/>
      <c r="AN298" s="239"/>
      <c r="AR298" s="240"/>
    </row>
    <row r="299" spans="11:44">
      <c r="K299" s="210"/>
      <c r="N299" s="1"/>
      <c r="O299" s="241"/>
      <c r="P299" s="241"/>
      <c r="Q299" s="241"/>
      <c r="R299" s="241"/>
      <c r="W299" s="241"/>
      <c r="X299" s="1"/>
      <c r="Y299" s="1"/>
      <c r="Z299" s="240"/>
      <c r="AA299" s="240"/>
      <c r="AC299" s="240"/>
      <c r="AD299" s="240"/>
      <c r="AE299" s="215"/>
      <c r="AF299" s="239"/>
      <c r="AG299" s="239"/>
      <c r="AH299" s="239"/>
      <c r="AI299" s="239"/>
      <c r="AJ299" s="243"/>
      <c r="AL299" s="239"/>
      <c r="AM299" s="239"/>
      <c r="AN299" s="239"/>
      <c r="AR299" s="240"/>
    </row>
    <row r="300" spans="11:44">
      <c r="K300" s="210"/>
      <c r="N300" s="1"/>
      <c r="O300" s="241"/>
      <c r="P300" s="241"/>
      <c r="Q300" s="241"/>
      <c r="R300" s="241"/>
      <c r="W300" s="241"/>
      <c r="X300" s="1"/>
      <c r="Y300" s="1"/>
      <c r="Z300" s="240"/>
      <c r="AA300" s="240"/>
      <c r="AC300" s="240"/>
      <c r="AD300" s="240"/>
      <c r="AE300" s="215"/>
      <c r="AF300" s="239"/>
      <c r="AG300" s="239"/>
      <c r="AH300" s="239"/>
      <c r="AI300" s="239"/>
      <c r="AJ300" s="243"/>
      <c r="AL300" s="239"/>
      <c r="AM300" s="239"/>
      <c r="AN300" s="239"/>
      <c r="AR300" s="240"/>
    </row>
    <row r="301" spans="11:44">
      <c r="K301" s="210"/>
      <c r="N301" s="1"/>
      <c r="O301" s="241"/>
      <c r="P301" s="241"/>
      <c r="Q301" s="241"/>
      <c r="R301" s="241"/>
      <c r="W301" s="241"/>
      <c r="X301" s="1"/>
      <c r="Y301" s="1"/>
      <c r="Z301" s="240"/>
      <c r="AA301" s="240"/>
      <c r="AC301" s="240"/>
      <c r="AD301" s="240"/>
      <c r="AE301" s="215"/>
      <c r="AF301" s="239"/>
      <c r="AG301" s="239"/>
      <c r="AH301" s="239"/>
      <c r="AI301" s="239"/>
      <c r="AJ301" s="243"/>
      <c r="AL301" s="239"/>
      <c r="AM301" s="239"/>
      <c r="AN301" s="239"/>
      <c r="AR301" s="240"/>
    </row>
    <row r="302" spans="11:44">
      <c r="K302" s="210"/>
      <c r="N302" s="1"/>
      <c r="O302" s="241"/>
      <c r="P302" s="241"/>
      <c r="Q302" s="241"/>
      <c r="R302" s="241"/>
      <c r="W302" s="241"/>
      <c r="X302" s="1"/>
      <c r="Y302" s="1"/>
      <c r="Z302" s="240"/>
      <c r="AA302" s="240"/>
      <c r="AC302" s="240"/>
      <c r="AD302" s="240"/>
      <c r="AE302" s="215"/>
      <c r="AF302" s="239"/>
      <c r="AG302" s="239"/>
      <c r="AH302" s="239"/>
      <c r="AI302" s="239"/>
      <c r="AJ302" s="243"/>
      <c r="AL302" s="239"/>
      <c r="AM302" s="239"/>
      <c r="AN302" s="239"/>
      <c r="AR302" s="240"/>
    </row>
    <row r="303" spans="11:44">
      <c r="K303" s="210"/>
      <c r="N303" s="1"/>
      <c r="O303" s="241"/>
      <c r="P303" s="241"/>
      <c r="Q303" s="241"/>
      <c r="R303" s="241"/>
      <c r="W303" s="241"/>
      <c r="X303" s="1"/>
      <c r="Y303" s="1"/>
      <c r="Z303" s="240"/>
      <c r="AA303" s="240"/>
      <c r="AC303" s="240"/>
      <c r="AD303" s="240"/>
      <c r="AE303" s="215"/>
      <c r="AF303" s="239"/>
      <c r="AG303" s="239"/>
      <c r="AH303" s="239"/>
      <c r="AI303" s="239"/>
      <c r="AJ303" s="243"/>
      <c r="AL303" s="239"/>
      <c r="AM303" s="239"/>
      <c r="AN303" s="239"/>
      <c r="AR303" s="240"/>
    </row>
    <row r="304" spans="11:44">
      <c r="K304" s="210"/>
      <c r="N304" s="1"/>
      <c r="O304" s="241"/>
      <c r="P304" s="241"/>
      <c r="Q304" s="241"/>
      <c r="R304" s="241"/>
      <c r="W304" s="241"/>
      <c r="X304" s="1"/>
      <c r="Y304" s="1"/>
      <c r="Z304" s="240"/>
      <c r="AA304" s="240"/>
      <c r="AC304" s="240"/>
      <c r="AD304" s="240"/>
      <c r="AE304" s="215"/>
      <c r="AF304" s="239"/>
      <c r="AG304" s="239"/>
      <c r="AH304" s="239"/>
      <c r="AI304" s="239"/>
      <c r="AJ304" s="243"/>
      <c r="AL304" s="239"/>
      <c r="AM304" s="239"/>
      <c r="AN304" s="239"/>
      <c r="AR304" s="240"/>
    </row>
    <row r="305" spans="11:44">
      <c r="K305" s="210"/>
      <c r="N305" s="1"/>
      <c r="O305" s="241"/>
      <c r="P305" s="241"/>
      <c r="Q305" s="241"/>
      <c r="R305" s="241"/>
      <c r="W305" s="241"/>
      <c r="X305" s="1"/>
      <c r="Y305" s="1"/>
      <c r="Z305" s="240"/>
      <c r="AA305" s="240"/>
      <c r="AC305" s="240"/>
      <c r="AD305" s="240"/>
      <c r="AE305" s="215"/>
      <c r="AF305" s="239"/>
      <c r="AG305" s="239"/>
      <c r="AH305" s="239"/>
      <c r="AI305" s="239"/>
      <c r="AJ305" s="243"/>
      <c r="AL305" s="239"/>
      <c r="AM305" s="239"/>
      <c r="AN305" s="239"/>
      <c r="AR305" s="240"/>
    </row>
    <row r="306" spans="11:44">
      <c r="K306" s="210"/>
      <c r="N306" s="1"/>
      <c r="O306" s="241"/>
      <c r="P306" s="241"/>
      <c r="Q306" s="241"/>
      <c r="R306" s="241"/>
      <c r="W306" s="241"/>
      <c r="X306" s="1"/>
      <c r="Y306" s="1"/>
      <c r="Z306" s="240"/>
      <c r="AA306" s="240"/>
      <c r="AC306" s="240"/>
      <c r="AD306" s="240"/>
      <c r="AE306" s="215"/>
      <c r="AF306" s="239"/>
      <c r="AG306" s="239"/>
      <c r="AH306" s="239"/>
      <c r="AI306" s="239"/>
      <c r="AJ306" s="243"/>
      <c r="AL306" s="239"/>
      <c r="AM306" s="239"/>
      <c r="AN306" s="239"/>
      <c r="AR306" s="240"/>
    </row>
    <row r="307" spans="11:44">
      <c r="K307" s="210"/>
      <c r="N307" s="1"/>
      <c r="O307" s="241"/>
      <c r="P307" s="241"/>
      <c r="Q307" s="241"/>
      <c r="R307" s="241"/>
      <c r="W307" s="241"/>
      <c r="X307" s="1"/>
      <c r="Y307" s="1"/>
      <c r="Z307" s="240"/>
      <c r="AA307" s="240"/>
      <c r="AC307" s="240"/>
      <c r="AD307" s="240"/>
      <c r="AE307" s="215"/>
      <c r="AF307" s="239"/>
      <c r="AG307" s="239"/>
      <c r="AH307" s="239"/>
      <c r="AI307" s="239"/>
      <c r="AJ307" s="243"/>
      <c r="AL307" s="239"/>
      <c r="AM307" s="239"/>
      <c r="AN307" s="239"/>
      <c r="AR307" s="240"/>
    </row>
    <row r="308" spans="11:44">
      <c r="K308" s="210"/>
      <c r="N308" s="1"/>
      <c r="O308" s="241"/>
      <c r="P308" s="241"/>
      <c r="Q308" s="241"/>
      <c r="R308" s="241"/>
      <c r="W308" s="241"/>
      <c r="X308" s="1"/>
      <c r="Y308" s="1"/>
      <c r="Z308" s="240"/>
      <c r="AA308" s="240"/>
      <c r="AC308" s="240"/>
      <c r="AD308" s="240"/>
      <c r="AE308" s="215"/>
      <c r="AF308" s="239"/>
      <c r="AG308" s="239"/>
      <c r="AH308" s="239"/>
      <c r="AI308" s="239"/>
      <c r="AJ308" s="243"/>
      <c r="AL308" s="239"/>
      <c r="AM308" s="239"/>
      <c r="AN308" s="239"/>
      <c r="AR308" s="240"/>
    </row>
    <row r="309" spans="11:44">
      <c r="K309" s="210"/>
      <c r="N309" s="1"/>
      <c r="O309" s="241"/>
      <c r="P309" s="241"/>
      <c r="Q309" s="241"/>
      <c r="R309" s="241"/>
      <c r="W309" s="241"/>
      <c r="X309" s="1"/>
      <c r="Y309" s="1"/>
      <c r="Z309" s="240"/>
      <c r="AA309" s="240"/>
      <c r="AC309" s="240"/>
      <c r="AD309" s="240"/>
      <c r="AE309" s="215"/>
      <c r="AF309" s="239"/>
      <c r="AG309" s="239"/>
      <c r="AH309" s="239"/>
      <c r="AI309" s="239"/>
      <c r="AJ309" s="243"/>
      <c r="AL309" s="239"/>
      <c r="AM309" s="239"/>
      <c r="AN309" s="239"/>
      <c r="AR309" s="240"/>
    </row>
    <row r="310" spans="11:44">
      <c r="K310" s="210"/>
      <c r="N310" s="1"/>
      <c r="O310" s="241"/>
      <c r="P310" s="241"/>
      <c r="Q310" s="241"/>
      <c r="R310" s="241"/>
      <c r="W310" s="241"/>
      <c r="X310" s="1"/>
      <c r="Y310" s="1"/>
      <c r="Z310" s="240"/>
      <c r="AA310" s="240"/>
      <c r="AC310" s="240"/>
      <c r="AD310" s="240"/>
      <c r="AE310" s="215"/>
      <c r="AF310" s="239"/>
      <c r="AG310" s="239"/>
      <c r="AH310" s="239"/>
      <c r="AI310" s="239"/>
      <c r="AJ310" s="243"/>
      <c r="AL310" s="239"/>
      <c r="AM310" s="239"/>
      <c r="AN310" s="239"/>
      <c r="AR310" s="240"/>
    </row>
    <row r="311" spans="11:44">
      <c r="K311" s="210"/>
      <c r="N311" s="1"/>
      <c r="O311" s="241"/>
      <c r="P311" s="241"/>
      <c r="Q311" s="241"/>
      <c r="R311" s="241"/>
      <c r="W311" s="241"/>
      <c r="X311" s="1"/>
      <c r="Y311" s="1"/>
      <c r="Z311" s="240"/>
      <c r="AA311" s="240"/>
      <c r="AC311" s="240"/>
      <c r="AD311" s="240"/>
      <c r="AE311" s="215"/>
      <c r="AF311" s="239"/>
      <c r="AG311" s="239"/>
      <c r="AH311" s="239"/>
      <c r="AI311" s="239"/>
      <c r="AJ311" s="243"/>
      <c r="AL311" s="239"/>
      <c r="AM311" s="239"/>
      <c r="AN311" s="239"/>
      <c r="AR311" s="240"/>
    </row>
    <row r="312" spans="11:44">
      <c r="K312" s="210"/>
      <c r="N312" s="1"/>
      <c r="O312" s="241"/>
      <c r="P312" s="241"/>
      <c r="Q312" s="241"/>
      <c r="R312" s="241"/>
      <c r="W312" s="241"/>
      <c r="X312" s="1"/>
      <c r="Y312" s="1"/>
      <c r="Z312" s="240"/>
      <c r="AA312" s="240"/>
      <c r="AC312" s="240"/>
      <c r="AD312" s="240"/>
      <c r="AE312" s="215"/>
      <c r="AF312" s="239"/>
      <c r="AG312" s="239"/>
      <c r="AH312" s="239"/>
      <c r="AI312" s="239"/>
      <c r="AJ312" s="243"/>
      <c r="AL312" s="239"/>
      <c r="AM312" s="239"/>
      <c r="AN312" s="239"/>
      <c r="AR312" s="240"/>
    </row>
    <row r="313" spans="11:44">
      <c r="K313" s="210"/>
      <c r="N313" s="1"/>
      <c r="O313" s="241"/>
      <c r="P313" s="241"/>
      <c r="Q313" s="241"/>
      <c r="R313" s="241"/>
      <c r="W313" s="241"/>
      <c r="X313" s="1"/>
      <c r="Y313" s="1"/>
      <c r="Z313" s="240"/>
      <c r="AA313" s="240"/>
      <c r="AC313" s="240"/>
      <c r="AD313" s="240"/>
      <c r="AE313" s="215"/>
      <c r="AF313" s="239"/>
      <c r="AG313" s="239"/>
      <c r="AH313" s="239"/>
      <c r="AI313" s="239"/>
      <c r="AJ313" s="243"/>
      <c r="AL313" s="239"/>
      <c r="AM313" s="239"/>
      <c r="AN313" s="239"/>
      <c r="AR313" s="240"/>
    </row>
    <row r="314" spans="11:44">
      <c r="K314" s="210"/>
      <c r="N314" s="1"/>
      <c r="O314" s="241"/>
      <c r="P314" s="241"/>
      <c r="Q314" s="241"/>
      <c r="R314" s="241"/>
      <c r="W314" s="241"/>
      <c r="X314" s="1"/>
      <c r="Y314" s="1"/>
      <c r="Z314" s="240"/>
      <c r="AA314" s="240"/>
      <c r="AC314" s="240"/>
      <c r="AD314" s="240"/>
      <c r="AE314" s="215"/>
      <c r="AF314" s="239"/>
      <c r="AG314" s="239"/>
      <c r="AH314" s="239"/>
      <c r="AI314" s="239"/>
      <c r="AJ314" s="243"/>
      <c r="AL314" s="239"/>
      <c r="AM314" s="239"/>
      <c r="AN314" s="239"/>
      <c r="AR314" s="240"/>
    </row>
    <row r="315" spans="11:44">
      <c r="K315" s="210"/>
      <c r="N315" s="1"/>
      <c r="O315" s="241"/>
      <c r="P315" s="241"/>
      <c r="Q315" s="241"/>
      <c r="R315" s="241"/>
      <c r="W315" s="241"/>
      <c r="X315" s="1"/>
      <c r="Y315" s="1"/>
      <c r="Z315" s="240"/>
      <c r="AA315" s="240"/>
      <c r="AC315" s="240"/>
      <c r="AD315" s="240"/>
      <c r="AE315" s="215"/>
      <c r="AF315" s="239"/>
      <c r="AG315" s="239"/>
      <c r="AH315" s="239"/>
      <c r="AI315" s="239"/>
      <c r="AJ315" s="243"/>
      <c r="AL315" s="239"/>
      <c r="AM315" s="239"/>
      <c r="AN315" s="239"/>
      <c r="AR315" s="240"/>
    </row>
    <row r="316" spans="11:44">
      <c r="K316" s="210"/>
      <c r="N316" s="1"/>
      <c r="O316" s="241"/>
      <c r="P316" s="241"/>
      <c r="Q316" s="241"/>
      <c r="R316" s="241"/>
      <c r="W316" s="241"/>
      <c r="X316" s="1"/>
      <c r="Y316" s="1"/>
      <c r="Z316" s="240"/>
      <c r="AA316" s="240"/>
      <c r="AC316" s="240"/>
      <c r="AD316" s="240"/>
      <c r="AE316" s="215"/>
      <c r="AF316" s="239"/>
      <c r="AG316" s="239"/>
      <c r="AH316" s="239"/>
      <c r="AI316" s="239"/>
      <c r="AJ316" s="243"/>
      <c r="AL316" s="239"/>
      <c r="AM316" s="239"/>
      <c r="AN316" s="239"/>
      <c r="AR316" s="240"/>
    </row>
    <row r="317" spans="11:44">
      <c r="K317" s="210"/>
      <c r="N317" s="1"/>
      <c r="O317" s="241"/>
      <c r="P317" s="241"/>
      <c r="Q317" s="241"/>
      <c r="R317" s="241"/>
      <c r="W317" s="241"/>
      <c r="X317" s="1"/>
      <c r="Y317" s="1"/>
      <c r="Z317" s="240"/>
      <c r="AA317" s="240"/>
      <c r="AC317" s="240"/>
      <c r="AD317" s="240"/>
      <c r="AE317" s="215"/>
      <c r="AF317" s="239"/>
      <c r="AG317" s="239"/>
      <c r="AH317" s="239"/>
      <c r="AI317" s="239"/>
      <c r="AJ317" s="243"/>
      <c r="AL317" s="239"/>
      <c r="AM317" s="239"/>
      <c r="AN317" s="239"/>
      <c r="AR317" s="240"/>
    </row>
    <row r="318" spans="11:44">
      <c r="K318" s="210"/>
      <c r="N318" s="1"/>
      <c r="O318" s="241"/>
      <c r="P318" s="241"/>
      <c r="Q318" s="241"/>
      <c r="R318" s="241"/>
      <c r="W318" s="241"/>
      <c r="X318" s="1"/>
      <c r="Y318" s="1"/>
      <c r="Z318" s="240"/>
      <c r="AA318" s="240"/>
      <c r="AC318" s="240"/>
      <c r="AD318" s="240"/>
      <c r="AE318" s="215"/>
      <c r="AF318" s="239"/>
      <c r="AG318" s="239"/>
      <c r="AH318" s="239"/>
      <c r="AI318" s="239"/>
      <c r="AJ318" s="243"/>
      <c r="AL318" s="239"/>
      <c r="AM318" s="239"/>
      <c r="AN318" s="239"/>
      <c r="AR318" s="240"/>
    </row>
    <row r="319" spans="11:44">
      <c r="K319" s="210"/>
      <c r="N319" s="1"/>
      <c r="O319" s="241"/>
      <c r="P319" s="241"/>
      <c r="Q319" s="241"/>
      <c r="R319" s="241"/>
      <c r="W319" s="241"/>
      <c r="X319" s="1"/>
      <c r="Y319" s="1"/>
      <c r="Z319" s="240"/>
      <c r="AA319" s="240"/>
      <c r="AC319" s="240"/>
      <c r="AD319" s="240"/>
      <c r="AE319" s="215"/>
      <c r="AF319" s="239"/>
      <c r="AG319" s="239"/>
      <c r="AH319" s="239"/>
      <c r="AI319" s="239"/>
      <c r="AJ319" s="243"/>
      <c r="AL319" s="239"/>
      <c r="AM319" s="239"/>
      <c r="AN319" s="239"/>
      <c r="AR319" s="240"/>
    </row>
    <row r="320" spans="11:44">
      <c r="K320" s="210"/>
      <c r="N320" s="1"/>
      <c r="O320" s="241"/>
      <c r="P320" s="241"/>
      <c r="Q320" s="241"/>
      <c r="R320" s="241"/>
      <c r="W320" s="241"/>
      <c r="X320" s="1"/>
      <c r="Y320" s="1"/>
      <c r="Z320" s="240"/>
      <c r="AA320" s="240"/>
      <c r="AC320" s="240"/>
      <c r="AD320" s="240"/>
      <c r="AE320" s="215"/>
      <c r="AF320" s="239"/>
      <c r="AG320" s="239"/>
      <c r="AH320" s="239"/>
      <c r="AI320" s="239"/>
      <c r="AJ320" s="243"/>
      <c r="AL320" s="239"/>
      <c r="AM320" s="239"/>
      <c r="AN320" s="239"/>
      <c r="AR320" s="240"/>
    </row>
    <row r="321" spans="11:44">
      <c r="K321" s="210"/>
      <c r="N321" s="1"/>
      <c r="O321" s="241"/>
      <c r="P321" s="241"/>
      <c r="Q321" s="241"/>
      <c r="R321" s="241"/>
      <c r="W321" s="241"/>
      <c r="X321" s="1"/>
      <c r="Y321" s="1"/>
      <c r="Z321" s="240"/>
      <c r="AA321" s="240"/>
      <c r="AC321" s="240"/>
      <c r="AD321" s="240"/>
      <c r="AE321" s="215"/>
      <c r="AF321" s="239"/>
      <c r="AG321" s="239"/>
      <c r="AH321" s="239"/>
      <c r="AI321" s="239"/>
      <c r="AJ321" s="243"/>
      <c r="AL321" s="239"/>
      <c r="AM321" s="239"/>
      <c r="AN321" s="239"/>
      <c r="AR321" s="240"/>
    </row>
    <row r="322" spans="11:44">
      <c r="K322" s="210"/>
      <c r="N322" s="1"/>
      <c r="O322" s="241"/>
      <c r="P322" s="241"/>
      <c r="Q322" s="241"/>
      <c r="R322" s="241"/>
      <c r="W322" s="241"/>
      <c r="X322" s="1"/>
      <c r="Y322" s="1"/>
      <c r="Z322" s="240"/>
      <c r="AA322" s="240"/>
      <c r="AC322" s="240"/>
      <c r="AD322" s="240"/>
      <c r="AE322" s="215"/>
      <c r="AF322" s="239"/>
      <c r="AG322" s="239"/>
      <c r="AH322" s="239"/>
      <c r="AI322" s="239"/>
      <c r="AJ322" s="243"/>
      <c r="AL322" s="239"/>
      <c r="AM322" s="239"/>
      <c r="AN322" s="239"/>
      <c r="AR322" s="240"/>
    </row>
    <row r="323" spans="11:44">
      <c r="K323" s="210"/>
      <c r="N323" s="1"/>
      <c r="O323" s="241"/>
      <c r="P323" s="241"/>
      <c r="Q323" s="241"/>
      <c r="R323" s="241"/>
      <c r="W323" s="241"/>
      <c r="X323" s="1"/>
      <c r="Y323" s="1"/>
      <c r="Z323" s="240"/>
      <c r="AA323" s="240"/>
      <c r="AC323" s="240"/>
      <c r="AD323" s="240"/>
      <c r="AE323" s="215"/>
      <c r="AF323" s="239"/>
      <c r="AG323" s="239"/>
      <c r="AH323" s="239"/>
      <c r="AI323" s="239"/>
      <c r="AJ323" s="243"/>
      <c r="AL323" s="239"/>
      <c r="AM323" s="239"/>
      <c r="AN323" s="239"/>
      <c r="AR323" s="240"/>
    </row>
    <row r="324" spans="11:44">
      <c r="K324" s="210"/>
      <c r="N324" s="1"/>
      <c r="O324" s="241"/>
      <c r="P324" s="241"/>
      <c r="Q324" s="241"/>
      <c r="R324" s="241"/>
      <c r="W324" s="241"/>
      <c r="X324" s="1"/>
      <c r="Y324" s="1"/>
      <c r="Z324" s="240"/>
      <c r="AA324" s="240"/>
      <c r="AC324" s="240"/>
      <c r="AD324" s="240"/>
      <c r="AE324" s="215"/>
      <c r="AF324" s="239"/>
      <c r="AG324" s="239"/>
      <c r="AH324" s="239"/>
      <c r="AI324" s="239"/>
      <c r="AJ324" s="243"/>
      <c r="AL324" s="239"/>
      <c r="AM324" s="239"/>
      <c r="AN324" s="239"/>
      <c r="AR324" s="240"/>
    </row>
    <row r="325" spans="11:44">
      <c r="K325" s="210"/>
      <c r="N325" s="1"/>
      <c r="O325" s="241"/>
      <c r="P325" s="241"/>
      <c r="Q325" s="241"/>
      <c r="R325" s="241"/>
      <c r="W325" s="241"/>
      <c r="X325" s="1"/>
      <c r="Y325" s="1"/>
      <c r="Z325" s="240"/>
      <c r="AA325" s="240"/>
      <c r="AC325" s="240"/>
      <c r="AD325" s="240"/>
      <c r="AE325" s="215"/>
      <c r="AF325" s="239"/>
      <c r="AG325" s="239"/>
      <c r="AH325" s="239"/>
      <c r="AI325" s="239"/>
      <c r="AJ325" s="243"/>
      <c r="AL325" s="239"/>
      <c r="AM325" s="239"/>
      <c r="AN325" s="239"/>
      <c r="AR325" s="240"/>
    </row>
    <row r="326" spans="11:44">
      <c r="K326" s="210"/>
      <c r="N326" s="1"/>
      <c r="O326" s="241"/>
      <c r="P326" s="241"/>
      <c r="Q326" s="241"/>
      <c r="R326" s="241"/>
      <c r="W326" s="241"/>
      <c r="X326" s="1"/>
      <c r="Y326" s="1"/>
      <c r="Z326" s="240"/>
      <c r="AA326" s="240"/>
      <c r="AC326" s="240"/>
      <c r="AD326" s="240"/>
      <c r="AE326" s="215"/>
      <c r="AF326" s="239"/>
      <c r="AG326" s="239"/>
      <c r="AH326" s="239"/>
      <c r="AI326" s="239"/>
      <c r="AJ326" s="243"/>
      <c r="AL326" s="239"/>
      <c r="AM326" s="239"/>
      <c r="AN326" s="239"/>
      <c r="AR326" s="240"/>
    </row>
    <row r="327" spans="11:44">
      <c r="K327" s="210"/>
      <c r="N327" s="1"/>
      <c r="O327" s="241"/>
      <c r="P327" s="241"/>
      <c r="Q327" s="241"/>
      <c r="R327" s="241"/>
      <c r="W327" s="241"/>
      <c r="X327" s="1"/>
      <c r="Y327" s="1"/>
      <c r="Z327" s="240"/>
      <c r="AA327" s="240"/>
      <c r="AC327" s="240"/>
      <c r="AD327" s="240"/>
      <c r="AE327" s="215"/>
      <c r="AF327" s="239"/>
      <c r="AG327" s="239"/>
      <c r="AH327" s="239"/>
      <c r="AI327" s="239"/>
      <c r="AJ327" s="243"/>
      <c r="AL327" s="239"/>
      <c r="AM327" s="239"/>
      <c r="AN327" s="239"/>
      <c r="AR327" s="240"/>
    </row>
    <row r="328" spans="11:44">
      <c r="K328" s="210"/>
      <c r="N328" s="1"/>
      <c r="O328" s="241"/>
      <c r="P328" s="241"/>
      <c r="Q328" s="241"/>
      <c r="R328" s="241"/>
      <c r="W328" s="241"/>
      <c r="X328" s="1"/>
      <c r="Y328" s="1"/>
      <c r="Z328" s="240"/>
      <c r="AA328" s="240"/>
      <c r="AC328" s="240"/>
      <c r="AD328" s="240"/>
      <c r="AE328" s="215"/>
      <c r="AF328" s="239"/>
      <c r="AG328" s="239"/>
      <c r="AH328" s="239"/>
      <c r="AI328" s="239"/>
      <c r="AJ328" s="243"/>
      <c r="AL328" s="239"/>
      <c r="AM328" s="239"/>
      <c r="AN328" s="239"/>
      <c r="AR328" s="240"/>
    </row>
    <row r="329" spans="11:44">
      <c r="K329" s="210"/>
      <c r="N329" s="1"/>
      <c r="O329" s="241"/>
      <c r="P329" s="241"/>
      <c r="Q329" s="241"/>
      <c r="R329" s="241"/>
      <c r="W329" s="241"/>
      <c r="X329" s="1"/>
      <c r="Y329" s="1"/>
      <c r="Z329" s="240"/>
      <c r="AA329" s="240"/>
      <c r="AC329" s="240"/>
      <c r="AD329" s="240"/>
      <c r="AE329" s="215"/>
      <c r="AF329" s="239"/>
      <c r="AG329" s="239"/>
      <c r="AH329" s="239"/>
      <c r="AI329" s="239"/>
      <c r="AJ329" s="243"/>
      <c r="AL329" s="239"/>
      <c r="AM329" s="239"/>
      <c r="AN329" s="239"/>
      <c r="AR329" s="240"/>
    </row>
    <row r="330" spans="11:44">
      <c r="K330" s="210"/>
      <c r="N330" s="1"/>
      <c r="O330" s="241"/>
      <c r="P330" s="241"/>
      <c r="Q330" s="241"/>
      <c r="R330" s="241"/>
      <c r="W330" s="241"/>
      <c r="X330" s="1"/>
      <c r="Y330" s="1"/>
      <c r="Z330" s="240"/>
      <c r="AA330" s="240"/>
      <c r="AC330" s="240"/>
      <c r="AD330" s="240"/>
      <c r="AE330" s="215"/>
      <c r="AF330" s="239"/>
      <c r="AG330" s="239"/>
      <c r="AH330" s="239"/>
      <c r="AI330" s="239"/>
      <c r="AJ330" s="243"/>
      <c r="AL330" s="239"/>
      <c r="AM330" s="239"/>
      <c r="AN330" s="239"/>
      <c r="AR330" s="240"/>
    </row>
    <row r="331" spans="11:44">
      <c r="K331" s="210"/>
      <c r="N331" s="1"/>
      <c r="O331" s="241"/>
      <c r="P331" s="241"/>
      <c r="Q331" s="241"/>
      <c r="R331" s="241"/>
      <c r="W331" s="241"/>
      <c r="X331" s="1"/>
      <c r="Y331" s="1"/>
      <c r="Z331" s="240"/>
      <c r="AA331" s="240"/>
      <c r="AC331" s="240"/>
      <c r="AD331" s="240"/>
      <c r="AE331" s="215"/>
      <c r="AF331" s="239"/>
      <c r="AG331" s="239"/>
      <c r="AH331" s="239"/>
      <c r="AI331" s="239"/>
      <c r="AJ331" s="243"/>
      <c r="AL331" s="239"/>
      <c r="AM331" s="239"/>
      <c r="AN331" s="239"/>
      <c r="AR331" s="240"/>
    </row>
    <row r="332" spans="11:44">
      <c r="K332" s="210"/>
      <c r="N332" s="1"/>
      <c r="O332" s="241"/>
      <c r="P332" s="241"/>
      <c r="Q332" s="241"/>
      <c r="R332" s="241"/>
      <c r="W332" s="241"/>
      <c r="X332" s="1"/>
      <c r="Y332" s="1"/>
      <c r="Z332" s="240"/>
      <c r="AA332" s="240"/>
      <c r="AC332" s="240"/>
      <c r="AD332" s="240"/>
      <c r="AE332" s="215"/>
      <c r="AF332" s="239"/>
      <c r="AG332" s="239"/>
      <c r="AH332" s="239"/>
      <c r="AI332" s="239"/>
      <c r="AJ332" s="243"/>
      <c r="AL332" s="239"/>
      <c r="AM332" s="239"/>
      <c r="AN332" s="239"/>
      <c r="AR332" s="240"/>
    </row>
    <row r="333" spans="11:44">
      <c r="K333" s="210"/>
      <c r="N333" s="1"/>
      <c r="O333" s="241"/>
      <c r="P333" s="241"/>
      <c r="Q333" s="241"/>
      <c r="R333" s="241"/>
      <c r="W333" s="241"/>
      <c r="X333" s="1"/>
      <c r="Y333" s="1"/>
      <c r="Z333" s="240"/>
      <c r="AA333" s="240"/>
      <c r="AC333" s="240"/>
      <c r="AD333" s="240"/>
      <c r="AE333" s="215"/>
      <c r="AF333" s="239"/>
      <c r="AG333" s="239"/>
      <c r="AH333" s="239"/>
      <c r="AI333" s="239"/>
      <c r="AJ333" s="243"/>
      <c r="AL333" s="239"/>
      <c r="AM333" s="239"/>
      <c r="AN333" s="239"/>
      <c r="AR333" s="240"/>
    </row>
    <row r="334" spans="11:44">
      <c r="K334" s="210"/>
      <c r="N334" s="1"/>
      <c r="O334" s="241"/>
      <c r="P334" s="241"/>
      <c r="Q334" s="241"/>
      <c r="R334" s="241"/>
      <c r="W334" s="241"/>
      <c r="X334" s="1"/>
      <c r="Y334" s="1"/>
      <c r="Z334" s="240"/>
      <c r="AA334" s="240"/>
      <c r="AC334" s="240"/>
      <c r="AD334" s="240"/>
      <c r="AE334" s="215"/>
      <c r="AF334" s="239"/>
      <c r="AG334" s="239"/>
      <c r="AH334" s="239"/>
      <c r="AI334" s="239"/>
      <c r="AJ334" s="243"/>
      <c r="AL334" s="239"/>
      <c r="AM334" s="239"/>
      <c r="AN334" s="239"/>
      <c r="AR334" s="240"/>
    </row>
    <row r="335" spans="11:44">
      <c r="K335" s="210"/>
      <c r="N335" s="1"/>
      <c r="O335" s="241"/>
      <c r="P335" s="241"/>
      <c r="Q335" s="241"/>
      <c r="R335" s="241"/>
      <c r="W335" s="241"/>
      <c r="X335" s="1"/>
      <c r="Y335" s="1"/>
      <c r="Z335" s="240"/>
      <c r="AA335" s="240"/>
      <c r="AC335" s="240"/>
      <c r="AD335" s="240"/>
      <c r="AE335" s="215"/>
      <c r="AF335" s="239"/>
      <c r="AG335" s="239"/>
      <c r="AH335" s="239"/>
      <c r="AI335" s="239"/>
      <c r="AJ335" s="243"/>
      <c r="AL335" s="239"/>
      <c r="AM335" s="239"/>
      <c r="AN335" s="239"/>
      <c r="AR335" s="240"/>
    </row>
    <row r="336" spans="11:44">
      <c r="K336" s="210"/>
      <c r="N336" s="1"/>
      <c r="O336" s="241"/>
      <c r="P336" s="241"/>
      <c r="Q336" s="241"/>
      <c r="R336" s="241"/>
      <c r="W336" s="241"/>
      <c r="X336" s="1"/>
      <c r="Y336" s="1"/>
      <c r="Z336" s="240"/>
      <c r="AA336" s="240"/>
      <c r="AC336" s="240"/>
      <c r="AD336" s="240"/>
      <c r="AE336" s="215"/>
      <c r="AF336" s="239"/>
      <c r="AG336" s="239"/>
      <c r="AH336" s="239"/>
      <c r="AI336" s="239"/>
      <c r="AJ336" s="243"/>
      <c r="AL336" s="239"/>
      <c r="AM336" s="239"/>
      <c r="AN336" s="239"/>
      <c r="AR336" s="240"/>
    </row>
    <row r="337" spans="11:44">
      <c r="K337" s="210"/>
      <c r="N337" s="1"/>
      <c r="O337" s="241"/>
      <c r="P337" s="241"/>
      <c r="Q337" s="241"/>
      <c r="R337" s="241"/>
      <c r="W337" s="241"/>
      <c r="X337" s="1"/>
      <c r="Y337" s="1"/>
      <c r="Z337" s="240"/>
      <c r="AA337" s="240"/>
      <c r="AC337" s="240"/>
      <c r="AD337" s="240"/>
      <c r="AE337" s="215"/>
      <c r="AF337" s="239"/>
      <c r="AG337" s="239"/>
      <c r="AH337" s="239"/>
      <c r="AI337" s="239"/>
      <c r="AJ337" s="243"/>
      <c r="AL337" s="239"/>
      <c r="AM337" s="239"/>
      <c r="AN337" s="239"/>
      <c r="AR337" s="240"/>
    </row>
    <row r="338" spans="11:44">
      <c r="K338" s="210"/>
      <c r="N338" s="1"/>
      <c r="O338" s="241"/>
      <c r="P338" s="241"/>
      <c r="Q338" s="241"/>
      <c r="R338" s="241"/>
      <c r="W338" s="241"/>
      <c r="X338" s="1"/>
      <c r="Y338" s="1"/>
      <c r="Z338" s="240"/>
      <c r="AA338" s="240"/>
      <c r="AC338" s="240"/>
      <c r="AD338" s="240"/>
      <c r="AE338" s="215"/>
      <c r="AF338" s="239"/>
      <c r="AG338" s="239"/>
      <c r="AH338" s="239"/>
      <c r="AI338" s="239"/>
      <c r="AJ338" s="243"/>
      <c r="AL338" s="239"/>
      <c r="AM338" s="239"/>
      <c r="AN338" s="239"/>
      <c r="AR338" s="240"/>
    </row>
    <row r="339" spans="11:44">
      <c r="K339" s="210"/>
      <c r="N339" s="1"/>
      <c r="O339" s="241"/>
      <c r="P339" s="241"/>
      <c r="Q339" s="241"/>
      <c r="R339" s="241"/>
      <c r="W339" s="241"/>
      <c r="X339" s="1"/>
      <c r="Y339" s="1"/>
      <c r="Z339" s="240"/>
      <c r="AA339" s="240"/>
      <c r="AC339" s="240"/>
      <c r="AD339" s="240"/>
      <c r="AE339" s="215"/>
      <c r="AF339" s="239"/>
      <c r="AG339" s="239"/>
      <c r="AH339" s="239"/>
      <c r="AI339" s="239"/>
      <c r="AJ339" s="243"/>
      <c r="AL339" s="239"/>
      <c r="AM339" s="239"/>
      <c r="AN339" s="239"/>
      <c r="AR339" s="240"/>
    </row>
    <row r="340" spans="11:44">
      <c r="K340" s="210"/>
      <c r="N340" s="1"/>
      <c r="O340" s="241"/>
      <c r="P340" s="241"/>
      <c r="Q340" s="241"/>
      <c r="R340" s="241"/>
      <c r="W340" s="241"/>
      <c r="X340" s="1"/>
      <c r="Y340" s="1"/>
      <c r="Z340" s="240"/>
      <c r="AA340" s="240"/>
      <c r="AC340" s="240"/>
      <c r="AD340" s="240"/>
      <c r="AE340" s="215"/>
      <c r="AF340" s="239"/>
      <c r="AG340" s="239"/>
      <c r="AH340" s="239"/>
      <c r="AI340" s="239"/>
      <c r="AJ340" s="243"/>
      <c r="AL340" s="239"/>
      <c r="AM340" s="239"/>
      <c r="AN340" s="239"/>
      <c r="AR340" s="240"/>
    </row>
    <row r="341" spans="11:44">
      <c r="K341" s="210"/>
      <c r="N341" s="1"/>
      <c r="O341" s="241"/>
      <c r="P341" s="241"/>
      <c r="Q341" s="241"/>
      <c r="R341" s="241"/>
      <c r="W341" s="241"/>
      <c r="X341" s="1"/>
      <c r="Y341" s="1"/>
      <c r="Z341" s="240"/>
      <c r="AA341" s="240"/>
      <c r="AC341" s="240"/>
      <c r="AD341" s="240"/>
      <c r="AE341" s="215"/>
      <c r="AF341" s="239"/>
      <c r="AG341" s="239"/>
      <c r="AH341" s="239"/>
      <c r="AI341" s="239"/>
      <c r="AJ341" s="243"/>
      <c r="AL341" s="239"/>
      <c r="AM341" s="239"/>
      <c r="AN341" s="239"/>
      <c r="AR341" s="240"/>
    </row>
    <row r="342" spans="11:44">
      <c r="K342" s="210"/>
      <c r="N342" s="1"/>
      <c r="O342" s="241"/>
      <c r="P342" s="241"/>
      <c r="Q342" s="241"/>
      <c r="R342" s="241"/>
      <c r="W342" s="241"/>
      <c r="X342" s="1"/>
      <c r="Y342" s="1"/>
      <c r="Z342" s="240"/>
      <c r="AA342" s="240"/>
      <c r="AC342" s="240"/>
      <c r="AD342" s="240"/>
      <c r="AE342" s="215"/>
      <c r="AF342" s="239"/>
      <c r="AG342" s="239"/>
      <c r="AH342" s="239"/>
      <c r="AI342" s="239"/>
      <c r="AJ342" s="243"/>
      <c r="AL342" s="239"/>
      <c r="AM342" s="239"/>
      <c r="AN342" s="239"/>
      <c r="AR342" s="240"/>
    </row>
    <row r="343" spans="11:44">
      <c r="K343" s="210"/>
      <c r="N343" s="1"/>
      <c r="O343" s="241"/>
      <c r="P343" s="241"/>
      <c r="Q343" s="241"/>
      <c r="R343" s="241"/>
      <c r="W343" s="241"/>
      <c r="X343" s="1"/>
      <c r="Y343" s="1"/>
      <c r="Z343" s="240"/>
      <c r="AA343" s="240"/>
      <c r="AC343" s="240"/>
      <c r="AD343" s="240"/>
      <c r="AE343" s="215"/>
      <c r="AF343" s="239"/>
      <c r="AG343" s="239"/>
      <c r="AH343" s="239"/>
      <c r="AI343" s="239"/>
      <c r="AJ343" s="243"/>
      <c r="AL343" s="239"/>
      <c r="AM343" s="239"/>
      <c r="AN343" s="239"/>
      <c r="AR343" s="240"/>
    </row>
    <row r="344" spans="11:44">
      <c r="K344" s="210"/>
      <c r="N344" s="1"/>
      <c r="O344" s="241"/>
      <c r="P344" s="241"/>
      <c r="Q344" s="241"/>
      <c r="R344" s="241"/>
      <c r="W344" s="241"/>
      <c r="X344" s="1"/>
      <c r="Y344" s="1"/>
      <c r="Z344" s="240"/>
      <c r="AA344" s="240"/>
      <c r="AC344" s="240"/>
      <c r="AD344" s="240"/>
      <c r="AE344" s="215"/>
      <c r="AF344" s="239"/>
      <c r="AG344" s="239"/>
      <c r="AH344" s="239"/>
      <c r="AI344" s="239"/>
      <c r="AJ344" s="243"/>
      <c r="AL344" s="239"/>
      <c r="AM344" s="239"/>
      <c r="AN344" s="239"/>
      <c r="AR344" s="240"/>
    </row>
    <row r="345" spans="11:44">
      <c r="K345" s="210"/>
      <c r="N345" s="1"/>
      <c r="O345" s="241"/>
      <c r="P345" s="241"/>
      <c r="Q345" s="241"/>
      <c r="R345" s="241"/>
      <c r="W345" s="241"/>
      <c r="X345" s="1"/>
      <c r="Y345" s="1"/>
      <c r="Z345" s="240"/>
      <c r="AA345" s="240"/>
      <c r="AC345" s="240"/>
      <c r="AD345" s="240"/>
      <c r="AE345" s="215"/>
      <c r="AF345" s="239"/>
      <c r="AG345" s="239"/>
      <c r="AH345" s="239"/>
      <c r="AI345" s="239"/>
      <c r="AJ345" s="243"/>
      <c r="AL345" s="239"/>
      <c r="AM345" s="239"/>
      <c r="AN345" s="239"/>
      <c r="AR345" s="240"/>
    </row>
    <row r="346" spans="11:44">
      <c r="K346" s="210"/>
      <c r="N346" s="1"/>
      <c r="O346" s="241"/>
      <c r="P346" s="241"/>
      <c r="Q346" s="241"/>
      <c r="R346" s="241"/>
      <c r="W346" s="241"/>
      <c r="X346" s="1"/>
      <c r="Y346" s="1"/>
      <c r="Z346" s="240"/>
      <c r="AA346" s="240"/>
      <c r="AC346" s="240"/>
      <c r="AD346" s="240"/>
      <c r="AE346" s="215"/>
      <c r="AF346" s="239"/>
      <c r="AG346" s="239"/>
      <c r="AH346" s="239"/>
      <c r="AI346" s="239"/>
      <c r="AJ346" s="243"/>
      <c r="AL346" s="239"/>
      <c r="AM346" s="239"/>
      <c r="AN346" s="239"/>
      <c r="AR346" s="240"/>
    </row>
    <row r="347" spans="11:44">
      <c r="K347" s="210"/>
      <c r="N347" s="1"/>
      <c r="O347" s="241"/>
      <c r="P347" s="241"/>
      <c r="Q347" s="241"/>
      <c r="R347" s="241"/>
      <c r="W347" s="241"/>
      <c r="X347" s="1"/>
      <c r="Y347" s="1"/>
      <c r="Z347" s="240"/>
      <c r="AA347" s="240"/>
      <c r="AC347" s="240"/>
      <c r="AD347" s="240"/>
      <c r="AE347" s="215"/>
      <c r="AF347" s="239"/>
      <c r="AG347" s="239"/>
      <c r="AH347" s="239"/>
      <c r="AI347" s="239"/>
      <c r="AJ347" s="243"/>
      <c r="AL347" s="239"/>
      <c r="AM347" s="239"/>
      <c r="AN347" s="239"/>
      <c r="AR347" s="240"/>
    </row>
    <row r="348" spans="11:44">
      <c r="K348" s="210"/>
      <c r="N348" s="1"/>
      <c r="O348" s="241"/>
      <c r="P348" s="241"/>
      <c r="Q348" s="241"/>
      <c r="R348" s="241"/>
      <c r="W348" s="241"/>
      <c r="X348" s="1"/>
      <c r="Y348" s="1"/>
      <c r="Z348" s="240"/>
      <c r="AA348" s="240"/>
      <c r="AC348" s="240"/>
      <c r="AD348" s="240"/>
      <c r="AE348" s="215"/>
      <c r="AF348" s="239"/>
      <c r="AG348" s="239"/>
      <c r="AH348" s="239"/>
      <c r="AI348" s="239"/>
      <c r="AJ348" s="243"/>
      <c r="AL348" s="239"/>
      <c r="AM348" s="239"/>
      <c r="AN348" s="239"/>
      <c r="AR348" s="240"/>
    </row>
    <row r="349" spans="11:44">
      <c r="K349" s="210"/>
      <c r="N349" s="1"/>
      <c r="O349" s="241"/>
      <c r="P349" s="241"/>
      <c r="Q349" s="241"/>
      <c r="R349" s="241"/>
      <c r="W349" s="241"/>
      <c r="X349" s="1"/>
      <c r="Y349" s="1"/>
      <c r="Z349" s="240"/>
      <c r="AA349" s="240"/>
      <c r="AC349" s="240"/>
      <c r="AD349" s="240"/>
      <c r="AE349" s="215"/>
      <c r="AF349" s="239"/>
      <c r="AG349" s="239"/>
      <c r="AH349" s="239"/>
      <c r="AI349" s="239"/>
      <c r="AJ349" s="243"/>
      <c r="AL349" s="239"/>
      <c r="AM349" s="239"/>
      <c r="AN349" s="239"/>
      <c r="AR349" s="240"/>
    </row>
    <row r="350" spans="11:44">
      <c r="K350" s="210"/>
      <c r="N350" s="1"/>
      <c r="O350" s="241"/>
      <c r="P350" s="241"/>
      <c r="Q350" s="241"/>
      <c r="R350" s="241"/>
      <c r="W350" s="241"/>
      <c r="X350" s="1"/>
      <c r="Y350" s="1"/>
      <c r="Z350" s="240"/>
      <c r="AA350" s="240"/>
      <c r="AC350" s="240"/>
      <c r="AD350" s="240"/>
      <c r="AE350" s="215"/>
      <c r="AF350" s="239"/>
      <c r="AG350" s="239"/>
      <c r="AH350" s="239"/>
      <c r="AI350" s="239"/>
      <c r="AJ350" s="243"/>
      <c r="AL350" s="239"/>
      <c r="AM350" s="239"/>
      <c r="AN350" s="239"/>
      <c r="AR350" s="240"/>
    </row>
    <row r="351" spans="11:44">
      <c r="K351" s="210"/>
      <c r="N351" s="1"/>
      <c r="O351" s="241"/>
      <c r="P351" s="241"/>
      <c r="Q351" s="241"/>
      <c r="R351" s="241"/>
      <c r="W351" s="241"/>
      <c r="X351" s="1"/>
      <c r="Y351" s="1"/>
      <c r="Z351" s="240"/>
      <c r="AA351" s="240"/>
      <c r="AC351" s="240"/>
      <c r="AD351" s="240"/>
      <c r="AE351" s="215"/>
      <c r="AF351" s="239"/>
      <c r="AG351" s="239"/>
      <c r="AH351" s="239"/>
      <c r="AI351" s="239"/>
      <c r="AJ351" s="243"/>
      <c r="AL351" s="239"/>
      <c r="AM351" s="239"/>
      <c r="AN351" s="239"/>
      <c r="AR351" s="240"/>
    </row>
    <row r="352" spans="11:44">
      <c r="K352" s="210"/>
      <c r="N352" s="1"/>
      <c r="O352" s="241"/>
      <c r="P352" s="241"/>
      <c r="Q352" s="241"/>
      <c r="R352" s="241"/>
      <c r="W352" s="241"/>
      <c r="X352" s="1"/>
      <c r="Y352" s="1"/>
      <c r="Z352" s="240"/>
      <c r="AA352" s="240"/>
      <c r="AC352" s="240"/>
      <c r="AD352" s="240"/>
      <c r="AE352" s="215"/>
      <c r="AF352" s="239"/>
      <c r="AG352" s="239"/>
      <c r="AH352" s="239"/>
      <c r="AI352" s="239"/>
      <c r="AJ352" s="243"/>
      <c r="AL352" s="239"/>
      <c r="AM352" s="239"/>
      <c r="AN352" s="239"/>
      <c r="AR352" s="240"/>
    </row>
    <row r="353" spans="11:44">
      <c r="K353" s="210"/>
      <c r="N353" s="1"/>
      <c r="O353" s="241"/>
      <c r="P353" s="241"/>
      <c r="Q353" s="241"/>
      <c r="R353" s="241"/>
      <c r="W353" s="241"/>
      <c r="X353" s="1"/>
      <c r="Y353" s="1"/>
      <c r="Z353" s="240"/>
      <c r="AA353" s="240"/>
      <c r="AC353" s="240"/>
      <c r="AD353" s="240"/>
      <c r="AE353" s="215"/>
      <c r="AF353" s="239"/>
      <c r="AG353" s="239"/>
      <c r="AH353" s="239"/>
      <c r="AI353" s="239"/>
      <c r="AJ353" s="243"/>
      <c r="AL353" s="239"/>
      <c r="AM353" s="239"/>
      <c r="AN353" s="239"/>
      <c r="AR353" s="240"/>
    </row>
    <row r="354" spans="11:44">
      <c r="K354" s="210"/>
      <c r="N354" s="1"/>
      <c r="O354" s="241"/>
      <c r="P354" s="241"/>
      <c r="Q354" s="241"/>
      <c r="R354" s="241"/>
      <c r="W354" s="241"/>
      <c r="X354" s="1"/>
      <c r="Y354" s="1"/>
      <c r="Z354" s="240"/>
      <c r="AA354" s="240"/>
      <c r="AC354" s="240"/>
      <c r="AD354" s="240"/>
      <c r="AE354" s="215"/>
      <c r="AF354" s="239"/>
      <c r="AG354" s="239"/>
      <c r="AH354" s="239"/>
      <c r="AI354" s="239"/>
      <c r="AJ354" s="243"/>
      <c r="AL354" s="239"/>
      <c r="AM354" s="239"/>
      <c r="AN354" s="239"/>
      <c r="AR354" s="240"/>
    </row>
    <row r="355" spans="11:44">
      <c r="K355" s="210"/>
      <c r="N355" s="1"/>
      <c r="O355" s="241"/>
      <c r="P355" s="241"/>
      <c r="Q355" s="241"/>
      <c r="R355" s="241"/>
      <c r="W355" s="241"/>
      <c r="X355" s="1"/>
      <c r="Y355" s="1"/>
      <c r="Z355" s="240"/>
      <c r="AA355" s="240"/>
      <c r="AC355" s="240"/>
      <c r="AD355" s="240"/>
      <c r="AE355" s="215"/>
      <c r="AF355" s="239"/>
      <c r="AG355" s="239"/>
      <c r="AH355" s="239"/>
      <c r="AI355" s="239"/>
      <c r="AJ355" s="243"/>
      <c r="AL355" s="239"/>
      <c r="AM355" s="239"/>
      <c r="AN355" s="239"/>
      <c r="AR355" s="240"/>
    </row>
    <row r="356" spans="11:44">
      <c r="K356" s="210"/>
      <c r="N356" s="1"/>
      <c r="O356" s="241"/>
      <c r="P356" s="241"/>
      <c r="Q356" s="241"/>
      <c r="R356" s="241"/>
      <c r="W356" s="241"/>
      <c r="X356" s="1"/>
      <c r="Y356" s="1"/>
      <c r="Z356" s="240"/>
      <c r="AA356" s="240"/>
      <c r="AC356" s="240"/>
      <c r="AD356" s="240"/>
      <c r="AE356" s="215"/>
      <c r="AF356" s="239"/>
      <c r="AG356" s="239"/>
      <c r="AH356" s="239"/>
      <c r="AI356" s="239"/>
      <c r="AJ356" s="243"/>
      <c r="AL356" s="239"/>
      <c r="AM356" s="239"/>
      <c r="AN356" s="239"/>
      <c r="AR356" s="240"/>
    </row>
    <row r="357" spans="11:44">
      <c r="K357" s="210"/>
      <c r="N357" s="1"/>
      <c r="O357" s="241"/>
      <c r="P357" s="241"/>
      <c r="Q357" s="241"/>
      <c r="R357" s="241"/>
      <c r="W357" s="241"/>
      <c r="X357" s="1"/>
      <c r="Y357" s="1"/>
      <c r="Z357" s="240"/>
      <c r="AA357" s="240"/>
      <c r="AC357" s="240"/>
      <c r="AD357" s="240"/>
      <c r="AE357" s="215"/>
      <c r="AF357" s="239"/>
      <c r="AG357" s="239"/>
      <c r="AH357" s="239"/>
      <c r="AI357" s="239"/>
      <c r="AJ357" s="243"/>
      <c r="AL357" s="239"/>
      <c r="AM357" s="239"/>
      <c r="AN357" s="239"/>
      <c r="AR357" s="240"/>
    </row>
    <row r="358" spans="11:44">
      <c r="K358" s="210"/>
      <c r="N358" s="1"/>
      <c r="O358" s="241"/>
      <c r="P358" s="241"/>
      <c r="Q358" s="241"/>
      <c r="R358" s="241"/>
      <c r="W358" s="241"/>
      <c r="X358" s="1"/>
      <c r="Y358" s="1"/>
      <c r="Z358" s="240"/>
      <c r="AA358" s="240"/>
      <c r="AC358" s="240"/>
      <c r="AD358" s="240"/>
      <c r="AE358" s="215"/>
      <c r="AF358" s="239"/>
      <c r="AG358" s="239"/>
      <c r="AH358" s="239"/>
      <c r="AI358" s="239"/>
      <c r="AJ358" s="243"/>
      <c r="AL358" s="239"/>
      <c r="AM358" s="239"/>
      <c r="AN358" s="239"/>
      <c r="AR358" s="240"/>
    </row>
    <row r="359" spans="11:44">
      <c r="K359" s="210"/>
      <c r="N359" s="1"/>
      <c r="O359" s="241"/>
      <c r="P359" s="241"/>
      <c r="Q359" s="241"/>
      <c r="R359" s="241"/>
      <c r="W359" s="241"/>
      <c r="X359" s="1"/>
      <c r="Y359" s="1"/>
      <c r="Z359" s="240"/>
      <c r="AA359" s="240"/>
      <c r="AC359" s="240"/>
      <c r="AD359" s="240"/>
      <c r="AE359" s="215"/>
      <c r="AF359" s="239"/>
      <c r="AG359" s="239"/>
      <c r="AH359" s="239"/>
      <c r="AI359" s="239"/>
      <c r="AJ359" s="243"/>
      <c r="AL359" s="239"/>
      <c r="AM359" s="239"/>
      <c r="AN359" s="239"/>
      <c r="AR359" s="240"/>
    </row>
    <row r="360" spans="11:44">
      <c r="K360" s="210"/>
      <c r="N360" s="1"/>
      <c r="O360" s="241"/>
      <c r="P360" s="241"/>
      <c r="Q360" s="241"/>
      <c r="R360" s="241"/>
      <c r="W360" s="241"/>
      <c r="X360" s="1"/>
      <c r="Y360" s="1"/>
      <c r="Z360" s="240"/>
      <c r="AA360" s="240"/>
      <c r="AC360" s="240"/>
      <c r="AD360" s="240"/>
      <c r="AE360" s="215"/>
      <c r="AF360" s="239"/>
      <c r="AG360" s="239"/>
      <c r="AH360" s="239"/>
      <c r="AI360" s="239"/>
      <c r="AJ360" s="243"/>
      <c r="AL360" s="239"/>
      <c r="AM360" s="239"/>
      <c r="AN360" s="239"/>
      <c r="AR360" s="240"/>
    </row>
    <row r="361" spans="11:44">
      <c r="K361" s="210"/>
      <c r="N361" s="1"/>
      <c r="O361" s="241"/>
      <c r="P361" s="241"/>
      <c r="Q361" s="241"/>
      <c r="R361" s="241"/>
      <c r="W361" s="241"/>
      <c r="X361" s="1"/>
      <c r="Y361" s="1"/>
      <c r="Z361" s="240"/>
      <c r="AA361" s="240"/>
      <c r="AC361" s="240"/>
      <c r="AD361" s="240"/>
      <c r="AE361" s="215"/>
      <c r="AF361" s="239"/>
      <c r="AG361" s="239"/>
      <c r="AH361" s="239"/>
      <c r="AI361" s="239"/>
      <c r="AJ361" s="243"/>
      <c r="AL361" s="239"/>
      <c r="AM361" s="239"/>
      <c r="AN361" s="239"/>
      <c r="AR361" s="240"/>
    </row>
    <row r="362" spans="11:44">
      <c r="K362" s="210"/>
      <c r="N362" s="1"/>
      <c r="O362" s="241"/>
      <c r="P362" s="241"/>
      <c r="Q362" s="241"/>
      <c r="R362" s="241"/>
      <c r="W362" s="241"/>
      <c r="X362" s="1"/>
      <c r="Y362" s="1"/>
      <c r="Z362" s="240"/>
      <c r="AA362" s="240"/>
      <c r="AC362" s="240"/>
      <c r="AD362" s="240"/>
      <c r="AE362" s="215"/>
      <c r="AF362" s="239"/>
      <c r="AG362" s="239"/>
      <c r="AH362" s="239"/>
      <c r="AI362" s="239"/>
      <c r="AJ362" s="243"/>
      <c r="AL362" s="239"/>
      <c r="AM362" s="239"/>
      <c r="AN362" s="239"/>
      <c r="AR362" s="240"/>
    </row>
    <row r="363" spans="11:44">
      <c r="K363" s="210"/>
      <c r="N363" s="1"/>
      <c r="O363" s="241"/>
      <c r="P363" s="241"/>
      <c r="Q363" s="241"/>
      <c r="R363" s="241"/>
      <c r="W363" s="241"/>
      <c r="X363" s="1"/>
      <c r="Y363" s="1"/>
      <c r="Z363" s="240"/>
      <c r="AA363" s="240"/>
      <c r="AC363" s="240"/>
      <c r="AD363" s="240"/>
      <c r="AE363" s="215"/>
      <c r="AF363" s="239"/>
      <c r="AG363" s="239"/>
      <c r="AH363" s="239"/>
      <c r="AI363" s="239"/>
      <c r="AJ363" s="243"/>
      <c r="AL363" s="239"/>
      <c r="AM363" s="239"/>
      <c r="AN363" s="239"/>
      <c r="AR363" s="240"/>
    </row>
    <row r="364" spans="11:44">
      <c r="K364" s="210"/>
      <c r="N364" s="1"/>
      <c r="O364" s="241"/>
      <c r="P364" s="241"/>
      <c r="Q364" s="241"/>
      <c r="R364" s="241"/>
      <c r="W364" s="241"/>
      <c r="X364" s="1"/>
      <c r="Y364" s="1"/>
      <c r="Z364" s="240"/>
      <c r="AA364" s="240"/>
      <c r="AC364" s="240"/>
      <c r="AD364" s="240"/>
      <c r="AE364" s="215"/>
      <c r="AF364" s="239"/>
      <c r="AG364" s="239"/>
      <c r="AH364" s="239"/>
      <c r="AI364" s="239"/>
      <c r="AJ364" s="243"/>
      <c r="AL364" s="239"/>
      <c r="AM364" s="239"/>
      <c r="AN364" s="239"/>
      <c r="AR364" s="240"/>
    </row>
    <row r="365" spans="11:44">
      <c r="K365" s="210"/>
      <c r="N365" s="1"/>
      <c r="O365" s="241"/>
      <c r="P365" s="241"/>
      <c r="Q365" s="241"/>
      <c r="R365" s="241"/>
      <c r="W365" s="241"/>
      <c r="X365" s="1"/>
      <c r="Y365" s="1"/>
      <c r="Z365" s="240"/>
      <c r="AA365" s="240"/>
      <c r="AC365" s="240"/>
      <c r="AD365" s="240"/>
      <c r="AE365" s="215"/>
      <c r="AF365" s="239"/>
      <c r="AG365" s="239"/>
      <c r="AH365" s="239"/>
      <c r="AI365" s="239"/>
      <c r="AJ365" s="243"/>
      <c r="AL365" s="239"/>
      <c r="AM365" s="239"/>
      <c r="AN365" s="239"/>
      <c r="AR365" s="240"/>
    </row>
    <row r="366" spans="11:44">
      <c r="K366" s="210"/>
      <c r="N366" s="1"/>
      <c r="O366" s="241"/>
      <c r="P366" s="241"/>
      <c r="Q366" s="241"/>
      <c r="R366" s="241"/>
      <c r="W366" s="241"/>
      <c r="X366" s="1"/>
      <c r="Y366" s="1"/>
      <c r="Z366" s="240"/>
      <c r="AA366" s="240"/>
      <c r="AC366" s="240"/>
      <c r="AD366" s="240"/>
      <c r="AE366" s="215"/>
      <c r="AF366" s="239"/>
      <c r="AG366" s="239"/>
      <c r="AH366" s="239"/>
      <c r="AI366" s="239"/>
      <c r="AJ366" s="243"/>
      <c r="AL366" s="239"/>
      <c r="AM366" s="239"/>
      <c r="AN366" s="239"/>
      <c r="AR366" s="240"/>
    </row>
    <row r="367" spans="11:44">
      <c r="K367" s="210"/>
      <c r="N367" s="1"/>
      <c r="O367" s="241"/>
      <c r="P367" s="241"/>
      <c r="Q367" s="241"/>
      <c r="R367" s="241"/>
      <c r="W367" s="241"/>
      <c r="X367" s="1"/>
      <c r="Y367" s="1"/>
      <c r="Z367" s="240"/>
      <c r="AA367" s="240"/>
      <c r="AC367" s="240"/>
      <c r="AD367" s="240"/>
      <c r="AE367" s="215"/>
      <c r="AF367" s="239"/>
      <c r="AG367" s="239"/>
      <c r="AH367" s="239"/>
      <c r="AI367" s="239"/>
      <c r="AJ367" s="243"/>
      <c r="AL367" s="239"/>
      <c r="AM367" s="239"/>
      <c r="AN367" s="239"/>
      <c r="AR367" s="240"/>
    </row>
    <row r="368" spans="11:44">
      <c r="K368" s="210"/>
      <c r="N368" s="1"/>
      <c r="O368" s="241"/>
      <c r="P368" s="241"/>
      <c r="Q368" s="241"/>
      <c r="R368" s="241"/>
      <c r="W368" s="241"/>
      <c r="X368" s="1"/>
      <c r="Y368" s="1"/>
      <c r="Z368" s="240"/>
      <c r="AA368" s="240"/>
      <c r="AC368" s="240"/>
      <c r="AD368" s="240"/>
      <c r="AE368" s="215"/>
      <c r="AF368" s="239"/>
      <c r="AG368" s="239"/>
      <c r="AH368" s="239"/>
      <c r="AI368" s="239"/>
      <c r="AJ368" s="243"/>
      <c r="AL368" s="239"/>
      <c r="AM368" s="239"/>
      <c r="AN368" s="239"/>
      <c r="AR368" s="240"/>
    </row>
    <row r="369" spans="11:44">
      <c r="K369" s="210"/>
      <c r="N369" s="1"/>
      <c r="O369" s="241"/>
      <c r="P369" s="241"/>
      <c r="Q369" s="241"/>
      <c r="R369" s="241"/>
      <c r="W369" s="241"/>
      <c r="X369" s="1"/>
      <c r="Y369" s="1"/>
      <c r="Z369" s="240"/>
      <c r="AA369" s="240"/>
      <c r="AC369" s="240"/>
      <c r="AD369" s="240"/>
      <c r="AE369" s="215"/>
      <c r="AF369" s="239"/>
      <c r="AG369" s="239"/>
      <c r="AH369" s="239"/>
      <c r="AI369" s="239"/>
      <c r="AJ369" s="243"/>
      <c r="AL369" s="239"/>
      <c r="AM369" s="239"/>
      <c r="AN369" s="239"/>
      <c r="AR369" s="240"/>
    </row>
    <row r="370" spans="11:44">
      <c r="K370" s="210"/>
      <c r="N370" s="1"/>
      <c r="O370" s="241"/>
      <c r="P370" s="241"/>
      <c r="Q370" s="241"/>
      <c r="R370" s="241"/>
      <c r="W370" s="241"/>
      <c r="X370" s="1"/>
      <c r="Y370" s="1"/>
      <c r="Z370" s="240"/>
      <c r="AA370" s="240"/>
      <c r="AC370" s="240"/>
      <c r="AD370" s="240"/>
      <c r="AE370" s="215"/>
      <c r="AF370" s="239"/>
      <c r="AG370" s="239"/>
      <c r="AH370" s="239"/>
      <c r="AI370" s="239"/>
      <c r="AJ370" s="243"/>
      <c r="AL370" s="239"/>
      <c r="AM370" s="239"/>
      <c r="AN370" s="239"/>
      <c r="AR370" s="240"/>
    </row>
    <row r="371" spans="11:44">
      <c r="K371" s="210"/>
      <c r="N371" s="1"/>
      <c r="O371" s="241"/>
      <c r="P371" s="241"/>
      <c r="Q371" s="241"/>
      <c r="R371" s="241"/>
      <c r="W371" s="241"/>
      <c r="X371" s="1"/>
      <c r="Y371" s="1"/>
      <c r="Z371" s="240"/>
      <c r="AA371" s="240"/>
      <c r="AC371" s="240"/>
      <c r="AD371" s="240"/>
      <c r="AE371" s="215"/>
      <c r="AF371" s="239"/>
      <c r="AG371" s="239"/>
      <c r="AH371" s="239"/>
      <c r="AI371" s="239"/>
      <c r="AJ371" s="243"/>
      <c r="AL371" s="239"/>
      <c r="AM371" s="239"/>
      <c r="AN371" s="239"/>
      <c r="AR371" s="240"/>
    </row>
    <row r="372" spans="11:44">
      <c r="K372" s="210"/>
      <c r="N372" s="1"/>
      <c r="O372" s="241"/>
      <c r="P372" s="241"/>
      <c r="Q372" s="241"/>
      <c r="R372" s="241"/>
      <c r="W372" s="241"/>
      <c r="X372" s="1"/>
      <c r="Y372" s="1"/>
      <c r="Z372" s="240"/>
      <c r="AA372" s="240"/>
      <c r="AC372" s="240"/>
      <c r="AD372" s="240"/>
      <c r="AE372" s="215"/>
      <c r="AF372" s="239"/>
      <c r="AG372" s="239"/>
      <c r="AH372" s="239"/>
      <c r="AI372" s="239"/>
      <c r="AJ372" s="243"/>
      <c r="AL372" s="239"/>
      <c r="AM372" s="239"/>
      <c r="AN372" s="239"/>
      <c r="AR372" s="240"/>
    </row>
    <row r="373" spans="11:44">
      <c r="K373" s="210"/>
      <c r="N373" s="1"/>
      <c r="O373" s="241"/>
      <c r="P373" s="241"/>
      <c r="Q373" s="241"/>
      <c r="R373" s="241"/>
      <c r="W373" s="241"/>
      <c r="X373" s="1"/>
      <c r="Y373" s="1"/>
      <c r="Z373" s="240"/>
      <c r="AA373" s="240"/>
      <c r="AC373" s="240"/>
      <c r="AD373" s="240"/>
      <c r="AE373" s="215"/>
      <c r="AF373" s="239"/>
      <c r="AG373" s="239"/>
      <c r="AH373" s="239"/>
      <c r="AI373" s="239"/>
      <c r="AJ373" s="243"/>
      <c r="AL373" s="239"/>
      <c r="AM373" s="239"/>
      <c r="AN373" s="239"/>
      <c r="AR373" s="240"/>
    </row>
    <row r="374" spans="11:44">
      <c r="K374" s="210"/>
      <c r="N374" s="1"/>
      <c r="O374" s="241"/>
      <c r="P374" s="241"/>
      <c r="Q374" s="241"/>
      <c r="R374" s="241"/>
      <c r="W374" s="241"/>
      <c r="X374" s="1"/>
      <c r="Y374" s="1"/>
      <c r="Z374" s="240"/>
      <c r="AA374" s="240"/>
      <c r="AC374" s="240"/>
      <c r="AD374" s="240"/>
      <c r="AE374" s="215"/>
      <c r="AF374" s="239"/>
      <c r="AG374" s="239"/>
      <c r="AH374" s="239"/>
      <c r="AI374" s="239"/>
      <c r="AJ374" s="243"/>
      <c r="AL374" s="239"/>
      <c r="AM374" s="239"/>
      <c r="AN374" s="239"/>
      <c r="AR374" s="240"/>
    </row>
    <row r="375" spans="11:44">
      <c r="K375" s="210"/>
      <c r="N375" s="1"/>
      <c r="O375" s="241"/>
      <c r="P375" s="241"/>
      <c r="Q375" s="241"/>
      <c r="R375" s="241"/>
      <c r="W375" s="241"/>
      <c r="X375" s="1"/>
      <c r="Y375" s="1"/>
      <c r="Z375" s="240"/>
      <c r="AA375" s="240"/>
      <c r="AC375" s="240"/>
      <c r="AD375" s="240"/>
      <c r="AE375" s="215"/>
      <c r="AF375" s="239"/>
      <c r="AG375" s="239"/>
      <c r="AH375" s="239"/>
      <c r="AI375" s="239"/>
      <c r="AJ375" s="243"/>
      <c r="AL375" s="239"/>
      <c r="AM375" s="239"/>
      <c r="AN375" s="239"/>
      <c r="AR375" s="240"/>
    </row>
    <row r="376" spans="11:44">
      <c r="K376" s="210"/>
      <c r="N376" s="1"/>
      <c r="O376" s="241"/>
      <c r="P376" s="241"/>
      <c r="Q376" s="241"/>
      <c r="R376" s="241"/>
      <c r="W376" s="241"/>
      <c r="X376" s="1"/>
      <c r="Y376" s="1"/>
      <c r="Z376" s="240"/>
      <c r="AA376" s="240"/>
      <c r="AC376" s="240"/>
      <c r="AD376" s="240"/>
      <c r="AE376" s="215"/>
      <c r="AF376" s="239"/>
      <c r="AG376" s="239"/>
      <c r="AH376" s="239"/>
      <c r="AI376" s="239"/>
      <c r="AJ376" s="243"/>
      <c r="AL376" s="239"/>
      <c r="AM376" s="239"/>
      <c r="AN376" s="239"/>
      <c r="AR376" s="240"/>
    </row>
    <row r="377" spans="11:44">
      <c r="K377" s="210"/>
      <c r="N377" s="1"/>
      <c r="O377" s="241"/>
      <c r="P377" s="241"/>
      <c r="Q377" s="241"/>
      <c r="R377" s="241"/>
      <c r="W377" s="241"/>
      <c r="X377" s="1"/>
      <c r="Y377" s="1"/>
      <c r="Z377" s="240"/>
      <c r="AA377" s="240"/>
      <c r="AC377" s="240"/>
      <c r="AD377" s="240"/>
      <c r="AE377" s="215"/>
      <c r="AF377" s="239"/>
      <c r="AG377" s="239"/>
      <c r="AH377" s="239"/>
      <c r="AI377" s="239"/>
      <c r="AJ377" s="243"/>
      <c r="AL377" s="239"/>
      <c r="AM377" s="239"/>
      <c r="AN377" s="239"/>
      <c r="AR377" s="240"/>
    </row>
    <row r="378" spans="11:44">
      <c r="K378" s="210"/>
      <c r="N378" s="1"/>
      <c r="O378" s="241"/>
      <c r="P378" s="241"/>
      <c r="Q378" s="241"/>
      <c r="R378" s="241"/>
      <c r="W378" s="241"/>
      <c r="X378" s="1"/>
      <c r="Y378" s="1"/>
      <c r="Z378" s="240"/>
      <c r="AA378" s="240"/>
      <c r="AC378" s="240"/>
      <c r="AD378" s="240"/>
      <c r="AE378" s="215"/>
      <c r="AF378" s="239"/>
      <c r="AG378" s="239"/>
      <c r="AH378" s="239"/>
      <c r="AI378" s="239"/>
      <c r="AJ378" s="243"/>
      <c r="AL378" s="239"/>
      <c r="AM378" s="239"/>
      <c r="AN378" s="239"/>
      <c r="AR378" s="240"/>
    </row>
    <row r="379" spans="11:44">
      <c r="K379" s="210"/>
      <c r="N379" s="1"/>
      <c r="O379" s="241"/>
      <c r="P379" s="241"/>
      <c r="Q379" s="241"/>
      <c r="R379" s="241"/>
      <c r="W379" s="241"/>
      <c r="X379" s="1"/>
      <c r="Y379" s="1"/>
      <c r="Z379" s="240"/>
      <c r="AA379" s="240"/>
      <c r="AC379" s="240"/>
      <c r="AD379" s="240"/>
      <c r="AE379" s="215"/>
      <c r="AF379" s="239"/>
      <c r="AG379" s="239"/>
      <c r="AH379" s="239"/>
      <c r="AI379" s="239"/>
      <c r="AJ379" s="243"/>
      <c r="AL379" s="239"/>
      <c r="AM379" s="239"/>
      <c r="AN379" s="239"/>
      <c r="AR379" s="240"/>
    </row>
    <row r="380" spans="11:44">
      <c r="K380" s="210"/>
      <c r="N380" s="1"/>
      <c r="O380" s="241"/>
      <c r="P380" s="241"/>
      <c r="Q380" s="241"/>
      <c r="R380" s="241"/>
      <c r="W380" s="241"/>
      <c r="X380" s="1"/>
      <c r="Y380" s="1"/>
      <c r="Z380" s="240"/>
      <c r="AA380" s="240"/>
      <c r="AC380" s="240"/>
      <c r="AD380" s="240"/>
      <c r="AE380" s="215"/>
      <c r="AF380" s="239"/>
      <c r="AG380" s="239"/>
      <c r="AH380" s="239"/>
      <c r="AI380" s="239"/>
      <c r="AJ380" s="243"/>
      <c r="AL380" s="239"/>
      <c r="AM380" s="239"/>
      <c r="AN380" s="239"/>
      <c r="AR380" s="240"/>
    </row>
    <row r="381" spans="11:44">
      <c r="K381" s="210"/>
      <c r="N381" s="1"/>
      <c r="O381" s="241"/>
      <c r="P381" s="241"/>
      <c r="Q381" s="241"/>
      <c r="R381" s="241"/>
      <c r="W381" s="241"/>
      <c r="X381" s="1"/>
      <c r="Y381" s="1"/>
      <c r="Z381" s="240"/>
      <c r="AA381" s="240"/>
      <c r="AC381" s="240"/>
      <c r="AD381" s="240"/>
      <c r="AE381" s="215"/>
      <c r="AF381" s="239"/>
      <c r="AG381" s="239"/>
      <c r="AH381" s="239"/>
      <c r="AI381" s="239"/>
      <c r="AJ381" s="243"/>
      <c r="AL381" s="239"/>
      <c r="AM381" s="239"/>
      <c r="AN381" s="239"/>
      <c r="AR381" s="240"/>
    </row>
    <row r="382" spans="11:44">
      <c r="K382" s="210"/>
      <c r="N382" s="1"/>
      <c r="O382" s="241"/>
      <c r="P382" s="241"/>
      <c r="Q382" s="241"/>
      <c r="R382" s="241"/>
      <c r="W382" s="241"/>
      <c r="X382" s="1"/>
      <c r="Y382" s="1"/>
      <c r="Z382" s="240"/>
      <c r="AA382" s="240"/>
      <c r="AC382" s="240"/>
      <c r="AD382" s="240"/>
      <c r="AE382" s="215"/>
      <c r="AF382" s="239"/>
      <c r="AG382" s="239"/>
      <c r="AH382" s="239"/>
      <c r="AI382" s="239"/>
      <c r="AJ382" s="243"/>
      <c r="AL382" s="239"/>
      <c r="AM382" s="239"/>
      <c r="AN382" s="239"/>
      <c r="AR382" s="240"/>
    </row>
    <row r="383" spans="11:44">
      <c r="K383" s="210"/>
      <c r="N383" s="1"/>
      <c r="O383" s="241"/>
      <c r="P383" s="241"/>
      <c r="Q383" s="241"/>
      <c r="R383" s="241"/>
      <c r="W383" s="241"/>
      <c r="X383" s="1"/>
      <c r="Y383" s="1"/>
      <c r="Z383" s="240"/>
      <c r="AA383" s="240"/>
      <c r="AC383" s="240"/>
      <c r="AD383" s="240"/>
      <c r="AE383" s="215"/>
      <c r="AF383" s="239"/>
      <c r="AG383" s="239"/>
      <c r="AH383" s="239"/>
      <c r="AI383" s="239"/>
      <c r="AJ383" s="243"/>
      <c r="AL383" s="239"/>
      <c r="AM383" s="239"/>
      <c r="AN383" s="239"/>
      <c r="AR383" s="240"/>
    </row>
    <row r="384" spans="11:44">
      <c r="K384" s="210"/>
      <c r="N384" s="1"/>
      <c r="O384" s="241"/>
      <c r="P384" s="241"/>
      <c r="Q384" s="241"/>
      <c r="R384" s="241"/>
      <c r="W384" s="241"/>
      <c r="X384" s="1"/>
      <c r="Y384" s="1"/>
      <c r="Z384" s="240"/>
      <c r="AA384" s="240"/>
      <c r="AC384" s="240"/>
      <c r="AD384" s="240"/>
      <c r="AE384" s="215"/>
      <c r="AF384" s="239"/>
      <c r="AG384" s="239"/>
      <c r="AH384" s="239"/>
      <c r="AI384" s="239"/>
      <c r="AJ384" s="243"/>
      <c r="AL384" s="239"/>
      <c r="AM384" s="239"/>
      <c r="AN384" s="239"/>
      <c r="AR384" s="240"/>
    </row>
    <row r="385" spans="11:44">
      <c r="K385" s="210"/>
      <c r="N385" s="1"/>
      <c r="O385" s="241"/>
      <c r="P385" s="241"/>
      <c r="Q385" s="241"/>
      <c r="R385" s="241"/>
      <c r="W385" s="241"/>
      <c r="X385" s="1"/>
      <c r="Y385" s="1"/>
      <c r="Z385" s="240"/>
      <c r="AA385" s="240"/>
      <c r="AC385" s="240"/>
      <c r="AD385" s="240"/>
      <c r="AE385" s="215"/>
      <c r="AF385" s="239"/>
      <c r="AG385" s="239"/>
      <c r="AH385" s="239"/>
      <c r="AI385" s="239"/>
      <c r="AJ385" s="243"/>
      <c r="AL385" s="239"/>
      <c r="AM385" s="239"/>
      <c r="AN385" s="239"/>
      <c r="AR385" s="240"/>
    </row>
    <row r="386" spans="11:44">
      <c r="K386" s="210"/>
      <c r="N386" s="1"/>
      <c r="O386" s="241"/>
      <c r="P386" s="241"/>
      <c r="Q386" s="241"/>
      <c r="R386" s="241"/>
      <c r="W386" s="241"/>
      <c r="X386" s="1"/>
      <c r="Y386" s="1"/>
      <c r="Z386" s="240"/>
      <c r="AA386" s="240"/>
      <c r="AC386" s="240"/>
      <c r="AD386" s="240"/>
      <c r="AE386" s="215"/>
      <c r="AF386" s="239"/>
      <c r="AG386" s="239"/>
      <c r="AH386" s="239"/>
      <c r="AI386" s="239"/>
      <c r="AJ386" s="243"/>
      <c r="AL386" s="239"/>
      <c r="AM386" s="239"/>
      <c r="AN386" s="239"/>
      <c r="AR386" s="240"/>
    </row>
    <row r="387" spans="11:44">
      <c r="K387" s="210"/>
      <c r="N387" s="1"/>
      <c r="O387" s="241"/>
      <c r="P387" s="241"/>
      <c r="Q387" s="241"/>
      <c r="R387" s="241"/>
      <c r="W387" s="241"/>
      <c r="X387" s="1"/>
      <c r="Y387" s="1"/>
      <c r="Z387" s="240"/>
      <c r="AA387" s="240"/>
      <c r="AC387" s="240"/>
      <c r="AD387" s="240"/>
      <c r="AE387" s="215"/>
      <c r="AF387" s="239"/>
      <c r="AG387" s="239"/>
      <c r="AH387" s="239"/>
      <c r="AI387" s="239"/>
      <c r="AJ387" s="243"/>
      <c r="AL387" s="239"/>
      <c r="AM387" s="239"/>
      <c r="AN387" s="239"/>
      <c r="AR387" s="240"/>
    </row>
    <row r="388" spans="11:44">
      <c r="K388" s="210"/>
      <c r="N388" s="1"/>
      <c r="O388" s="241"/>
      <c r="P388" s="241"/>
      <c r="Q388" s="241"/>
      <c r="R388" s="241"/>
      <c r="W388" s="241"/>
      <c r="X388" s="1"/>
      <c r="Y388" s="1"/>
      <c r="Z388" s="240"/>
      <c r="AA388" s="240"/>
      <c r="AC388" s="240"/>
      <c r="AD388" s="240"/>
      <c r="AE388" s="215"/>
      <c r="AF388" s="239"/>
      <c r="AG388" s="239"/>
      <c r="AH388" s="239"/>
      <c r="AI388" s="239"/>
      <c r="AJ388" s="243"/>
      <c r="AL388" s="239"/>
      <c r="AM388" s="239"/>
      <c r="AN388" s="239"/>
      <c r="AR388" s="240"/>
    </row>
    <row r="389" spans="11:44">
      <c r="K389" s="210"/>
      <c r="N389" s="1"/>
      <c r="O389" s="241"/>
      <c r="P389" s="241"/>
      <c r="Q389" s="241"/>
      <c r="R389" s="241"/>
      <c r="W389" s="241"/>
      <c r="X389" s="1"/>
      <c r="Y389" s="1"/>
      <c r="Z389" s="240"/>
      <c r="AA389" s="240"/>
      <c r="AC389" s="240"/>
      <c r="AD389" s="240"/>
      <c r="AE389" s="215"/>
      <c r="AF389" s="239"/>
      <c r="AG389" s="239"/>
      <c r="AH389" s="239"/>
      <c r="AI389" s="239"/>
      <c r="AJ389" s="243"/>
      <c r="AL389" s="239"/>
      <c r="AM389" s="239"/>
      <c r="AN389" s="239"/>
      <c r="AR389" s="240"/>
    </row>
    <row r="390" spans="11:44">
      <c r="K390" s="210"/>
      <c r="N390" s="1"/>
      <c r="O390" s="241"/>
      <c r="P390" s="241"/>
      <c r="Q390" s="241"/>
      <c r="R390" s="241"/>
      <c r="W390" s="241"/>
      <c r="X390" s="1"/>
      <c r="Y390" s="1"/>
      <c r="Z390" s="240"/>
      <c r="AA390" s="240"/>
      <c r="AC390" s="240"/>
      <c r="AD390" s="240"/>
      <c r="AE390" s="215"/>
      <c r="AF390" s="239"/>
      <c r="AG390" s="239"/>
      <c r="AH390" s="239"/>
      <c r="AI390" s="239"/>
      <c r="AJ390" s="243"/>
      <c r="AL390" s="239"/>
      <c r="AM390" s="239"/>
      <c r="AN390" s="239"/>
      <c r="AR390" s="240"/>
    </row>
    <row r="391" spans="11:44">
      <c r="K391" s="210"/>
      <c r="N391" s="1"/>
      <c r="O391" s="241"/>
      <c r="P391" s="241"/>
      <c r="Q391" s="241"/>
      <c r="R391" s="241"/>
      <c r="W391" s="241"/>
      <c r="X391" s="1"/>
      <c r="Y391" s="1"/>
      <c r="Z391" s="240"/>
      <c r="AA391" s="240"/>
      <c r="AC391" s="240"/>
      <c r="AD391" s="240"/>
      <c r="AE391" s="215"/>
      <c r="AF391" s="239"/>
      <c r="AG391" s="239"/>
      <c r="AH391" s="239"/>
      <c r="AI391" s="239"/>
      <c r="AJ391" s="243"/>
      <c r="AL391" s="239"/>
      <c r="AM391" s="239"/>
      <c r="AN391" s="239"/>
      <c r="AR391" s="240"/>
    </row>
    <row r="392" spans="11:44">
      <c r="K392" s="210"/>
      <c r="N392" s="1"/>
      <c r="O392" s="241"/>
      <c r="P392" s="241"/>
      <c r="Q392" s="241"/>
      <c r="R392" s="241"/>
      <c r="W392" s="241"/>
      <c r="X392" s="1"/>
      <c r="Y392" s="1"/>
      <c r="Z392" s="240"/>
      <c r="AA392" s="240"/>
      <c r="AC392" s="240"/>
      <c r="AD392" s="240"/>
      <c r="AE392" s="215"/>
      <c r="AF392" s="239"/>
      <c r="AG392" s="239"/>
      <c r="AH392" s="239"/>
      <c r="AI392" s="239"/>
      <c r="AJ392" s="243"/>
      <c r="AL392" s="239"/>
      <c r="AM392" s="239"/>
      <c r="AN392" s="239"/>
      <c r="AR392" s="240"/>
    </row>
    <row r="393" spans="11:44">
      <c r="K393" s="210"/>
      <c r="N393" s="1"/>
      <c r="O393" s="241"/>
      <c r="P393" s="241"/>
      <c r="Q393" s="241"/>
      <c r="R393" s="241"/>
      <c r="W393" s="241"/>
      <c r="X393" s="1"/>
      <c r="Y393" s="1"/>
      <c r="Z393" s="240"/>
      <c r="AA393" s="240"/>
      <c r="AC393" s="240"/>
      <c r="AD393" s="240"/>
      <c r="AE393" s="215"/>
      <c r="AF393" s="239"/>
      <c r="AG393" s="239"/>
      <c r="AH393" s="239"/>
      <c r="AI393" s="239"/>
      <c r="AJ393" s="243"/>
      <c r="AL393" s="239"/>
      <c r="AM393" s="239"/>
      <c r="AN393" s="239"/>
      <c r="AR393" s="240"/>
    </row>
    <row r="394" spans="11:44">
      <c r="K394" s="210"/>
      <c r="N394" s="1"/>
      <c r="O394" s="241"/>
      <c r="P394" s="241"/>
      <c r="Q394" s="241"/>
      <c r="R394" s="241"/>
      <c r="W394" s="241"/>
      <c r="X394" s="1"/>
      <c r="Y394" s="1"/>
      <c r="Z394" s="240"/>
      <c r="AA394" s="240"/>
      <c r="AC394" s="240"/>
      <c r="AD394" s="240"/>
      <c r="AE394" s="215"/>
      <c r="AF394" s="239"/>
      <c r="AG394" s="246"/>
      <c r="AH394" s="239"/>
      <c r="AI394" s="239"/>
      <c r="AJ394" s="243"/>
      <c r="AL394" s="239"/>
      <c r="AM394" s="239"/>
      <c r="AN394" s="239"/>
      <c r="AR394" s="240"/>
    </row>
    <row r="395" spans="11:44">
      <c r="K395" s="210"/>
      <c r="N395" s="1"/>
      <c r="O395" s="241"/>
      <c r="P395" s="241"/>
      <c r="Q395" s="241"/>
      <c r="R395" s="241"/>
      <c r="W395" s="241"/>
      <c r="X395" s="1"/>
      <c r="Y395" s="1"/>
      <c r="Z395" s="240"/>
      <c r="AA395" s="240"/>
      <c r="AC395" s="240"/>
      <c r="AD395" s="240"/>
      <c r="AE395" s="215"/>
      <c r="AF395" s="239"/>
      <c r="AG395" s="246"/>
      <c r="AH395" s="239"/>
      <c r="AI395" s="239"/>
      <c r="AJ395" s="243"/>
      <c r="AL395" s="239"/>
      <c r="AM395" s="239"/>
      <c r="AN395" s="239"/>
      <c r="AR395" s="240"/>
    </row>
    <row r="396" spans="11:44">
      <c r="K396" s="210"/>
      <c r="N396" s="1"/>
      <c r="O396" s="241"/>
      <c r="P396" s="241"/>
      <c r="Q396" s="241"/>
      <c r="R396" s="241"/>
      <c r="W396" s="241"/>
      <c r="X396" s="1"/>
      <c r="Y396" s="1"/>
      <c r="Z396" s="240"/>
      <c r="AA396" s="240"/>
      <c r="AC396" s="240"/>
      <c r="AD396" s="240"/>
      <c r="AE396" s="215"/>
      <c r="AF396" s="239"/>
      <c r="AG396" s="246"/>
      <c r="AH396" s="239"/>
      <c r="AI396" s="239"/>
      <c r="AJ396" s="243"/>
      <c r="AL396" s="239"/>
      <c r="AM396" s="239"/>
      <c r="AN396" s="239"/>
      <c r="AR396" s="240"/>
    </row>
    <row r="397" spans="11:44">
      <c r="K397" s="210"/>
      <c r="N397" s="1"/>
      <c r="O397" s="241"/>
      <c r="P397" s="241"/>
      <c r="Q397" s="241"/>
      <c r="R397" s="241"/>
      <c r="W397" s="241"/>
      <c r="X397" s="1"/>
      <c r="Y397" s="1"/>
      <c r="Z397" s="240"/>
      <c r="AA397" s="240"/>
      <c r="AC397" s="240"/>
      <c r="AD397" s="240"/>
      <c r="AE397" s="215"/>
      <c r="AF397" s="239"/>
      <c r="AG397" s="246"/>
      <c r="AH397" s="239"/>
      <c r="AI397" s="239"/>
      <c r="AJ397" s="243"/>
      <c r="AL397" s="239"/>
      <c r="AM397" s="239"/>
      <c r="AN397" s="239"/>
      <c r="AR397" s="240"/>
    </row>
    <row r="398" spans="11:44">
      <c r="K398" s="210"/>
      <c r="N398" s="1"/>
      <c r="O398" s="241"/>
      <c r="P398" s="241"/>
      <c r="Q398" s="241"/>
      <c r="R398" s="241"/>
      <c r="W398" s="241"/>
      <c r="X398" s="1"/>
      <c r="Y398" s="1"/>
      <c r="Z398" s="240"/>
      <c r="AA398" s="240"/>
      <c r="AC398" s="240"/>
      <c r="AD398" s="240"/>
      <c r="AE398" s="215"/>
      <c r="AF398" s="239"/>
      <c r="AG398" s="246"/>
      <c r="AH398" s="239"/>
      <c r="AI398" s="239"/>
      <c r="AJ398" s="243"/>
      <c r="AL398" s="239"/>
      <c r="AM398" s="239"/>
      <c r="AN398" s="239"/>
      <c r="AR398" s="240"/>
    </row>
    <row r="399" spans="11:44">
      <c r="K399" s="210"/>
      <c r="N399" s="1"/>
      <c r="O399" s="241"/>
      <c r="P399" s="241"/>
      <c r="Q399" s="241"/>
      <c r="R399" s="241"/>
      <c r="W399" s="241"/>
      <c r="X399" s="1"/>
      <c r="Y399" s="1"/>
      <c r="Z399" s="240"/>
      <c r="AA399" s="240"/>
      <c r="AC399" s="240"/>
      <c r="AD399" s="240"/>
      <c r="AE399" s="215"/>
      <c r="AF399" s="239"/>
      <c r="AG399" s="246"/>
      <c r="AH399" s="239"/>
      <c r="AI399" s="239"/>
      <c r="AJ399" s="243"/>
      <c r="AL399" s="239"/>
      <c r="AM399" s="239"/>
      <c r="AN399" s="239"/>
      <c r="AR399" s="240"/>
    </row>
    <row r="400" spans="11:44">
      <c r="K400" s="210"/>
      <c r="N400" s="1"/>
      <c r="O400" s="241"/>
      <c r="P400" s="241"/>
      <c r="Q400" s="241"/>
      <c r="R400" s="241"/>
      <c r="W400" s="241"/>
      <c r="X400" s="1"/>
      <c r="Y400" s="1"/>
      <c r="Z400" s="240"/>
      <c r="AA400" s="240"/>
      <c r="AC400" s="240"/>
      <c r="AD400" s="240"/>
      <c r="AE400" s="215"/>
      <c r="AF400" s="239"/>
      <c r="AG400" s="246"/>
      <c r="AH400" s="239"/>
      <c r="AI400" s="239"/>
      <c r="AJ400" s="243"/>
      <c r="AL400" s="239"/>
      <c r="AM400" s="239"/>
      <c r="AN400" s="239"/>
      <c r="AR400" s="240"/>
    </row>
    <row r="401" spans="11:44">
      <c r="K401" s="210"/>
      <c r="N401" s="1"/>
      <c r="O401" s="241"/>
      <c r="P401" s="241"/>
      <c r="Q401" s="241"/>
      <c r="R401" s="241"/>
      <c r="W401" s="241"/>
      <c r="X401" s="1"/>
      <c r="Y401" s="1"/>
      <c r="Z401" s="240"/>
      <c r="AA401" s="240"/>
      <c r="AC401" s="240"/>
      <c r="AD401" s="240"/>
      <c r="AE401" s="215"/>
      <c r="AF401" s="239"/>
      <c r="AG401" s="246"/>
      <c r="AH401" s="239"/>
      <c r="AI401" s="239"/>
      <c r="AJ401" s="243"/>
      <c r="AL401" s="239"/>
      <c r="AM401" s="239"/>
      <c r="AN401" s="239"/>
      <c r="AR401" s="240"/>
    </row>
    <row r="402" spans="11:44">
      <c r="K402" s="210"/>
      <c r="N402" s="1"/>
      <c r="O402" s="241"/>
      <c r="P402" s="241"/>
      <c r="Q402" s="241"/>
      <c r="R402" s="241"/>
      <c r="W402" s="241"/>
      <c r="X402" s="1"/>
      <c r="Y402" s="1"/>
      <c r="Z402" s="240"/>
      <c r="AA402" s="240"/>
      <c r="AC402" s="240"/>
      <c r="AD402" s="240"/>
      <c r="AE402" s="215"/>
      <c r="AF402" s="239"/>
      <c r="AG402" s="246"/>
      <c r="AH402" s="239"/>
      <c r="AI402" s="239"/>
      <c r="AJ402" s="243"/>
      <c r="AL402" s="239"/>
      <c r="AM402" s="239"/>
      <c r="AN402" s="239"/>
      <c r="AR402" s="240"/>
    </row>
    <row r="403" spans="11:44">
      <c r="K403" s="210"/>
      <c r="N403" s="1"/>
      <c r="O403" s="241"/>
      <c r="P403" s="241"/>
      <c r="Q403" s="241"/>
      <c r="R403" s="241"/>
      <c r="W403" s="241"/>
      <c r="X403" s="1"/>
      <c r="Y403" s="1"/>
      <c r="Z403" s="240"/>
      <c r="AA403" s="240"/>
      <c r="AC403" s="240"/>
      <c r="AD403" s="240"/>
      <c r="AE403" s="215"/>
      <c r="AF403" s="239"/>
      <c r="AG403" s="246"/>
      <c r="AH403" s="239"/>
      <c r="AI403" s="239"/>
      <c r="AJ403" s="243"/>
      <c r="AL403" s="239"/>
      <c r="AM403" s="239"/>
      <c r="AN403" s="239"/>
      <c r="AR403" s="240"/>
    </row>
    <row r="404" spans="11:44">
      <c r="K404" s="210"/>
      <c r="N404" s="1"/>
      <c r="O404" s="241"/>
      <c r="P404" s="241"/>
      <c r="Q404" s="241"/>
      <c r="R404" s="241"/>
      <c r="W404" s="241"/>
      <c r="X404" s="1"/>
      <c r="Y404" s="1"/>
      <c r="Z404" s="240"/>
      <c r="AA404" s="240"/>
      <c r="AC404" s="240"/>
      <c r="AD404" s="240"/>
      <c r="AE404" s="215"/>
      <c r="AF404" s="239"/>
      <c r="AG404" s="246"/>
      <c r="AH404" s="239"/>
      <c r="AI404" s="239"/>
      <c r="AJ404" s="243"/>
      <c r="AL404" s="239"/>
      <c r="AM404" s="239"/>
      <c r="AN404" s="239"/>
      <c r="AR404" s="240"/>
    </row>
    <row r="405" spans="11:44">
      <c r="K405" s="210"/>
      <c r="N405" s="1"/>
      <c r="O405" s="241"/>
      <c r="P405" s="241"/>
      <c r="Q405" s="241"/>
      <c r="R405" s="241"/>
      <c r="W405" s="241"/>
      <c r="X405" s="1"/>
      <c r="Y405" s="1"/>
      <c r="Z405" s="240"/>
      <c r="AA405" s="240"/>
      <c r="AC405" s="240"/>
      <c r="AD405" s="240"/>
      <c r="AE405" s="215"/>
      <c r="AF405" s="239"/>
      <c r="AG405" s="246"/>
      <c r="AH405" s="239"/>
      <c r="AI405" s="239"/>
      <c r="AJ405" s="243"/>
      <c r="AL405" s="239"/>
      <c r="AM405" s="239"/>
      <c r="AN405" s="239"/>
      <c r="AR405" s="240"/>
    </row>
    <row r="406" spans="11:44">
      <c r="K406" s="210"/>
      <c r="N406" s="1"/>
      <c r="O406" s="241"/>
      <c r="P406" s="241"/>
      <c r="Q406" s="241"/>
      <c r="R406" s="241"/>
      <c r="W406" s="241"/>
      <c r="X406" s="1"/>
      <c r="Y406" s="1"/>
      <c r="Z406" s="240"/>
      <c r="AA406" s="240"/>
      <c r="AC406" s="240"/>
      <c r="AD406" s="240"/>
      <c r="AE406" s="215"/>
      <c r="AF406" s="239"/>
      <c r="AG406" s="246"/>
      <c r="AH406" s="239"/>
      <c r="AI406" s="239"/>
      <c r="AJ406" s="243"/>
      <c r="AL406" s="239"/>
      <c r="AM406" s="239"/>
      <c r="AN406" s="239"/>
      <c r="AR406" s="240"/>
    </row>
    <row r="407" spans="11:44">
      <c r="K407" s="210"/>
      <c r="N407" s="1"/>
      <c r="O407" s="241"/>
      <c r="P407" s="241"/>
      <c r="Q407" s="241"/>
      <c r="R407" s="241"/>
      <c r="W407" s="241"/>
      <c r="X407" s="1"/>
      <c r="Y407" s="1"/>
      <c r="Z407" s="240"/>
      <c r="AA407" s="240"/>
      <c r="AC407" s="240"/>
      <c r="AD407" s="240"/>
      <c r="AE407" s="215"/>
      <c r="AF407" s="239"/>
      <c r="AG407" s="246"/>
      <c r="AH407" s="239"/>
      <c r="AI407" s="239"/>
      <c r="AJ407" s="243"/>
      <c r="AL407" s="239"/>
      <c r="AM407" s="239"/>
      <c r="AN407" s="239"/>
      <c r="AR407" s="240"/>
    </row>
    <row r="408" spans="11:44">
      <c r="K408" s="210"/>
      <c r="N408" s="1"/>
      <c r="O408" s="241"/>
      <c r="P408" s="241"/>
      <c r="Q408" s="241"/>
      <c r="R408" s="241"/>
      <c r="W408" s="241"/>
      <c r="X408" s="1"/>
      <c r="Y408" s="1"/>
      <c r="Z408" s="240"/>
      <c r="AA408" s="240"/>
      <c r="AC408" s="240"/>
      <c r="AD408" s="240"/>
      <c r="AE408" s="215"/>
      <c r="AF408" s="239"/>
      <c r="AG408" s="246"/>
      <c r="AH408" s="239"/>
      <c r="AI408" s="239"/>
      <c r="AJ408" s="243"/>
      <c r="AL408" s="239"/>
      <c r="AM408" s="239"/>
      <c r="AN408" s="239"/>
      <c r="AR408" s="240"/>
    </row>
    <row r="409" spans="11:44">
      <c r="K409" s="210"/>
      <c r="N409" s="1"/>
      <c r="O409" s="241"/>
      <c r="P409" s="241"/>
      <c r="Q409" s="241"/>
      <c r="R409" s="241"/>
      <c r="W409" s="241"/>
      <c r="X409" s="1"/>
      <c r="Y409" s="1"/>
      <c r="Z409" s="240"/>
      <c r="AA409" s="240"/>
      <c r="AC409" s="240"/>
      <c r="AD409" s="240"/>
      <c r="AE409" s="215"/>
      <c r="AF409" s="239"/>
      <c r="AG409" s="246"/>
      <c r="AH409" s="239"/>
      <c r="AI409" s="239"/>
      <c r="AJ409" s="243"/>
      <c r="AL409" s="239"/>
      <c r="AM409" s="239"/>
      <c r="AN409" s="239"/>
      <c r="AR409" s="240"/>
    </row>
    <row r="410" spans="11:44">
      <c r="K410" s="210"/>
      <c r="N410" s="1"/>
      <c r="O410" s="241"/>
      <c r="P410" s="241"/>
      <c r="Q410" s="241"/>
      <c r="R410" s="241"/>
      <c r="W410" s="241"/>
      <c r="X410" s="1"/>
      <c r="Y410" s="1"/>
      <c r="Z410" s="240"/>
      <c r="AA410" s="240"/>
      <c r="AC410" s="240"/>
      <c r="AD410" s="240"/>
      <c r="AE410" s="215"/>
      <c r="AF410" s="239"/>
      <c r="AG410" s="246"/>
      <c r="AH410" s="239"/>
      <c r="AI410" s="239"/>
      <c r="AJ410" s="243"/>
      <c r="AL410" s="239"/>
      <c r="AM410" s="239"/>
      <c r="AN410" s="239"/>
      <c r="AR410" s="240"/>
    </row>
    <row r="411" spans="11:44">
      <c r="K411" s="210"/>
      <c r="N411" s="1"/>
      <c r="O411" s="241"/>
      <c r="P411" s="241"/>
      <c r="Q411" s="241"/>
      <c r="R411" s="241"/>
      <c r="W411" s="241"/>
      <c r="X411" s="1"/>
      <c r="Y411" s="1"/>
      <c r="Z411" s="240"/>
      <c r="AA411" s="240"/>
      <c r="AC411" s="240"/>
      <c r="AD411" s="240"/>
      <c r="AE411" s="215"/>
      <c r="AF411" s="239"/>
      <c r="AG411" s="246"/>
      <c r="AH411" s="239"/>
      <c r="AI411" s="239"/>
      <c r="AJ411" s="243"/>
      <c r="AL411" s="239"/>
      <c r="AM411" s="239"/>
      <c r="AN411" s="239"/>
      <c r="AR411" s="240"/>
    </row>
    <row r="412" spans="11:44">
      <c r="K412" s="210"/>
      <c r="N412" s="1"/>
      <c r="O412" s="241"/>
      <c r="P412" s="241"/>
      <c r="Q412" s="241"/>
      <c r="R412" s="241"/>
      <c r="W412" s="241"/>
      <c r="X412" s="1"/>
      <c r="Y412" s="1"/>
      <c r="Z412" s="240"/>
      <c r="AA412" s="240"/>
      <c r="AC412" s="240"/>
      <c r="AD412" s="240"/>
      <c r="AE412" s="215"/>
      <c r="AF412" s="239"/>
      <c r="AG412" s="246"/>
      <c r="AH412" s="239"/>
      <c r="AI412" s="239"/>
      <c r="AJ412" s="243"/>
      <c r="AL412" s="239"/>
      <c r="AM412" s="239"/>
      <c r="AN412" s="239"/>
      <c r="AR412" s="240"/>
    </row>
    <row r="413" spans="11:44">
      <c r="K413" s="210"/>
      <c r="N413" s="1"/>
      <c r="O413" s="241"/>
      <c r="P413" s="241"/>
      <c r="Q413" s="241"/>
      <c r="R413" s="241"/>
      <c r="W413" s="241"/>
      <c r="X413" s="1"/>
      <c r="Y413" s="1"/>
      <c r="Z413" s="240"/>
      <c r="AA413" s="240"/>
      <c r="AC413" s="240"/>
      <c r="AD413" s="240"/>
      <c r="AE413" s="215"/>
      <c r="AF413" s="239"/>
      <c r="AG413" s="246"/>
      <c r="AH413" s="239"/>
      <c r="AI413" s="239"/>
      <c r="AJ413" s="243"/>
      <c r="AL413" s="239"/>
      <c r="AM413" s="239"/>
      <c r="AN413" s="239"/>
      <c r="AR413" s="240"/>
    </row>
    <row r="414" spans="11:44">
      <c r="K414" s="210"/>
      <c r="N414" s="1"/>
      <c r="O414" s="241"/>
      <c r="P414" s="241"/>
      <c r="Q414" s="241"/>
      <c r="R414" s="241"/>
      <c r="W414" s="241"/>
      <c r="X414" s="1"/>
      <c r="Y414" s="1"/>
      <c r="Z414" s="240"/>
      <c r="AA414" s="240"/>
      <c r="AC414" s="240"/>
      <c r="AD414" s="240"/>
      <c r="AE414" s="215"/>
      <c r="AF414" s="239"/>
      <c r="AG414" s="246"/>
      <c r="AH414" s="239"/>
      <c r="AI414" s="239"/>
      <c r="AJ414" s="243"/>
      <c r="AL414" s="239"/>
      <c r="AM414" s="239"/>
      <c r="AN414" s="239"/>
      <c r="AR414" s="240"/>
    </row>
    <row r="415" spans="11:44">
      <c r="K415" s="210"/>
      <c r="N415" s="1"/>
      <c r="O415" s="241"/>
      <c r="P415" s="241"/>
      <c r="Q415" s="241"/>
      <c r="R415" s="241"/>
      <c r="W415" s="241"/>
      <c r="X415" s="1"/>
      <c r="Y415" s="1"/>
      <c r="Z415" s="240"/>
      <c r="AA415" s="240"/>
      <c r="AC415" s="240"/>
      <c r="AD415" s="240"/>
      <c r="AE415" s="215"/>
      <c r="AF415" s="239"/>
      <c r="AG415" s="246"/>
      <c r="AH415" s="239"/>
      <c r="AI415" s="239"/>
      <c r="AJ415" s="243"/>
      <c r="AL415" s="239"/>
      <c r="AM415" s="239"/>
      <c r="AN415" s="239"/>
      <c r="AR415" s="240"/>
    </row>
    <row r="416" spans="11:44">
      <c r="K416" s="210"/>
      <c r="N416" s="1"/>
      <c r="O416" s="241"/>
      <c r="P416" s="241"/>
      <c r="Q416" s="241"/>
      <c r="R416" s="241"/>
      <c r="W416" s="241"/>
      <c r="X416" s="1"/>
      <c r="Y416" s="1"/>
      <c r="Z416" s="240"/>
      <c r="AA416" s="240"/>
      <c r="AC416" s="240"/>
      <c r="AD416" s="240"/>
      <c r="AE416" s="215"/>
      <c r="AF416" s="239"/>
      <c r="AG416" s="246"/>
      <c r="AH416" s="239"/>
      <c r="AI416" s="239"/>
      <c r="AJ416" s="243"/>
      <c r="AL416" s="239"/>
      <c r="AM416" s="239"/>
      <c r="AN416" s="239"/>
      <c r="AR416" s="240"/>
    </row>
    <row r="417" spans="11:44">
      <c r="K417" s="210"/>
      <c r="N417" s="1"/>
      <c r="O417" s="241"/>
      <c r="P417" s="241"/>
      <c r="Q417" s="241"/>
      <c r="R417" s="241"/>
      <c r="W417" s="241"/>
      <c r="X417" s="1"/>
      <c r="Y417" s="1"/>
      <c r="Z417" s="240"/>
      <c r="AA417" s="240"/>
      <c r="AC417" s="240"/>
      <c r="AD417" s="240"/>
      <c r="AE417" s="215"/>
      <c r="AF417" s="239"/>
      <c r="AG417" s="246"/>
      <c r="AH417" s="239"/>
      <c r="AI417" s="239"/>
      <c r="AJ417" s="243"/>
      <c r="AL417" s="239"/>
      <c r="AM417" s="239"/>
      <c r="AN417" s="239"/>
      <c r="AR417" s="240"/>
    </row>
    <row r="418" spans="11:44">
      <c r="K418" s="210"/>
      <c r="N418" s="1"/>
      <c r="O418" s="241"/>
      <c r="P418" s="241"/>
      <c r="Q418" s="241"/>
      <c r="R418" s="241"/>
      <c r="W418" s="241"/>
      <c r="X418" s="1"/>
      <c r="Y418" s="1"/>
      <c r="Z418" s="240"/>
      <c r="AA418" s="240"/>
      <c r="AC418" s="240"/>
      <c r="AD418" s="240"/>
      <c r="AE418" s="215"/>
      <c r="AF418" s="239"/>
      <c r="AG418" s="246"/>
      <c r="AH418" s="239"/>
      <c r="AI418" s="239"/>
      <c r="AJ418" s="243"/>
      <c r="AL418" s="239"/>
      <c r="AM418" s="239"/>
      <c r="AN418" s="239"/>
      <c r="AR418" s="240"/>
    </row>
    <row r="419" spans="11:44">
      <c r="K419" s="210"/>
      <c r="N419" s="1"/>
      <c r="O419" s="241"/>
      <c r="P419" s="241"/>
      <c r="Q419" s="241"/>
      <c r="R419" s="241"/>
      <c r="W419" s="241"/>
      <c r="X419" s="1"/>
      <c r="Y419" s="1"/>
      <c r="Z419" s="240"/>
      <c r="AA419" s="240"/>
      <c r="AC419" s="240"/>
      <c r="AD419" s="240"/>
      <c r="AE419" s="215"/>
      <c r="AF419" s="239"/>
      <c r="AG419" s="246"/>
      <c r="AH419" s="239"/>
      <c r="AI419" s="239"/>
      <c r="AJ419" s="243"/>
      <c r="AL419" s="239"/>
      <c r="AM419" s="239"/>
      <c r="AN419" s="239"/>
      <c r="AR419" s="240"/>
    </row>
    <row r="420" spans="11:44">
      <c r="K420" s="210"/>
      <c r="N420" s="1"/>
      <c r="O420" s="241"/>
      <c r="P420" s="241"/>
      <c r="Q420" s="241"/>
      <c r="R420" s="241"/>
      <c r="W420" s="241"/>
      <c r="X420" s="1"/>
      <c r="Y420" s="1"/>
      <c r="Z420" s="240"/>
      <c r="AA420" s="240"/>
      <c r="AC420" s="240"/>
      <c r="AD420" s="240"/>
      <c r="AE420" s="215"/>
      <c r="AF420" s="239"/>
      <c r="AG420" s="246"/>
      <c r="AH420" s="239"/>
      <c r="AI420" s="239"/>
      <c r="AJ420" s="243"/>
      <c r="AL420" s="239"/>
      <c r="AM420" s="239"/>
      <c r="AN420" s="239"/>
      <c r="AR420" s="240"/>
    </row>
    <row r="421" spans="11:44">
      <c r="K421" s="210"/>
      <c r="N421" s="1"/>
      <c r="O421" s="241"/>
      <c r="P421" s="241"/>
      <c r="Q421" s="241"/>
      <c r="R421" s="241"/>
      <c r="W421" s="241"/>
      <c r="X421" s="1"/>
      <c r="Y421" s="1"/>
      <c r="Z421" s="240"/>
      <c r="AA421" s="240"/>
      <c r="AC421" s="240"/>
      <c r="AD421" s="240"/>
      <c r="AE421" s="215"/>
      <c r="AF421" s="239"/>
      <c r="AG421" s="246"/>
      <c r="AH421" s="239"/>
      <c r="AI421" s="239"/>
      <c r="AJ421" s="243"/>
      <c r="AL421" s="239"/>
      <c r="AM421" s="239"/>
      <c r="AN421" s="239"/>
      <c r="AR421" s="240"/>
    </row>
    <row r="422" spans="11:44">
      <c r="K422" s="210"/>
      <c r="N422" s="1"/>
      <c r="O422" s="241"/>
      <c r="P422" s="241"/>
      <c r="Q422" s="241"/>
      <c r="R422" s="241"/>
      <c r="W422" s="241"/>
      <c r="X422" s="1"/>
      <c r="Y422" s="1"/>
      <c r="Z422" s="240"/>
      <c r="AA422" s="240"/>
      <c r="AC422" s="240"/>
      <c r="AD422" s="240"/>
      <c r="AE422" s="215"/>
      <c r="AF422" s="239"/>
      <c r="AG422" s="246"/>
      <c r="AH422" s="239"/>
      <c r="AI422" s="239"/>
      <c r="AJ422" s="243"/>
      <c r="AL422" s="239"/>
      <c r="AM422" s="239"/>
      <c r="AN422" s="239"/>
      <c r="AR422" s="240"/>
    </row>
    <row r="423" spans="11:44">
      <c r="K423" s="210"/>
      <c r="N423" s="1"/>
      <c r="O423" s="241"/>
      <c r="P423" s="241"/>
      <c r="Q423" s="241"/>
      <c r="R423" s="241"/>
      <c r="W423" s="241"/>
      <c r="X423" s="1"/>
      <c r="Y423" s="1"/>
      <c r="Z423" s="240"/>
      <c r="AA423" s="240"/>
      <c r="AC423" s="240"/>
      <c r="AD423" s="240"/>
      <c r="AE423" s="215"/>
      <c r="AF423" s="239"/>
      <c r="AG423" s="246"/>
      <c r="AH423" s="239"/>
      <c r="AI423" s="239"/>
      <c r="AJ423" s="243"/>
      <c r="AL423" s="239"/>
      <c r="AM423" s="239"/>
      <c r="AN423" s="239"/>
      <c r="AR423" s="240"/>
    </row>
    <row r="424" spans="11:44">
      <c r="K424" s="210"/>
      <c r="N424" s="1"/>
      <c r="O424" s="241"/>
      <c r="P424" s="241"/>
      <c r="Q424" s="241"/>
      <c r="R424" s="241"/>
      <c r="W424" s="241"/>
      <c r="X424" s="1"/>
      <c r="Y424" s="1"/>
      <c r="Z424" s="240"/>
      <c r="AA424" s="240"/>
      <c r="AC424" s="240"/>
      <c r="AD424" s="240"/>
      <c r="AE424" s="215"/>
      <c r="AF424" s="239"/>
      <c r="AG424" s="246"/>
      <c r="AH424" s="239"/>
      <c r="AI424" s="239"/>
      <c r="AJ424" s="243"/>
      <c r="AL424" s="239"/>
      <c r="AM424" s="239"/>
      <c r="AN424" s="239"/>
      <c r="AR424" s="240"/>
    </row>
    <row r="425" spans="11:44">
      <c r="K425" s="210"/>
      <c r="N425" s="1"/>
      <c r="O425" s="241"/>
      <c r="P425" s="241"/>
      <c r="Q425" s="241"/>
      <c r="R425" s="241"/>
      <c r="W425" s="241"/>
      <c r="X425" s="1"/>
      <c r="Y425" s="1"/>
      <c r="Z425" s="240"/>
      <c r="AA425" s="240"/>
      <c r="AC425" s="240"/>
      <c r="AD425" s="240"/>
      <c r="AE425" s="215"/>
      <c r="AF425" s="239"/>
      <c r="AG425" s="246"/>
      <c r="AH425" s="239"/>
      <c r="AI425" s="239"/>
      <c r="AJ425" s="243"/>
      <c r="AL425" s="239"/>
      <c r="AM425" s="239"/>
      <c r="AN425" s="239"/>
      <c r="AR425" s="240"/>
    </row>
    <row r="426" spans="11:44">
      <c r="K426" s="210"/>
      <c r="N426" s="1"/>
      <c r="O426" s="241"/>
      <c r="P426" s="241"/>
      <c r="Q426" s="241"/>
      <c r="R426" s="241"/>
      <c r="W426" s="241"/>
      <c r="X426" s="1"/>
      <c r="Y426" s="1"/>
      <c r="Z426" s="240"/>
      <c r="AA426" s="240"/>
      <c r="AC426" s="240"/>
      <c r="AD426" s="240"/>
      <c r="AE426" s="215"/>
      <c r="AF426" s="239"/>
      <c r="AG426" s="246"/>
      <c r="AH426" s="239"/>
      <c r="AI426" s="239"/>
      <c r="AJ426" s="243"/>
      <c r="AL426" s="239"/>
      <c r="AM426" s="239"/>
      <c r="AN426" s="239"/>
      <c r="AR426" s="240"/>
    </row>
    <row r="427" spans="11:44">
      <c r="K427" s="210"/>
      <c r="N427" s="1"/>
      <c r="O427" s="241"/>
      <c r="P427" s="241"/>
      <c r="Q427" s="241"/>
      <c r="R427" s="241"/>
      <c r="W427" s="241"/>
      <c r="X427" s="1"/>
      <c r="Y427" s="1"/>
      <c r="Z427" s="240"/>
      <c r="AA427" s="240"/>
      <c r="AC427" s="240"/>
      <c r="AD427" s="240"/>
      <c r="AE427" s="215"/>
      <c r="AF427" s="239"/>
      <c r="AG427" s="246"/>
      <c r="AH427" s="239"/>
      <c r="AI427" s="239"/>
      <c r="AJ427" s="243"/>
      <c r="AL427" s="239"/>
      <c r="AM427" s="239"/>
      <c r="AN427" s="239"/>
      <c r="AR427" s="240"/>
    </row>
    <row r="428" spans="11:44">
      <c r="K428" s="210"/>
      <c r="N428" s="1"/>
      <c r="O428" s="241"/>
      <c r="P428" s="241"/>
      <c r="Q428" s="241"/>
      <c r="R428" s="241"/>
      <c r="W428" s="241"/>
      <c r="X428" s="1"/>
      <c r="Y428" s="1"/>
      <c r="Z428" s="240"/>
      <c r="AA428" s="240"/>
      <c r="AC428" s="240"/>
      <c r="AD428" s="240"/>
      <c r="AE428" s="215"/>
      <c r="AF428" s="239"/>
      <c r="AG428" s="246"/>
      <c r="AH428" s="239"/>
      <c r="AI428" s="239"/>
      <c r="AJ428" s="243"/>
      <c r="AL428" s="239"/>
      <c r="AM428" s="239"/>
      <c r="AN428" s="239"/>
      <c r="AR428" s="240"/>
    </row>
    <row r="429" spans="11:44">
      <c r="K429" s="210"/>
      <c r="N429" s="1"/>
      <c r="O429" s="241"/>
      <c r="P429" s="241"/>
      <c r="Q429" s="241"/>
      <c r="R429" s="241"/>
      <c r="W429" s="241"/>
      <c r="X429" s="1"/>
      <c r="Y429" s="1"/>
      <c r="Z429" s="240"/>
      <c r="AA429" s="240"/>
      <c r="AC429" s="240"/>
      <c r="AD429" s="240"/>
      <c r="AE429" s="215"/>
      <c r="AF429" s="239"/>
      <c r="AG429" s="246"/>
      <c r="AH429" s="239"/>
      <c r="AI429" s="239"/>
      <c r="AJ429" s="243"/>
      <c r="AL429" s="239"/>
      <c r="AM429" s="239"/>
      <c r="AN429" s="239"/>
      <c r="AR429" s="240"/>
    </row>
    <row r="430" spans="11:44">
      <c r="K430" s="210"/>
      <c r="N430" s="1"/>
      <c r="O430" s="241"/>
      <c r="P430" s="241"/>
      <c r="Q430" s="241"/>
      <c r="R430" s="241"/>
      <c r="W430" s="241"/>
      <c r="X430" s="1"/>
      <c r="Y430" s="1"/>
      <c r="Z430" s="240"/>
      <c r="AA430" s="240"/>
      <c r="AC430" s="240"/>
      <c r="AD430" s="240"/>
      <c r="AE430" s="215"/>
      <c r="AF430" s="239"/>
      <c r="AG430" s="246"/>
      <c r="AH430" s="239"/>
      <c r="AI430" s="239"/>
      <c r="AJ430" s="243"/>
      <c r="AL430" s="239"/>
      <c r="AM430" s="239"/>
      <c r="AN430" s="239"/>
      <c r="AR430" s="240"/>
    </row>
    <row r="431" spans="11:44">
      <c r="K431" s="210"/>
      <c r="N431" s="1"/>
      <c r="O431" s="241"/>
      <c r="P431" s="241"/>
      <c r="Q431" s="241"/>
      <c r="R431" s="241"/>
      <c r="W431" s="241"/>
      <c r="X431" s="1"/>
      <c r="Y431" s="1"/>
      <c r="Z431" s="240"/>
      <c r="AA431" s="240"/>
      <c r="AC431" s="240"/>
      <c r="AD431" s="240"/>
      <c r="AE431" s="215"/>
      <c r="AF431" s="239"/>
      <c r="AG431" s="246"/>
      <c r="AH431" s="239"/>
      <c r="AI431" s="239"/>
      <c r="AJ431" s="243"/>
      <c r="AL431" s="239"/>
      <c r="AM431" s="239"/>
      <c r="AN431" s="239"/>
      <c r="AR431" s="240"/>
    </row>
    <row r="432" spans="11:44">
      <c r="K432" s="210"/>
      <c r="N432" s="1"/>
      <c r="O432" s="241"/>
      <c r="P432" s="241"/>
      <c r="Q432" s="241"/>
      <c r="R432" s="241"/>
      <c r="W432" s="241"/>
      <c r="X432" s="1"/>
      <c r="Y432" s="1"/>
      <c r="Z432" s="240"/>
      <c r="AA432" s="240"/>
      <c r="AC432" s="240"/>
      <c r="AD432" s="240"/>
      <c r="AE432" s="215"/>
      <c r="AF432" s="239"/>
      <c r="AG432" s="246"/>
      <c r="AH432" s="239"/>
      <c r="AI432" s="239"/>
      <c r="AJ432" s="243"/>
      <c r="AL432" s="239"/>
      <c r="AM432" s="239"/>
      <c r="AN432" s="239"/>
      <c r="AR432" s="240"/>
    </row>
    <row r="433" spans="11:44">
      <c r="K433" s="210"/>
      <c r="N433" s="1"/>
      <c r="O433" s="241"/>
      <c r="P433" s="241"/>
      <c r="Q433" s="241"/>
      <c r="R433" s="241"/>
      <c r="W433" s="241"/>
      <c r="X433" s="1"/>
      <c r="Y433" s="1"/>
      <c r="Z433" s="240"/>
      <c r="AA433" s="240"/>
      <c r="AC433" s="240"/>
      <c r="AD433" s="240"/>
      <c r="AE433" s="215"/>
      <c r="AF433" s="239"/>
      <c r="AG433" s="246"/>
      <c r="AH433" s="239"/>
      <c r="AI433" s="239"/>
      <c r="AJ433" s="243"/>
      <c r="AL433" s="239"/>
      <c r="AM433" s="239"/>
      <c r="AN433" s="239"/>
      <c r="AR433" s="240"/>
    </row>
    <row r="434" spans="11:44">
      <c r="K434" s="210"/>
      <c r="N434" s="1"/>
      <c r="O434" s="241"/>
      <c r="P434" s="241"/>
      <c r="Q434" s="241"/>
      <c r="R434" s="241"/>
      <c r="W434" s="241"/>
      <c r="X434" s="1"/>
      <c r="Y434" s="1"/>
      <c r="Z434" s="240"/>
      <c r="AA434" s="240"/>
      <c r="AC434" s="240"/>
      <c r="AD434" s="240"/>
      <c r="AE434" s="215"/>
      <c r="AF434" s="239"/>
      <c r="AG434" s="246"/>
      <c r="AH434" s="239"/>
      <c r="AI434" s="239"/>
      <c r="AJ434" s="243"/>
      <c r="AL434" s="239"/>
      <c r="AM434" s="239"/>
      <c r="AN434" s="239"/>
      <c r="AR434" s="240"/>
    </row>
    <row r="435" spans="11:44">
      <c r="K435" s="210"/>
      <c r="N435" s="1"/>
      <c r="O435" s="241"/>
      <c r="P435" s="241"/>
      <c r="Q435" s="241"/>
      <c r="R435" s="241"/>
      <c r="W435" s="241"/>
      <c r="X435" s="1"/>
      <c r="Y435" s="1"/>
      <c r="Z435" s="240"/>
      <c r="AA435" s="240"/>
      <c r="AC435" s="240"/>
      <c r="AD435" s="240"/>
      <c r="AE435" s="215"/>
      <c r="AF435" s="239"/>
      <c r="AG435" s="246"/>
      <c r="AH435" s="239"/>
      <c r="AI435" s="239"/>
      <c r="AJ435" s="243"/>
      <c r="AL435" s="239"/>
      <c r="AM435" s="239"/>
      <c r="AN435" s="239"/>
      <c r="AR435" s="240"/>
    </row>
    <row r="436" spans="11:44">
      <c r="K436" s="210"/>
      <c r="N436" s="1"/>
      <c r="O436" s="241"/>
      <c r="P436" s="241"/>
      <c r="Q436" s="241"/>
      <c r="R436" s="241"/>
      <c r="W436" s="241"/>
      <c r="X436" s="1"/>
      <c r="Y436" s="1"/>
      <c r="Z436" s="240"/>
      <c r="AA436" s="240"/>
      <c r="AC436" s="240"/>
      <c r="AD436" s="240"/>
      <c r="AE436" s="215"/>
      <c r="AF436" s="239"/>
      <c r="AG436" s="246"/>
      <c r="AH436" s="239"/>
      <c r="AI436" s="239"/>
      <c r="AJ436" s="243"/>
      <c r="AL436" s="239"/>
      <c r="AM436" s="239"/>
      <c r="AN436" s="239"/>
      <c r="AR436" s="240"/>
    </row>
    <row r="437" spans="11:44">
      <c r="K437" s="210"/>
      <c r="N437" s="1"/>
      <c r="O437" s="241"/>
      <c r="P437" s="241"/>
      <c r="Q437" s="241"/>
      <c r="R437" s="241"/>
      <c r="W437" s="241"/>
      <c r="X437" s="1"/>
      <c r="Y437" s="1"/>
      <c r="Z437" s="240"/>
      <c r="AA437" s="240"/>
      <c r="AC437" s="240"/>
      <c r="AD437" s="240"/>
      <c r="AE437" s="215"/>
      <c r="AF437" s="239"/>
      <c r="AG437" s="246"/>
      <c r="AH437" s="239"/>
      <c r="AI437" s="239"/>
      <c r="AJ437" s="243"/>
      <c r="AL437" s="239"/>
      <c r="AM437" s="239"/>
      <c r="AN437" s="239"/>
      <c r="AR437" s="240"/>
    </row>
    <row r="438" spans="11:44">
      <c r="K438" s="210"/>
      <c r="N438" s="1"/>
      <c r="O438" s="241"/>
      <c r="P438" s="241"/>
      <c r="Q438" s="241"/>
      <c r="R438" s="241"/>
      <c r="W438" s="241"/>
      <c r="X438" s="1"/>
      <c r="Y438" s="1"/>
      <c r="Z438" s="240"/>
      <c r="AA438" s="240"/>
      <c r="AC438" s="240"/>
      <c r="AD438" s="240"/>
      <c r="AE438" s="215"/>
      <c r="AF438" s="239"/>
      <c r="AG438" s="246"/>
      <c r="AH438" s="239"/>
      <c r="AI438" s="239"/>
      <c r="AJ438" s="243"/>
      <c r="AL438" s="239"/>
      <c r="AM438" s="239"/>
      <c r="AN438" s="239"/>
      <c r="AR438" s="240"/>
    </row>
    <row r="439" spans="11:44">
      <c r="K439" s="210"/>
      <c r="N439" s="1"/>
      <c r="O439" s="241"/>
      <c r="P439" s="241"/>
      <c r="Q439" s="241"/>
      <c r="R439" s="241"/>
      <c r="W439" s="241"/>
      <c r="X439" s="1"/>
      <c r="Y439" s="1"/>
      <c r="Z439" s="240"/>
      <c r="AA439" s="240"/>
      <c r="AC439" s="240"/>
      <c r="AD439" s="240"/>
      <c r="AE439" s="215"/>
      <c r="AF439" s="239"/>
      <c r="AG439" s="246"/>
      <c r="AH439" s="239"/>
      <c r="AI439" s="239"/>
      <c r="AJ439" s="243"/>
      <c r="AL439" s="239"/>
      <c r="AM439" s="239"/>
      <c r="AN439" s="239"/>
      <c r="AR439" s="240"/>
    </row>
    <row r="440" spans="11:44">
      <c r="K440" s="210"/>
      <c r="N440" s="1"/>
      <c r="O440" s="241"/>
      <c r="P440" s="241"/>
      <c r="Q440" s="241"/>
      <c r="R440" s="241"/>
      <c r="W440" s="241"/>
      <c r="X440" s="1"/>
      <c r="Y440" s="1"/>
      <c r="Z440" s="240"/>
      <c r="AA440" s="240"/>
      <c r="AC440" s="240"/>
      <c r="AD440" s="240"/>
      <c r="AE440" s="215"/>
      <c r="AF440" s="239"/>
      <c r="AG440" s="246"/>
      <c r="AH440" s="239"/>
      <c r="AI440" s="239"/>
      <c r="AJ440" s="243"/>
      <c r="AL440" s="239"/>
      <c r="AM440" s="239"/>
      <c r="AN440" s="239"/>
      <c r="AR440" s="240"/>
    </row>
    <row r="441" spans="11:44">
      <c r="K441" s="210"/>
      <c r="N441" s="1"/>
      <c r="O441" s="241"/>
      <c r="P441" s="241"/>
      <c r="Q441" s="241"/>
      <c r="R441" s="241"/>
      <c r="W441" s="241"/>
      <c r="X441" s="1"/>
      <c r="Y441" s="1"/>
      <c r="Z441" s="240"/>
      <c r="AA441" s="240"/>
      <c r="AC441" s="240"/>
      <c r="AD441" s="240"/>
      <c r="AE441" s="215"/>
      <c r="AF441" s="239"/>
      <c r="AG441" s="246"/>
      <c r="AH441" s="239"/>
      <c r="AI441" s="239"/>
      <c r="AJ441" s="243"/>
      <c r="AL441" s="239"/>
      <c r="AM441" s="239"/>
      <c r="AN441" s="239"/>
      <c r="AR441" s="240"/>
    </row>
    <row r="442" spans="11:44">
      <c r="K442" s="210"/>
      <c r="N442" s="1"/>
      <c r="O442" s="241"/>
      <c r="P442" s="241"/>
      <c r="Q442" s="241"/>
      <c r="R442" s="241"/>
      <c r="W442" s="241"/>
      <c r="X442" s="1"/>
      <c r="Y442" s="1"/>
      <c r="Z442" s="240"/>
      <c r="AA442" s="240"/>
      <c r="AC442" s="240"/>
      <c r="AD442" s="240"/>
      <c r="AE442" s="215"/>
      <c r="AF442" s="239"/>
      <c r="AG442" s="246"/>
      <c r="AH442" s="239"/>
      <c r="AI442" s="239"/>
      <c r="AJ442" s="243"/>
      <c r="AL442" s="239"/>
      <c r="AM442" s="239"/>
      <c r="AN442" s="239"/>
      <c r="AR442" s="240"/>
    </row>
    <row r="443" spans="11:44">
      <c r="K443" s="210"/>
      <c r="N443" s="1"/>
      <c r="O443" s="241"/>
      <c r="P443" s="241"/>
      <c r="Q443" s="241"/>
      <c r="R443" s="241"/>
      <c r="W443" s="241"/>
      <c r="X443" s="1"/>
      <c r="Y443" s="1"/>
      <c r="Z443" s="240"/>
      <c r="AA443" s="240"/>
      <c r="AC443" s="240"/>
      <c r="AD443" s="240"/>
      <c r="AE443" s="215"/>
      <c r="AF443" s="239"/>
      <c r="AG443" s="246"/>
      <c r="AH443" s="239"/>
      <c r="AI443" s="239"/>
      <c r="AJ443" s="243"/>
      <c r="AL443" s="239"/>
      <c r="AM443" s="239"/>
      <c r="AN443" s="239"/>
      <c r="AR443" s="240"/>
    </row>
    <row r="444" spans="11:44">
      <c r="K444" s="210"/>
      <c r="N444" s="1"/>
      <c r="O444" s="241"/>
      <c r="P444" s="241"/>
      <c r="Q444" s="241"/>
      <c r="R444" s="241"/>
      <c r="W444" s="241"/>
      <c r="X444" s="1"/>
      <c r="Y444" s="1"/>
      <c r="Z444" s="240"/>
      <c r="AA444" s="240"/>
      <c r="AC444" s="240"/>
      <c r="AD444" s="240"/>
      <c r="AE444" s="215"/>
      <c r="AF444" s="239"/>
      <c r="AG444" s="246"/>
      <c r="AH444" s="239"/>
      <c r="AI444" s="239"/>
      <c r="AJ444" s="243"/>
      <c r="AL444" s="239"/>
      <c r="AM444" s="239"/>
      <c r="AN444" s="239"/>
      <c r="AR444" s="240"/>
    </row>
    <row r="445" spans="11:44">
      <c r="K445" s="210"/>
      <c r="N445" s="1"/>
      <c r="O445" s="241"/>
      <c r="P445" s="241"/>
      <c r="Q445" s="241"/>
      <c r="R445" s="241"/>
      <c r="W445" s="241"/>
      <c r="X445" s="1"/>
      <c r="Y445" s="1"/>
      <c r="Z445" s="240"/>
      <c r="AA445" s="240"/>
      <c r="AC445" s="240"/>
      <c r="AD445" s="240"/>
      <c r="AE445" s="215"/>
      <c r="AF445" s="239"/>
      <c r="AG445" s="246"/>
      <c r="AH445" s="239"/>
      <c r="AI445" s="239"/>
      <c r="AJ445" s="243"/>
      <c r="AL445" s="239"/>
      <c r="AM445" s="239"/>
      <c r="AN445" s="239"/>
      <c r="AR445" s="240"/>
    </row>
    <row r="446" spans="11:44">
      <c r="K446" s="210"/>
      <c r="N446" s="1"/>
      <c r="O446" s="241"/>
      <c r="P446" s="241"/>
      <c r="Q446" s="241"/>
      <c r="R446" s="241"/>
      <c r="W446" s="241"/>
      <c r="X446" s="1"/>
      <c r="Y446" s="1"/>
      <c r="Z446" s="240"/>
      <c r="AA446" s="240"/>
      <c r="AC446" s="240"/>
      <c r="AD446" s="240"/>
      <c r="AE446" s="215"/>
      <c r="AF446" s="239"/>
      <c r="AG446" s="246"/>
      <c r="AH446" s="239"/>
      <c r="AI446" s="239"/>
      <c r="AJ446" s="243"/>
      <c r="AL446" s="239"/>
      <c r="AM446" s="239"/>
      <c r="AN446" s="239"/>
      <c r="AR446" s="240"/>
    </row>
    <row r="447" spans="11:44">
      <c r="K447" s="210"/>
      <c r="N447" s="1"/>
      <c r="O447" s="241"/>
      <c r="P447" s="241"/>
      <c r="Q447" s="241"/>
      <c r="R447" s="241"/>
      <c r="W447" s="241"/>
      <c r="X447" s="1"/>
      <c r="Y447" s="1"/>
      <c r="Z447" s="240"/>
      <c r="AA447" s="240"/>
      <c r="AC447" s="240"/>
      <c r="AD447" s="240"/>
      <c r="AE447" s="215"/>
      <c r="AF447" s="239"/>
      <c r="AG447" s="246"/>
      <c r="AH447" s="239"/>
      <c r="AI447" s="239"/>
      <c r="AJ447" s="243"/>
      <c r="AL447" s="239"/>
      <c r="AM447" s="239"/>
      <c r="AN447" s="239"/>
      <c r="AR447" s="240"/>
    </row>
    <row r="448" spans="11:44">
      <c r="K448" s="210"/>
      <c r="N448" s="1"/>
      <c r="O448" s="241"/>
      <c r="P448" s="241"/>
      <c r="Q448" s="241"/>
      <c r="R448" s="241"/>
      <c r="W448" s="241"/>
      <c r="X448" s="1"/>
      <c r="Y448" s="1"/>
      <c r="Z448" s="240"/>
      <c r="AA448" s="240"/>
      <c r="AC448" s="240"/>
      <c r="AD448" s="240"/>
      <c r="AE448" s="215"/>
      <c r="AF448" s="239"/>
      <c r="AG448" s="246"/>
      <c r="AH448" s="239"/>
      <c r="AI448" s="239"/>
      <c r="AJ448" s="243"/>
      <c r="AL448" s="239"/>
      <c r="AM448" s="239"/>
      <c r="AN448" s="239"/>
      <c r="AR448" s="240"/>
    </row>
    <row r="449" spans="11:44">
      <c r="K449" s="210"/>
      <c r="N449" s="1"/>
      <c r="O449" s="241"/>
      <c r="P449" s="241"/>
      <c r="Q449" s="241"/>
      <c r="R449" s="241"/>
      <c r="W449" s="241"/>
      <c r="X449" s="1"/>
      <c r="Y449" s="1"/>
      <c r="Z449" s="240"/>
      <c r="AA449" s="240"/>
      <c r="AC449" s="240"/>
      <c r="AD449" s="240"/>
      <c r="AE449" s="215"/>
      <c r="AF449" s="239"/>
      <c r="AG449" s="246"/>
      <c r="AH449" s="239"/>
      <c r="AI449" s="239"/>
      <c r="AJ449" s="243"/>
      <c r="AL449" s="239"/>
      <c r="AM449" s="239"/>
      <c r="AN449" s="239"/>
      <c r="AR449" s="240"/>
    </row>
    <row r="450" spans="11:44">
      <c r="K450" s="210"/>
      <c r="N450" s="1"/>
      <c r="O450" s="241"/>
      <c r="P450" s="241"/>
      <c r="Q450" s="241"/>
      <c r="R450" s="241"/>
      <c r="W450" s="241"/>
      <c r="X450" s="1"/>
      <c r="Y450" s="1"/>
      <c r="Z450" s="240"/>
      <c r="AA450" s="240"/>
      <c r="AC450" s="240"/>
      <c r="AD450" s="240"/>
      <c r="AE450" s="215"/>
      <c r="AF450" s="239"/>
      <c r="AG450" s="246"/>
      <c r="AH450" s="239"/>
      <c r="AI450" s="239"/>
      <c r="AJ450" s="243"/>
      <c r="AL450" s="239"/>
      <c r="AM450" s="239"/>
      <c r="AN450" s="239"/>
      <c r="AR450" s="240"/>
    </row>
    <row r="451" spans="11:44">
      <c r="K451" s="210"/>
      <c r="N451" s="1"/>
      <c r="O451" s="241"/>
      <c r="P451" s="241"/>
      <c r="Q451" s="241"/>
      <c r="R451" s="241"/>
      <c r="W451" s="241"/>
      <c r="X451" s="1"/>
      <c r="Y451" s="1"/>
      <c r="Z451" s="240"/>
      <c r="AA451" s="240"/>
      <c r="AC451" s="240"/>
      <c r="AD451" s="240"/>
      <c r="AE451" s="215"/>
      <c r="AF451" s="239"/>
      <c r="AG451" s="246"/>
      <c r="AH451" s="239"/>
      <c r="AI451" s="239"/>
      <c r="AJ451" s="243"/>
      <c r="AL451" s="239"/>
      <c r="AM451" s="239"/>
      <c r="AN451" s="239"/>
      <c r="AR451" s="240"/>
    </row>
    <row r="452" spans="11:44">
      <c r="K452" s="210"/>
      <c r="N452" s="1"/>
      <c r="O452" s="241"/>
      <c r="P452" s="241"/>
      <c r="Q452" s="241"/>
      <c r="R452" s="241"/>
      <c r="W452" s="241"/>
      <c r="X452" s="1"/>
      <c r="Y452" s="1"/>
      <c r="Z452" s="240"/>
      <c r="AA452" s="240"/>
      <c r="AC452" s="240"/>
      <c r="AD452" s="240"/>
      <c r="AE452" s="215"/>
      <c r="AF452" s="239"/>
      <c r="AG452" s="246"/>
      <c r="AH452" s="239"/>
      <c r="AI452" s="239"/>
      <c r="AJ452" s="243"/>
      <c r="AL452" s="239"/>
      <c r="AM452" s="239"/>
      <c r="AN452" s="239"/>
      <c r="AR452" s="240"/>
    </row>
    <row r="453" spans="11:44">
      <c r="K453" s="210"/>
      <c r="N453" s="1"/>
      <c r="O453" s="241"/>
      <c r="P453" s="241"/>
      <c r="Q453" s="241"/>
      <c r="R453" s="241"/>
      <c r="W453" s="241"/>
      <c r="X453" s="1"/>
      <c r="Y453" s="1"/>
      <c r="Z453" s="240"/>
      <c r="AA453" s="240"/>
      <c r="AC453" s="240"/>
      <c r="AD453" s="240"/>
      <c r="AE453" s="215"/>
      <c r="AF453" s="239"/>
      <c r="AG453" s="246"/>
      <c r="AH453" s="239"/>
      <c r="AI453" s="239"/>
      <c r="AJ453" s="243"/>
      <c r="AL453" s="239"/>
      <c r="AM453" s="239"/>
      <c r="AN453" s="239"/>
      <c r="AR453" s="240"/>
    </row>
    <row r="454" spans="11:44">
      <c r="K454" s="210"/>
      <c r="N454" s="1"/>
      <c r="O454" s="241"/>
      <c r="P454" s="241"/>
      <c r="Q454" s="241"/>
      <c r="R454" s="241"/>
      <c r="W454" s="241"/>
      <c r="X454" s="1"/>
      <c r="Y454" s="1"/>
      <c r="Z454" s="240"/>
      <c r="AA454" s="240"/>
      <c r="AC454" s="240"/>
      <c r="AD454" s="240"/>
      <c r="AE454" s="215"/>
      <c r="AF454" s="239"/>
      <c r="AG454" s="246"/>
      <c r="AH454" s="239"/>
      <c r="AI454" s="239"/>
      <c r="AJ454" s="243"/>
      <c r="AL454" s="239"/>
      <c r="AM454" s="239"/>
      <c r="AN454" s="239"/>
      <c r="AR454" s="240"/>
    </row>
    <row r="455" spans="11:44">
      <c r="K455" s="210"/>
      <c r="N455" s="1"/>
      <c r="O455" s="241"/>
      <c r="P455" s="241"/>
      <c r="Q455" s="241"/>
      <c r="R455" s="241"/>
      <c r="W455" s="241"/>
      <c r="X455" s="1"/>
      <c r="Y455" s="1"/>
      <c r="Z455" s="240"/>
      <c r="AA455" s="240"/>
      <c r="AC455" s="240"/>
      <c r="AD455" s="240"/>
      <c r="AE455" s="215"/>
      <c r="AF455" s="239"/>
      <c r="AG455" s="246"/>
      <c r="AH455" s="239"/>
      <c r="AI455" s="239"/>
      <c r="AJ455" s="243"/>
      <c r="AL455" s="239"/>
      <c r="AM455" s="239"/>
      <c r="AN455" s="239"/>
      <c r="AR455" s="240"/>
    </row>
    <row r="456" spans="11:44">
      <c r="K456" s="210"/>
      <c r="N456" s="1"/>
      <c r="O456" s="241"/>
      <c r="P456" s="241"/>
      <c r="Q456" s="241"/>
      <c r="R456" s="241"/>
      <c r="W456" s="241"/>
      <c r="X456" s="1"/>
      <c r="Y456" s="1"/>
      <c r="Z456" s="240"/>
      <c r="AA456" s="240"/>
      <c r="AC456" s="240"/>
      <c r="AD456" s="240"/>
      <c r="AE456" s="215"/>
      <c r="AF456" s="239"/>
      <c r="AG456" s="246"/>
      <c r="AH456" s="239"/>
      <c r="AI456" s="239"/>
      <c r="AJ456" s="243"/>
      <c r="AL456" s="239"/>
      <c r="AM456" s="239"/>
      <c r="AN456" s="239"/>
      <c r="AR456" s="240"/>
    </row>
    <row r="457" spans="11:44">
      <c r="K457" s="210"/>
      <c r="N457" s="1"/>
      <c r="O457" s="241"/>
      <c r="P457" s="241"/>
      <c r="Q457" s="241"/>
      <c r="R457" s="241"/>
      <c r="W457" s="241"/>
      <c r="X457" s="1"/>
      <c r="Y457" s="1"/>
      <c r="Z457" s="240"/>
      <c r="AA457" s="240"/>
      <c r="AC457" s="240"/>
      <c r="AD457" s="240"/>
      <c r="AE457" s="215"/>
      <c r="AF457" s="239"/>
      <c r="AG457" s="246"/>
      <c r="AH457" s="239"/>
      <c r="AI457" s="239"/>
      <c r="AJ457" s="243"/>
      <c r="AL457" s="239"/>
      <c r="AM457" s="239"/>
      <c r="AN457" s="239"/>
      <c r="AR457" s="240"/>
    </row>
    <row r="458" spans="11:44">
      <c r="K458" s="210"/>
      <c r="N458" s="1"/>
      <c r="O458" s="241"/>
      <c r="P458" s="241"/>
      <c r="Q458" s="241"/>
      <c r="R458" s="241"/>
      <c r="W458" s="241"/>
      <c r="X458" s="1"/>
      <c r="Y458" s="1"/>
      <c r="Z458" s="240"/>
      <c r="AA458" s="240"/>
      <c r="AC458" s="240"/>
      <c r="AD458" s="240"/>
      <c r="AE458" s="215"/>
      <c r="AF458" s="239"/>
      <c r="AG458" s="246"/>
      <c r="AH458" s="239"/>
      <c r="AI458" s="239"/>
      <c r="AJ458" s="243"/>
      <c r="AL458" s="239"/>
      <c r="AM458" s="239"/>
      <c r="AN458" s="239"/>
      <c r="AR458" s="240"/>
    </row>
    <row r="459" spans="11:44">
      <c r="K459" s="210"/>
      <c r="N459" s="1"/>
      <c r="O459" s="241"/>
      <c r="P459" s="241"/>
      <c r="Q459" s="241"/>
      <c r="R459" s="241"/>
      <c r="W459" s="241"/>
      <c r="X459" s="1"/>
      <c r="Y459" s="1"/>
      <c r="Z459" s="240"/>
      <c r="AA459" s="240"/>
      <c r="AC459" s="240"/>
      <c r="AD459" s="240"/>
      <c r="AE459" s="215"/>
      <c r="AF459" s="239"/>
      <c r="AG459" s="246"/>
      <c r="AH459" s="239"/>
      <c r="AI459" s="239"/>
      <c r="AJ459" s="243"/>
      <c r="AL459" s="239"/>
      <c r="AM459" s="239"/>
      <c r="AN459" s="239"/>
      <c r="AR459" s="240"/>
    </row>
    <row r="460" spans="11:44">
      <c r="K460" s="210"/>
      <c r="N460" s="1"/>
      <c r="O460" s="241"/>
      <c r="P460" s="241"/>
      <c r="Q460" s="241"/>
      <c r="R460" s="241"/>
      <c r="W460" s="241"/>
      <c r="X460" s="1"/>
      <c r="Y460" s="1"/>
      <c r="Z460" s="240"/>
      <c r="AA460" s="240"/>
      <c r="AC460" s="240"/>
      <c r="AD460" s="240"/>
      <c r="AE460" s="215"/>
      <c r="AF460" s="239"/>
      <c r="AG460" s="246"/>
      <c r="AH460" s="239"/>
      <c r="AI460" s="239"/>
      <c r="AJ460" s="243"/>
      <c r="AL460" s="239"/>
      <c r="AM460" s="239"/>
      <c r="AN460" s="239"/>
      <c r="AR460" s="240"/>
    </row>
    <row r="461" spans="11:44">
      <c r="K461" s="210"/>
      <c r="N461" s="1"/>
      <c r="O461" s="241"/>
      <c r="P461" s="241"/>
      <c r="Q461" s="241"/>
      <c r="R461" s="241"/>
      <c r="W461" s="241"/>
      <c r="X461" s="1"/>
      <c r="Y461" s="1"/>
      <c r="Z461" s="240"/>
      <c r="AA461" s="240"/>
      <c r="AC461" s="240"/>
      <c r="AD461" s="240"/>
      <c r="AE461" s="215"/>
      <c r="AF461" s="239"/>
      <c r="AG461" s="246"/>
      <c r="AH461" s="239"/>
      <c r="AI461" s="239"/>
      <c r="AJ461" s="243"/>
      <c r="AL461" s="239"/>
      <c r="AM461" s="239"/>
      <c r="AN461" s="239"/>
      <c r="AR461" s="240"/>
    </row>
    <row r="462" spans="11:44">
      <c r="K462" s="210"/>
      <c r="N462" s="1"/>
      <c r="O462" s="241"/>
      <c r="P462" s="241"/>
      <c r="Q462" s="241"/>
      <c r="R462" s="241"/>
      <c r="W462" s="241"/>
      <c r="X462" s="1"/>
      <c r="Y462" s="1"/>
      <c r="Z462" s="240"/>
      <c r="AA462" s="240"/>
      <c r="AC462" s="240"/>
      <c r="AD462" s="240"/>
      <c r="AE462" s="215"/>
      <c r="AF462" s="239"/>
      <c r="AG462" s="246"/>
      <c r="AH462" s="239"/>
      <c r="AI462" s="239"/>
      <c r="AJ462" s="243"/>
      <c r="AL462" s="239"/>
      <c r="AM462" s="239"/>
      <c r="AN462" s="239"/>
      <c r="AR462" s="240"/>
    </row>
    <row r="463" spans="11:44">
      <c r="K463" s="210"/>
      <c r="N463" s="1"/>
      <c r="O463" s="241"/>
      <c r="P463" s="241"/>
      <c r="Q463" s="241"/>
      <c r="R463" s="241"/>
      <c r="W463" s="241"/>
      <c r="X463" s="1"/>
      <c r="Y463" s="1"/>
      <c r="Z463" s="240"/>
      <c r="AA463" s="240"/>
      <c r="AC463" s="240"/>
      <c r="AD463" s="240"/>
      <c r="AE463" s="215"/>
      <c r="AF463" s="239"/>
      <c r="AG463" s="246"/>
      <c r="AH463" s="239"/>
      <c r="AI463" s="239"/>
      <c r="AJ463" s="243"/>
      <c r="AL463" s="239"/>
      <c r="AM463" s="239"/>
      <c r="AN463" s="239"/>
      <c r="AR463" s="240"/>
    </row>
    <row r="464" spans="11:44">
      <c r="K464" s="210"/>
      <c r="N464" s="1"/>
      <c r="O464" s="241"/>
      <c r="P464" s="241"/>
      <c r="Q464" s="241"/>
      <c r="R464" s="241"/>
      <c r="W464" s="241"/>
      <c r="X464" s="1"/>
      <c r="Y464" s="1"/>
      <c r="Z464" s="240"/>
      <c r="AA464" s="240"/>
      <c r="AC464" s="240"/>
      <c r="AD464" s="240"/>
      <c r="AE464" s="215"/>
      <c r="AF464" s="239"/>
      <c r="AG464" s="246"/>
      <c r="AH464" s="239"/>
      <c r="AI464" s="239"/>
      <c r="AJ464" s="243"/>
      <c r="AL464" s="239"/>
      <c r="AM464" s="239"/>
      <c r="AN464" s="239"/>
      <c r="AR464" s="240"/>
    </row>
    <row r="465" spans="11:44">
      <c r="K465" s="210"/>
      <c r="N465" s="1"/>
      <c r="O465" s="241"/>
      <c r="P465" s="241"/>
      <c r="Q465" s="241"/>
      <c r="R465" s="241"/>
      <c r="W465" s="241"/>
      <c r="X465" s="1"/>
      <c r="Y465" s="1"/>
      <c r="Z465" s="240"/>
      <c r="AA465" s="240"/>
      <c r="AC465" s="240"/>
      <c r="AD465" s="240"/>
      <c r="AE465" s="215"/>
      <c r="AF465" s="239"/>
      <c r="AG465" s="246"/>
      <c r="AH465" s="239"/>
      <c r="AI465" s="239"/>
      <c r="AJ465" s="243"/>
      <c r="AL465" s="239"/>
      <c r="AM465" s="239"/>
      <c r="AN465" s="239"/>
      <c r="AR465" s="240"/>
    </row>
    <row r="466" spans="11:44">
      <c r="K466" s="210"/>
      <c r="N466" s="1"/>
      <c r="O466" s="241"/>
      <c r="P466" s="241"/>
      <c r="Q466" s="241"/>
      <c r="R466" s="241"/>
      <c r="W466" s="241"/>
      <c r="X466" s="1"/>
      <c r="Y466" s="1"/>
      <c r="Z466" s="240"/>
      <c r="AA466" s="240"/>
      <c r="AC466" s="240"/>
      <c r="AD466" s="240"/>
      <c r="AE466" s="215"/>
      <c r="AF466" s="239"/>
      <c r="AG466" s="246"/>
      <c r="AH466" s="239"/>
      <c r="AI466" s="239"/>
      <c r="AJ466" s="243"/>
      <c r="AL466" s="239"/>
      <c r="AM466" s="239"/>
      <c r="AN466" s="239"/>
      <c r="AR466" s="240"/>
    </row>
    <row r="467" spans="11:44">
      <c r="K467" s="210"/>
      <c r="N467" s="1"/>
      <c r="O467" s="241"/>
      <c r="P467" s="241"/>
      <c r="Q467" s="241"/>
      <c r="R467" s="241"/>
      <c r="W467" s="241"/>
      <c r="X467" s="1"/>
      <c r="Y467" s="1"/>
      <c r="Z467" s="240"/>
      <c r="AA467" s="240"/>
      <c r="AC467" s="240"/>
      <c r="AD467" s="240"/>
      <c r="AE467" s="215"/>
      <c r="AF467" s="239"/>
      <c r="AG467" s="246"/>
      <c r="AH467" s="239"/>
      <c r="AI467" s="239"/>
      <c r="AJ467" s="243"/>
      <c r="AL467" s="239"/>
      <c r="AM467" s="239"/>
      <c r="AN467" s="239"/>
      <c r="AR467" s="240"/>
    </row>
    <row r="468" spans="11:44">
      <c r="K468" s="210"/>
      <c r="N468" s="1"/>
      <c r="O468" s="241"/>
      <c r="P468" s="241"/>
      <c r="Q468" s="241"/>
      <c r="R468" s="241"/>
      <c r="W468" s="241"/>
      <c r="X468" s="1"/>
      <c r="Y468" s="1"/>
      <c r="Z468" s="240"/>
      <c r="AA468" s="240"/>
      <c r="AC468" s="240"/>
      <c r="AD468" s="240"/>
      <c r="AE468" s="215"/>
      <c r="AF468" s="239"/>
      <c r="AG468" s="246"/>
      <c r="AH468" s="239"/>
      <c r="AI468" s="239"/>
      <c r="AJ468" s="243"/>
      <c r="AL468" s="239"/>
      <c r="AM468" s="239"/>
      <c r="AN468" s="239"/>
      <c r="AR468" s="240"/>
    </row>
    <row r="469" spans="11:44">
      <c r="K469" s="210"/>
      <c r="N469" s="1"/>
      <c r="O469" s="241"/>
      <c r="P469" s="241"/>
      <c r="Q469" s="241"/>
      <c r="R469" s="241"/>
      <c r="W469" s="241"/>
      <c r="X469" s="1"/>
      <c r="Y469" s="1"/>
      <c r="Z469" s="240"/>
      <c r="AA469" s="240"/>
      <c r="AC469" s="240"/>
      <c r="AD469" s="240"/>
      <c r="AE469" s="215"/>
      <c r="AF469" s="239"/>
      <c r="AG469" s="246"/>
      <c r="AH469" s="239"/>
      <c r="AI469" s="239"/>
      <c r="AJ469" s="243"/>
      <c r="AL469" s="239"/>
      <c r="AM469" s="239"/>
      <c r="AN469" s="239"/>
      <c r="AR469" s="240"/>
    </row>
    <row r="470" spans="11:44">
      <c r="K470" s="210"/>
      <c r="N470" s="1"/>
      <c r="O470" s="241"/>
      <c r="P470" s="241"/>
      <c r="Q470" s="241"/>
      <c r="R470" s="241"/>
      <c r="W470" s="241"/>
      <c r="X470" s="1"/>
      <c r="Y470" s="1"/>
      <c r="Z470" s="240"/>
      <c r="AA470" s="240"/>
      <c r="AC470" s="240"/>
      <c r="AD470" s="240"/>
      <c r="AE470" s="215"/>
      <c r="AF470" s="239"/>
      <c r="AG470" s="246"/>
      <c r="AH470" s="239"/>
      <c r="AI470" s="239"/>
      <c r="AJ470" s="243"/>
      <c r="AL470" s="239"/>
      <c r="AM470" s="239"/>
      <c r="AN470" s="239"/>
      <c r="AR470" s="240"/>
    </row>
    <row r="471" spans="11:44">
      <c r="K471" s="210"/>
      <c r="N471" s="1"/>
      <c r="O471" s="241"/>
      <c r="P471" s="241"/>
      <c r="Q471" s="241"/>
      <c r="R471" s="241"/>
      <c r="W471" s="241"/>
      <c r="X471" s="1"/>
      <c r="Y471" s="1"/>
      <c r="Z471" s="240"/>
      <c r="AA471" s="240"/>
      <c r="AC471" s="240"/>
      <c r="AD471" s="240"/>
      <c r="AE471" s="215"/>
      <c r="AF471" s="239"/>
      <c r="AG471" s="246"/>
      <c r="AH471" s="239"/>
      <c r="AI471" s="239"/>
      <c r="AJ471" s="243"/>
      <c r="AL471" s="239"/>
      <c r="AM471" s="239"/>
      <c r="AN471" s="239"/>
      <c r="AR471" s="240"/>
    </row>
    <row r="472" spans="11:44">
      <c r="K472" s="210"/>
      <c r="N472" s="1"/>
      <c r="O472" s="241"/>
      <c r="P472" s="241"/>
      <c r="Q472" s="241"/>
      <c r="R472" s="241"/>
      <c r="W472" s="241"/>
      <c r="X472" s="1"/>
      <c r="Y472" s="1"/>
      <c r="Z472" s="240"/>
      <c r="AA472" s="240"/>
      <c r="AC472" s="240"/>
      <c r="AD472" s="240"/>
      <c r="AE472" s="215"/>
      <c r="AF472" s="239"/>
      <c r="AG472" s="246"/>
      <c r="AH472" s="239"/>
      <c r="AI472" s="239"/>
      <c r="AJ472" s="243"/>
      <c r="AL472" s="239"/>
      <c r="AM472" s="239"/>
      <c r="AN472" s="239"/>
      <c r="AR472" s="240"/>
    </row>
    <row r="473" spans="11:44">
      <c r="K473" s="210"/>
      <c r="N473" s="1"/>
      <c r="O473" s="241"/>
      <c r="P473" s="241"/>
      <c r="Q473" s="241"/>
      <c r="R473" s="241"/>
      <c r="W473" s="241"/>
      <c r="X473" s="1"/>
      <c r="Y473" s="1"/>
      <c r="Z473" s="240"/>
      <c r="AA473" s="240"/>
      <c r="AC473" s="240"/>
      <c r="AD473" s="240"/>
      <c r="AE473" s="215"/>
      <c r="AF473" s="239"/>
      <c r="AG473" s="246"/>
      <c r="AH473" s="239"/>
      <c r="AI473" s="239"/>
      <c r="AJ473" s="243"/>
      <c r="AL473" s="239"/>
      <c r="AM473" s="239"/>
      <c r="AN473" s="239"/>
      <c r="AR473" s="240"/>
    </row>
    <row r="474" spans="11:44">
      <c r="K474" s="210"/>
      <c r="N474" s="1"/>
      <c r="O474" s="241"/>
      <c r="P474" s="241"/>
      <c r="Q474" s="241"/>
      <c r="R474" s="241"/>
      <c r="W474" s="241"/>
      <c r="X474" s="1"/>
      <c r="Y474" s="1"/>
      <c r="Z474" s="240"/>
      <c r="AA474" s="240"/>
      <c r="AC474" s="240"/>
      <c r="AD474" s="240"/>
      <c r="AE474" s="215"/>
      <c r="AF474" s="239"/>
      <c r="AG474" s="246"/>
      <c r="AH474" s="239"/>
      <c r="AI474" s="239"/>
      <c r="AJ474" s="243"/>
      <c r="AL474" s="239"/>
      <c r="AM474" s="239"/>
      <c r="AN474" s="239"/>
      <c r="AR474" s="240"/>
    </row>
    <row r="475" spans="11:44">
      <c r="K475" s="210"/>
      <c r="N475" s="1"/>
      <c r="O475" s="241"/>
      <c r="P475" s="241"/>
      <c r="Q475" s="241"/>
      <c r="R475" s="241"/>
      <c r="W475" s="241"/>
      <c r="X475" s="1"/>
      <c r="Y475" s="1"/>
      <c r="Z475" s="240"/>
      <c r="AA475" s="240"/>
      <c r="AC475" s="240"/>
      <c r="AD475" s="240"/>
      <c r="AE475" s="215"/>
      <c r="AF475" s="239"/>
      <c r="AG475" s="246"/>
      <c r="AH475" s="239"/>
      <c r="AI475" s="239"/>
      <c r="AJ475" s="243"/>
      <c r="AL475" s="239"/>
      <c r="AM475" s="239"/>
      <c r="AN475" s="239"/>
      <c r="AR475" s="240"/>
    </row>
    <row r="476" spans="11:44">
      <c r="K476" s="210"/>
      <c r="N476" s="1"/>
      <c r="O476" s="241"/>
      <c r="P476" s="241"/>
      <c r="Q476" s="241"/>
      <c r="R476" s="241"/>
      <c r="W476" s="241"/>
      <c r="X476" s="1"/>
      <c r="Y476" s="1"/>
      <c r="Z476" s="240"/>
      <c r="AA476" s="240"/>
      <c r="AC476" s="240"/>
      <c r="AD476" s="240"/>
      <c r="AE476" s="215"/>
      <c r="AF476" s="239"/>
      <c r="AG476" s="246"/>
      <c r="AH476" s="239"/>
      <c r="AI476" s="239"/>
      <c r="AJ476" s="243"/>
      <c r="AL476" s="239"/>
      <c r="AM476" s="239"/>
      <c r="AN476" s="239"/>
      <c r="AR476" s="240"/>
    </row>
    <row r="477" spans="11:44">
      <c r="K477" s="210"/>
      <c r="N477" s="1"/>
      <c r="O477" s="241"/>
      <c r="P477" s="241"/>
      <c r="Q477" s="241"/>
      <c r="R477" s="241"/>
      <c r="W477" s="241"/>
      <c r="X477" s="1"/>
      <c r="Y477" s="1"/>
      <c r="Z477" s="240"/>
      <c r="AA477" s="240"/>
      <c r="AC477" s="240"/>
      <c r="AD477" s="240"/>
      <c r="AE477" s="215"/>
      <c r="AF477" s="239"/>
      <c r="AG477" s="246"/>
      <c r="AH477" s="239"/>
      <c r="AI477" s="239"/>
      <c r="AJ477" s="243"/>
      <c r="AL477" s="239"/>
      <c r="AM477" s="239"/>
      <c r="AN477" s="239"/>
      <c r="AR477" s="240"/>
    </row>
    <row r="478" spans="11:44">
      <c r="K478" s="210"/>
      <c r="N478" s="1"/>
      <c r="O478" s="241"/>
      <c r="P478" s="241"/>
      <c r="Q478" s="241"/>
      <c r="R478" s="241"/>
      <c r="W478" s="241"/>
      <c r="X478" s="1"/>
      <c r="Y478" s="1"/>
      <c r="Z478" s="240"/>
      <c r="AA478" s="240"/>
      <c r="AC478" s="240"/>
      <c r="AD478" s="240"/>
      <c r="AE478" s="215"/>
      <c r="AF478" s="239"/>
      <c r="AG478" s="246"/>
      <c r="AH478" s="239"/>
      <c r="AI478" s="239"/>
      <c r="AJ478" s="243"/>
      <c r="AL478" s="239"/>
      <c r="AM478" s="239"/>
      <c r="AN478" s="239"/>
      <c r="AR478" s="240"/>
    </row>
    <row r="479" spans="11:44">
      <c r="K479" s="210"/>
      <c r="N479" s="1"/>
      <c r="O479" s="241"/>
      <c r="P479" s="241"/>
      <c r="Q479" s="241"/>
      <c r="R479" s="241"/>
      <c r="W479" s="241"/>
      <c r="X479" s="1"/>
      <c r="Y479" s="1"/>
      <c r="Z479" s="240"/>
      <c r="AA479" s="240"/>
      <c r="AC479" s="240"/>
      <c r="AD479" s="240"/>
      <c r="AE479" s="215"/>
      <c r="AF479" s="239"/>
      <c r="AG479" s="246"/>
      <c r="AH479" s="239"/>
      <c r="AI479" s="239"/>
      <c r="AJ479" s="243"/>
      <c r="AL479" s="239"/>
      <c r="AM479" s="239"/>
      <c r="AN479" s="239"/>
      <c r="AR479" s="240"/>
    </row>
    <row r="480" spans="11:44">
      <c r="K480" s="210"/>
      <c r="N480" s="1"/>
      <c r="O480" s="241"/>
      <c r="P480" s="241"/>
      <c r="Q480" s="241"/>
      <c r="R480" s="241"/>
      <c r="W480" s="241"/>
      <c r="X480" s="1"/>
      <c r="Y480" s="1"/>
      <c r="Z480" s="240"/>
      <c r="AA480" s="240"/>
      <c r="AC480" s="240"/>
      <c r="AD480" s="240"/>
      <c r="AE480" s="215"/>
      <c r="AF480" s="239"/>
      <c r="AG480" s="246"/>
      <c r="AH480" s="239"/>
      <c r="AI480" s="239"/>
      <c r="AJ480" s="243"/>
      <c r="AL480" s="239"/>
      <c r="AM480" s="239"/>
      <c r="AN480" s="239"/>
      <c r="AR480" s="240"/>
    </row>
    <row r="481" spans="11:44">
      <c r="K481" s="210"/>
      <c r="N481" s="1"/>
      <c r="O481" s="241"/>
      <c r="P481" s="241"/>
      <c r="Q481" s="241"/>
      <c r="R481" s="241"/>
      <c r="W481" s="241"/>
      <c r="X481" s="1"/>
      <c r="Y481" s="1"/>
      <c r="Z481" s="240"/>
      <c r="AA481" s="240"/>
      <c r="AC481" s="240"/>
      <c r="AD481" s="240"/>
      <c r="AE481" s="215"/>
      <c r="AF481" s="239"/>
      <c r="AG481" s="246"/>
      <c r="AH481" s="239"/>
      <c r="AI481" s="239"/>
      <c r="AJ481" s="243"/>
      <c r="AL481" s="239"/>
      <c r="AM481" s="239"/>
      <c r="AN481" s="239"/>
      <c r="AR481" s="240"/>
    </row>
    <row r="482" spans="11:44">
      <c r="K482" s="210"/>
      <c r="N482" s="1"/>
      <c r="O482" s="241"/>
      <c r="P482" s="241"/>
      <c r="Q482" s="241"/>
      <c r="R482" s="241"/>
      <c r="W482" s="241"/>
      <c r="X482" s="1"/>
      <c r="Y482" s="1"/>
      <c r="Z482" s="240"/>
      <c r="AA482" s="240"/>
      <c r="AC482" s="240"/>
      <c r="AD482" s="240"/>
      <c r="AE482" s="215"/>
      <c r="AF482" s="239"/>
      <c r="AG482" s="246"/>
      <c r="AH482" s="239"/>
      <c r="AI482" s="239"/>
      <c r="AJ482" s="243"/>
      <c r="AL482" s="239"/>
      <c r="AM482" s="239"/>
      <c r="AN482" s="239"/>
      <c r="AR482" s="240"/>
    </row>
    <row r="483" spans="11:44">
      <c r="K483" s="210"/>
      <c r="N483" s="1"/>
      <c r="O483" s="241"/>
      <c r="P483" s="241"/>
      <c r="Q483" s="241"/>
      <c r="R483" s="241"/>
      <c r="W483" s="241"/>
      <c r="X483" s="1"/>
      <c r="Y483" s="1"/>
      <c r="Z483" s="240"/>
      <c r="AA483" s="240"/>
      <c r="AC483" s="240"/>
      <c r="AD483" s="240"/>
      <c r="AE483" s="215"/>
      <c r="AF483" s="239"/>
      <c r="AG483" s="246"/>
      <c r="AH483" s="239"/>
      <c r="AI483" s="239"/>
      <c r="AJ483" s="243"/>
      <c r="AL483" s="239"/>
      <c r="AM483" s="239"/>
      <c r="AN483" s="239"/>
      <c r="AR483" s="240"/>
    </row>
    <row r="484" spans="11:44">
      <c r="K484" s="210"/>
      <c r="N484" s="1"/>
      <c r="O484" s="241"/>
      <c r="P484" s="241"/>
      <c r="Q484" s="241"/>
      <c r="R484" s="241"/>
      <c r="W484" s="241"/>
      <c r="X484" s="1"/>
      <c r="Y484" s="1"/>
      <c r="Z484" s="240"/>
      <c r="AA484" s="240"/>
      <c r="AC484" s="240"/>
      <c r="AD484" s="240"/>
      <c r="AE484" s="215"/>
      <c r="AF484" s="239"/>
      <c r="AG484" s="246"/>
      <c r="AH484" s="239"/>
      <c r="AI484" s="239"/>
      <c r="AJ484" s="243"/>
      <c r="AL484" s="239"/>
      <c r="AM484" s="239"/>
      <c r="AN484" s="239"/>
      <c r="AR484" s="240"/>
    </row>
    <row r="485" spans="11:44">
      <c r="K485" s="210"/>
      <c r="N485" s="1"/>
      <c r="O485" s="241"/>
      <c r="P485" s="241"/>
      <c r="Q485" s="241"/>
      <c r="R485" s="241"/>
      <c r="W485" s="241"/>
      <c r="X485" s="1"/>
      <c r="Y485" s="1"/>
      <c r="Z485" s="240"/>
      <c r="AA485" s="240"/>
      <c r="AC485" s="240"/>
      <c r="AD485" s="240"/>
      <c r="AE485" s="215"/>
      <c r="AF485" s="239"/>
      <c r="AG485" s="246"/>
      <c r="AH485" s="239"/>
      <c r="AI485" s="239"/>
      <c r="AJ485" s="243"/>
      <c r="AL485" s="239"/>
      <c r="AM485" s="239"/>
      <c r="AN485" s="239"/>
      <c r="AR485" s="240"/>
    </row>
    <row r="486" spans="11:44">
      <c r="K486" s="210"/>
      <c r="N486" s="1"/>
      <c r="O486" s="241"/>
      <c r="P486" s="241"/>
      <c r="Q486" s="241"/>
      <c r="R486" s="241"/>
      <c r="W486" s="241"/>
      <c r="X486" s="1"/>
      <c r="Y486" s="1"/>
      <c r="Z486" s="240"/>
      <c r="AA486" s="240"/>
      <c r="AC486" s="240"/>
      <c r="AD486" s="240"/>
      <c r="AE486" s="215"/>
      <c r="AF486" s="239"/>
      <c r="AG486" s="246"/>
      <c r="AH486" s="239"/>
      <c r="AI486" s="239"/>
      <c r="AJ486" s="243"/>
      <c r="AL486" s="239"/>
      <c r="AM486" s="239"/>
      <c r="AN486" s="239"/>
      <c r="AR486" s="240"/>
    </row>
    <row r="487" spans="11:44">
      <c r="K487" s="210"/>
      <c r="N487" s="1"/>
      <c r="O487" s="241"/>
      <c r="P487" s="241"/>
      <c r="Q487" s="241"/>
      <c r="R487" s="241"/>
      <c r="W487" s="241"/>
      <c r="X487" s="1"/>
      <c r="Y487" s="1"/>
      <c r="Z487" s="240"/>
      <c r="AA487" s="240"/>
      <c r="AC487" s="240"/>
      <c r="AD487" s="240"/>
      <c r="AE487" s="215"/>
      <c r="AF487" s="239"/>
      <c r="AG487" s="246"/>
      <c r="AH487" s="239"/>
      <c r="AI487" s="239"/>
      <c r="AJ487" s="243"/>
      <c r="AL487" s="239"/>
      <c r="AM487" s="239"/>
      <c r="AN487" s="239"/>
      <c r="AR487" s="240"/>
    </row>
    <row r="488" spans="11:44">
      <c r="K488" s="210"/>
      <c r="N488" s="1"/>
      <c r="O488" s="241"/>
      <c r="P488" s="241"/>
      <c r="Q488" s="241"/>
      <c r="R488" s="241"/>
      <c r="W488" s="241"/>
      <c r="X488" s="1"/>
      <c r="Y488" s="1"/>
      <c r="Z488" s="240"/>
      <c r="AA488" s="240"/>
      <c r="AC488" s="240"/>
      <c r="AD488" s="240"/>
      <c r="AE488" s="215"/>
      <c r="AF488" s="239"/>
      <c r="AG488" s="246"/>
      <c r="AH488" s="239"/>
      <c r="AI488" s="239"/>
      <c r="AJ488" s="243"/>
      <c r="AL488" s="239"/>
      <c r="AM488" s="239"/>
      <c r="AN488" s="239"/>
      <c r="AR488" s="240"/>
    </row>
    <row r="489" spans="11:44">
      <c r="K489" s="210"/>
      <c r="N489" s="1"/>
      <c r="O489" s="241"/>
      <c r="P489" s="241"/>
      <c r="Q489" s="241"/>
      <c r="R489" s="241"/>
      <c r="W489" s="241"/>
      <c r="X489" s="1"/>
      <c r="Y489" s="1"/>
      <c r="Z489" s="240"/>
      <c r="AA489" s="240"/>
      <c r="AC489" s="240"/>
      <c r="AD489" s="240"/>
      <c r="AE489" s="215"/>
      <c r="AF489" s="239"/>
      <c r="AG489" s="246"/>
      <c r="AH489" s="239"/>
      <c r="AI489" s="239"/>
      <c r="AJ489" s="243"/>
      <c r="AL489" s="239"/>
      <c r="AM489" s="239"/>
      <c r="AN489" s="239"/>
      <c r="AR489" s="240"/>
    </row>
    <row r="490" spans="11:44">
      <c r="K490" s="210"/>
      <c r="N490" s="1"/>
      <c r="O490" s="241"/>
      <c r="P490" s="241"/>
      <c r="Q490" s="241"/>
      <c r="R490" s="241"/>
      <c r="W490" s="241"/>
      <c r="X490" s="1"/>
      <c r="Y490" s="1"/>
      <c r="Z490" s="240"/>
      <c r="AA490" s="240"/>
      <c r="AC490" s="240"/>
      <c r="AD490" s="240"/>
      <c r="AE490" s="215"/>
      <c r="AF490" s="239"/>
      <c r="AG490" s="246"/>
      <c r="AH490" s="239"/>
      <c r="AI490" s="239"/>
      <c r="AJ490" s="243"/>
      <c r="AL490" s="239"/>
      <c r="AM490" s="239"/>
      <c r="AN490" s="239"/>
      <c r="AR490" s="240"/>
    </row>
    <row r="491" spans="11:44">
      <c r="K491" s="210"/>
      <c r="N491" s="1"/>
      <c r="O491" s="241"/>
      <c r="P491" s="241"/>
      <c r="Q491" s="241"/>
      <c r="R491" s="241"/>
      <c r="W491" s="241"/>
      <c r="X491" s="1"/>
      <c r="Y491" s="1"/>
      <c r="Z491" s="240"/>
      <c r="AA491" s="240"/>
      <c r="AC491" s="240"/>
      <c r="AD491" s="240"/>
      <c r="AE491" s="215"/>
      <c r="AF491" s="239"/>
      <c r="AG491" s="246"/>
      <c r="AH491" s="239"/>
      <c r="AI491" s="239"/>
      <c r="AJ491" s="243"/>
      <c r="AL491" s="239"/>
      <c r="AM491" s="239"/>
      <c r="AN491" s="239"/>
      <c r="AR491" s="240"/>
    </row>
    <row r="492" spans="11:44">
      <c r="K492" s="210"/>
      <c r="N492" s="1"/>
      <c r="O492" s="241"/>
      <c r="P492" s="241"/>
      <c r="Q492" s="241"/>
      <c r="R492" s="241"/>
      <c r="W492" s="241"/>
      <c r="X492" s="1"/>
      <c r="Y492" s="1"/>
      <c r="Z492" s="240"/>
      <c r="AA492" s="240"/>
      <c r="AC492" s="240"/>
      <c r="AD492" s="240"/>
      <c r="AE492" s="215"/>
      <c r="AF492" s="239"/>
      <c r="AG492" s="246"/>
      <c r="AH492" s="239"/>
      <c r="AI492" s="239"/>
      <c r="AJ492" s="243"/>
      <c r="AL492" s="239"/>
      <c r="AM492" s="239"/>
      <c r="AN492" s="239"/>
      <c r="AR492" s="240"/>
    </row>
    <row r="493" spans="11:44">
      <c r="K493" s="210"/>
      <c r="N493" s="1"/>
      <c r="O493" s="241"/>
      <c r="P493" s="241"/>
      <c r="Q493" s="241"/>
      <c r="R493" s="241"/>
      <c r="W493" s="241"/>
      <c r="X493" s="1"/>
      <c r="Y493" s="1"/>
      <c r="Z493" s="240"/>
      <c r="AA493" s="240"/>
      <c r="AC493" s="240"/>
      <c r="AD493" s="240"/>
      <c r="AE493" s="215"/>
      <c r="AF493" s="239"/>
      <c r="AG493" s="246"/>
      <c r="AH493" s="239"/>
      <c r="AI493" s="239"/>
      <c r="AJ493" s="243"/>
      <c r="AL493" s="239"/>
      <c r="AM493" s="239"/>
      <c r="AN493" s="239"/>
      <c r="AR493" s="240"/>
    </row>
    <row r="494" spans="11:44">
      <c r="K494" s="210"/>
      <c r="N494" s="1"/>
      <c r="O494" s="241"/>
      <c r="P494" s="241"/>
      <c r="Q494" s="241"/>
      <c r="R494" s="241"/>
      <c r="W494" s="241"/>
      <c r="X494" s="1"/>
      <c r="Y494" s="1"/>
      <c r="Z494" s="240"/>
      <c r="AA494" s="240"/>
      <c r="AC494" s="240"/>
      <c r="AD494" s="240"/>
      <c r="AE494" s="215"/>
      <c r="AF494" s="239"/>
      <c r="AG494" s="246"/>
      <c r="AH494" s="239"/>
      <c r="AI494" s="239"/>
      <c r="AJ494" s="243"/>
      <c r="AL494" s="239"/>
      <c r="AM494" s="239"/>
      <c r="AN494" s="239"/>
      <c r="AR494" s="240"/>
    </row>
    <row r="495" spans="11:44">
      <c r="K495" s="210"/>
      <c r="N495" s="1"/>
      <c r="O495" s="241"/>
      <c r="P495" s="241"/>
      <c r="Q495" s="241"/>
      <c r="R495" s="241"/>
      <c r="W495" s="241"/>
      <c r="X495" s="1"/>
      <c r="Y495" s="1"/>
      <c r="Z495" s="240"/>
      <c r="AA495" s="240"/>
      <c r="AC495" s="240"/>
      <c r="AD495" s="240"/>
      <c r="AE495" s="215"/>
      <c r="AF495" s="239"/>
      <c r="AG495" s="246"/>
      <c r="AH495" s="239"/>
      <c r="AI495" s="239"/>
      <c r="AJ495" s="243"/>
      <c r="AL495" s="239"/>
      <c r="AM495" s="239"/>
      <c r="AN495" s="239"/>
      <c r="AR495" s="240"/>
    </row>
    <row r="496" spans="11:44">
      <c r="K496" s="210"/>
      <c r="N496" s="1"/>
      <c r="O496" s="241"/>
      <c r="P496" s="241"/>
      <c r="Q496" s="241"/>
      <c r="R496" s="241"/>
      <c r="W496" s="241"/>
      <c r="X496" s="1"/>
      <c r="Y496" s="1"/>
      <c r="Z496" s="240"/>
      <c r="AA496" s="240"/>
      <c r="AC496" s="240"/>
      <c r="AD496" s="240"/>
      <c r="AE496" s="215"/>
      <c r="AF496" s="239"/>
      <c r="AG496" s="246"/>
      <c r="AH496" s="239"/>
      <c r="AI496" s="239"/>
      <c r="AJ496" s="243"/>
      <c r="AL496" s="239"/>
      <c r="AM496" s="239"/>
      <c r="AN496" s="239"/>
      <c r="AR496" s="240"/>
    </row>
    <row r="497" spans="11:44">
      <c r="K497" s="210"/>
      <c r="N497" s="1"/>
      <c r="O497" s="241"/>
      <c r="P497" s="241"/>
      <c r="Q497" s="241"/>
      <c r="R497" s="241"/>
      <c r="W497" s="241"/>
      <c r="X497" s="1"/>
      <c r="Y497" s="1"/>
      <c r="Z497" s="240"/>
      <c r="AA497" s="240"/>
      <c r="AC497" s="240"/>
      <c r="AD497" s="240"/>
      <c r="AE497" s="215"/>
      <c r="AF497" s="239"/>
      <c r="AG497" s="246"/>
      <c r="AH497" s="239"/>
      <c r="AI497" s="239"/>
      <c r="AJ497" s="243"/>
      <c r="AL497" s="239"/>
      <c r="AM497" s="239"/>
      <c r="AN497" s="239"/>
      <c r="AR497" s="240"/>
    </row>
    <row r="498" spans="11:44">
      <c r="K498" s="210"/>
      <c r="N498" s="1"/>
      <c r="O498" s="241"/>
      <c r="P498" s="241"/>
      <c r="Q498" s="241"/>
      <c r="R498" s="241"/>
      <c r="W498" s="241"/>
      <c r="X498" s="1"/>
      <c r="Y498" s="1"/>
      <c r="Z498" s="240"/>
      <c r="AA498" s="240"/>
      <c r="AC498" s="240"/>
      <c r="AD498" s="240"/>
      <c r="AE498" s="215"/>
      <c r="AF498" s="239"/>
      <c r="AG498" s="246"/>
      <c r="AH498" s="239"/>
      <c r="AI498" s="239"/>
      <c r="AJ498" s="243"/>
      <c r="AL498" s="239"/>
      <c r="AM498" s="239"/>
      <c r="AN498" s="239"/>
      <c r="AR498" s="240"/>
    </row>
    <row r="499" spans="11:44">
      <c r="K499" s="210"/>
      <c r="N499" s="1"/>
      <c r="O499" s="241"/>
      <c r="P499" s="241"/>
      <c r="Q499" s="241"/>
      <c r="R499" s="241"/>
      <c r="W499" s="241"/>
      <c r="X499" s="1"/>
      <c r="Y499" s="1"/>
      <c r="Z499" s="240"/>
      <c r="AA499" s="240"/>
      <c r="AC499" s="240"/>
      <c r="AD499" s="240"/>
      <c r="AE499" s="215"/>
      <c r="AF499" s="239"/>
      <c r="AG499" s="246"/>
      <c r="AH499" s="239"/>
      <c r="AI499" s="239"/>
      <c r="AJ499" s="243"/>
      <c r="AL499" s="239"/>
      <c r="AM499" s="239"/>
      <c r="AN499" s="239"/>
      <c r="AR499" s="240"/>
    </row>
    <row r="500" spans="11:44">
      <c r="K500" s="210"/>
      <c r="N500" s="1"/>
      <c r="O500" s="241"/>
      <c r="P500" s="241"/>
      <c r="Q500" s="241"/>
      <c r="R500" s="241"/>
      <c r="W500" s="241"/>
      <c r="X500" s="1"/>
      <c r="Y500" s="1"/>
      <c r="Z500" s="240"/>
      <c r="AA500" s="240"/>
      <c r="AC500" s="240"/>
      <c r="AD500" s="240"/>
      <c r="AE500" s="215"/>
      <c r="AF500" s="239"/>
      <c r="AG500" s="246"/>
      <c r="AH500" s="239"/>
      <c r="AI500" s="239"/>
      <c r="AJ500" s="243"/>
      <c r="AL500" s="239"/>
      <c r="AM500" s="239"/>
      <c r="AN500" s="239"/>
      <c r="AR500" s="240"/>
    </row>
    <row r="501" spans="11:44">
      <c r="K501" s="210"/>
      <c r="N501" s="1"/>
      <c r="O501" s="241"/>
      <c r="P501" s="241"/>
      <c r="Q501" s="241"/>
      <c r="R501" s="241"/>
      <c r="W501" s="241"/>
      <c r="X501" s="1"/>
      <c r="Y501" s="1"/>
      <c r="Z501" s="240"/>
      <c r="AA501" s="240"/>
      <c r="AC501" s="240"/>
      <c r="AD501" s="240"/>
      <c r="AE501" s="215"/>
      <c r="AF501" s="239"/>
      <c r="AG501" s="246"/>
      <c r="AH501" s="239"/>
      <c r="AI501" s="239"/>
      <c r="AJ501" s="243"/>
      <c r="AL501" s="239"/>
      <c r="AM501" s="239"/>
      <c r="AN501" s="239"/>
      <c r="AR501" s="240"/>
    </row>
    <row r="502" spans="11:44">
      <c r="K502" s="210"/>
      <c r="N502" s="1"/>
      <c r="O502" s="241"/>
      <c r="P502" s="241"/>
      <c r="Q502" s="241"/>
      <c r="R502" s="241"/>
      <c r="W502" s="241"/>
      <c r="X502" s="1"/>
      <c r="Y502" s="1"/>
      <c r="Z502" s="240"/>
      <c r="AA502" s="240"/>
      <c r="AC502" s="240"/>
      <c r="AD502" s="240"/>
      <c r="AE502" s="215"/>
      <c r="AF502" s="239"/>
      <c r="AG502" s="246"/>
      <c r="AH502" s="239"/>
      <c r="AI502" s="239"/>
      <c r="AJ502" s="243"/>
      <c r="AL502" s="239"/>
      <c r="AM502" s="239"/>
      <c r="AN502" s="239"/>
      <c r="AR502" s="240"/>
    </row>
    <row r="503" spans="11:44">
      <c r="K503" s="210"/>
      <c r="N503" s="1"/>
      <c r="O503" s="241"/>
      <c r="P503" s="241"/>
      <c r="Q503" s="241"/>
      <c r="R503" s="241"/>
      <c r="W503" s="241"/>
      <c r="X503" s="1"/>
      <c r="Y503" s="1"/>
      <c r="Z503" s="240"/>
      <c r="AA503" s="240"/>
      <c r="AC503" s="240"/>
      <c r="AD503" s="240"/>
      <c r="AE503" s="215"/>
      <c r="AF503" s="239"/>
      <c r="AG503" s="246"/>
      <c r="AH503" s="239"/>
      <c r="AI503" s="239"/>
      <c r="AJ503" s="243"/>
      <c r="AL503" s="239"/>
      <c r="AM503" s="239"/>
      <c r="AN503" s="239"/>
      <c r="AR503" s="240"/>
    </row>
    <row r="504" spans="11:44">
      <c r="K504" s="210"/>
      <c r="N504" s="1"/>
      <c r="O504" s="241"/>
      <c r="P504" s="241"/>
      <c r="Q504" s="241"/>
      <c r="R504" s="241"/>
      <c r="W504" s="241"/>
      <c r="X504" s="1"/>
      <c r="Y504" s="1"/>
      <c r="Z504" s="240"/>
      <c r="AA504" s="240"/>
      <c r="AC504" s="240"/>
      <c r="AD504" s="240"/>
      <c r="AE504" s="215"/>
      <c r="AF504" s="239"/>
      <c r="AG504" s="246"/>
      <c r="AH504" s="239"/>
      <c r="AI504" s="239"/>
      <c r="AJ504" s="243"/>
      <c r="AL504" s="239"/>
      <c r="AM504" s="239"/>
      <c r="AN504" s="239"/>
      <c r="AR504" s="240"/>
    </row>
    <row r="505" spans="11:44">
      <c r="K505" s="210"/>
      <c r="N505" s="1"/>
      <c r="O505" s="241"/>
      <c r="P505" s="241"/>
      <c r="Q505" s="241"/>
      <c r="R505" s="241"/>
      <c r="W505" s="241"/>
      <c r="X505" s="1"/>
      <c r="Y505" s="1"/>
      <c r="Z505" s="240"/>
      <c r="AA505" s="240"/>
      <c r="AC505" s="240"/>
      <c r="AD505" s="240"/>
      <c r="AE505" s="215"/>
      <c r="AF505" s="239"/>
      <c r="AG505" s="246"/>
      <c r="AH505" s="239"/>
      <c r="AI505" s="239"/>
      <c r="AJ505" s="243"/>
      <c r="AL505" s="239"/>
      <c r="AM505" s="239"/>
      <c r="AN505" s="239"/>
      <c r="AR505" s="240"/>
    </row>
    <row r="506" spans="11:44">
      <c r="K506" s="210"/>
      <c r="N506" s="1"/>
      <c r="O506" s="241"/>
      <c r="P506" s="241"/>
      <c r="Q506" s="241"/>
      <c r="R506" s="241"/>
      <c r="W506" s="241"/>
      <c r="X506" s="1"/>
      <c r="Y506" s="1"/>
      <c r="Z506" s="240"/>
      <c r="AA506" s="240"/>
      <c r="AC506" s="240"/>
      <c r="AD506" s="240"/>
      <c r="AE506" s="215"/>
      <c r="AF506" s="239"/>
      <c r="AG506" s="246"/>
      <c r="AH506" s="239"/>
      <c r="AI506" s="239"/>
      <c r="AJ506" s="243"/>
      <c r="AL506" s="239"/>
      <c r="AM506" s="239"/>
      <c r="AN506" s="239"/>
      <c r="AR506" s="240"/>
    </row>
    <row r="507" spans="11:44">
      <c r="K507" s="210"/>
      <c r="N507" s="1"/>
      <c r="O507" s="241"/>
      <c r="P507" s="241"/>
      <c r="Q507" s="241"/>
      <c r="R507" s="241"/>
      <c r="W507" s="241"/>
      <c r="X507" s="1"/>
      <c r="Y507" s="1"/>
      <c r="Z507" s="240"/>
      <c r="AA507" s="240"/>
      <c r="AC507" s="240"/>
      <c r="AD507" s="240"/>
      <c r="AE507" s="215"/>
      <c r="AF507" s="239"/>
      <c r="AG507" s="246"/>
      <c r="AH507" s="239"/>
      <c r="AI507" s="239"/>
      <c r="AJ507" s="243"/>
      <c r="AL507" s="239"/>
      <c r="AM507" s="239"/>
      <c r="AN507" s="239"/>
      <c r="AR507" s="240"/>
    </row>
    <row r="508" spans="11:44">
      <c r="K508" s="210"/>
      <c r="N508" s="1"/>
      <c r="O508" s="241"/>
      <c r="P508" s="241"/>
      <c r="Q508" s="241"/>
      <c r="R508" s="241"/>
      <c r="W508" s="241"/>
      <c r="X508" s="1"/>
      <c r="Y508" s="1"/>
      <c r="Z508" s="240"/>
      <c r="AA508" s="240"/>
      <c r="AC508" s="240"/>
      <c r="AD508" s="240"/>
      <c r="AE508" s="215"/>
      <c r="AF508" s="239"/>
      <c r="AG508" s="246"/>
      <c r="AH508" s="239"/>
      <c r="AI508" s="239"/>
      <c r="AJ508" s="243"/>
      <c r="AL508" s="239"/>
      <c r="AM508" s="239"/>
      <c r="AN508" s="239"/>
      <c r="AR508" s="240"/>
    </row>
    <row r="509" spans="11:44">
      <c r="K509" s="210"/>
      <c r="N509" s="1"/>
      <c r="O509" s="241"/>
      <c r="P509" s="241"/>
      <c r="Q509" s="241"/>
      <c r="R509" s="241"/>
      <c r="W509" s="241"/>
      <c r="X509" s="1"/>
      <c r="Y509" s="1"/>
      <c r="Z509" s="240"/>
      <c r="AA509" s="240"/>
      <c r="AC509" s="240"/>
      <c r="AD509" s="240"/>
      <c r="AE509" s="215"/>
      <c r="AF509" s="239"/>
      <c r="AG509" s="246"/>
      <c r="AH509" s="239"/>
      <c r="AI509" s="239"/>
      <c r="AJ509" s="243"/>
      <c r="AL509" s="239"/>
      <c r="AM509" s="239"/>
      <c r="AN509" s="239"/>
      <c r="AR509" s="240"/>
    </row>
    <row r="510" spans="11:44">
      <c r="K510" s="210"/>
      <c r="N510" s="1"/>
      <c r="O510" s="241"/>
      <c r="P510" s="241"/>
      <c r="Q510" s="241"/>
      <c r="R510" s="241"/>
      <c r="W510" s="241"/>
      <c r="X510" s="1"/>
      <c r="Y510" s="1"/>
      <c r="Z510" s="240"/>
      <c r="AA510" s="240"/>
      <c r="AC510" s="240"/>
      <c r="AD510" s="240"/>
      <c r="AE510" s="215"/>
      <c r="AF510" s="239"/>
      <c r="AG510" s="246"/>
      <c r="AH510" s="239"/>
      <c r="AI510" s="239"/>
      <c r="AJ510" s="243"/>
      <c r="AL510" s="239"/>
      <c r="AM510" s="239"/>
      <c r="AN510" s="239"/>
      <c r="AR510" s="240"/>
    </row>
    <row r="511" spans="11:44">
      <c r="K511" s="210"/>
      <c r="N511" s="1"/>
      <c r="O511" s="241"/>
      <c r="P511" s="241"/>
      <c r="Q511" s="241"/>
      <c r="R511" s="241"/>
      <c r="W511" s="241"/>
      <c r="X511" s="1"/>
      <c r="Y511" s="1"/>
      <c r="Z511" s="240"/>
      <c r="AA511" s="240"/>
      <c r="AC511" s="240"/>
      <c r="AD511" s="240"/>
      <c r="AE511" s="215"/>
      <c r="AF511" s="239"/>
      <c r="AG511" s="246"/>
      <c r="AH511" s="239"/>
      <c r="AI511" s="239"/>
      <c r="AJ511" s="243"/>
      <c r="AL511" s="239"/>
      <c r="AM511" s="239"/>
      <c r="AN511" s="239"/>
      <c r="AR511" s="240"/>
    </row>
    <row r="512" spans="11:44">
      <c r="K512" s="210"/>
      <c r="N512" s="1"/>
      <c r="O512" s="241"/>
      <c r="P512" s="241"/>
      <c r="Q512" s="241"/>
      <c r="R512" s="241"/>
      <c r="W512" s="241"/>
      <c r="X512" s="1"/>
      <c r="Y512" s="1"/>
      <c r="Z512" s="240"/>
      <c r="AA512" s="240"/>
      <c r="AC512" s="240"/>
      <c r="AD512" s="240"/>
      <c r="AE512" s="216"/>
      <c r="AF512" s="239"/>
      <c r="AG512" s="246"/>
      <c r="AH512" s="239"/>
      <c r="AI512" s="239"/>
      <c r="AJ512" s="243"/>
      <c r="AL512" s="239"/>
      <c r="AM512" s="239"/>
      <c r="AN512" s="239"/>
      <c r="AR512" s="240"/>
    </row>
    <row r="513" spans="11:44">
      <c r="K513" s="210"/>
      <c r="N513" s="1"/>
      <c r="O513" s="241"/>
      <c r="P513" s="241"/>
      <c r="Q513" s="241"/>
      <c r="R513" s="241"/>
      <c r="W513" s="241"/>
      <c r="X513" s="1"/>
      <c r="Y513" s="1"/>
      <c r="Z513" s="240"/>
      <c r="AA513" s="240"/>
      <c r="AC513" s="240"/>
      <c r="AD513" s="240"/>
      <c r="AE513" s="216"/>
      <c r="AF513" s="239"/>
      <c r="AG513" s="246"/>
      <c r="AH513" s="239"/>
      <c r="AI513" s="239"/>
      <c r="AJ513" s="243"/>
      <c r="AL513" s="239"/>
      <c r="AM513" s="239"/>
      <c r="AN513" s="239"/>
      <c r="AR513" s="240"/>
    </row>
    <row r="514" spans="11:44">
      <c r="K514" s="210"/>
      <c r="N514" s="1"/>
      <c r="O514" s="241"/>
      <c r="P514" s="241"/>
      <c r="Q514" s="241"/>
      <c r="R514" s="241"/>
      <c r="W514" s="241"/>
      <c r="X514" s="1"/>
      <c r="Y514" s="1"/>
      <c r="Z514" s="240"/>
      <c r="AA514" s="240"/>
      <c r="AC514" s="240"/>
      <c r="AD514" s="240"/>
      <c r="AE514" s="216"/>
      <c r="AF514" s="239"/>
      <c r="AG514" s="246"/>
      <c r="AH514" s="239"/>
      <c r="AI514" s="239"/>
      <c r="AJ514" s="243"/>
      <c r="AL514" s="239"/>
      <c r="AM514" s="239"/>
      <c r="AN514" s="239"/>
      <c r="AR514" s="240"/>
    </row>
    <row r="515" spans="11:44">
      <c r="K515" s="210"/>
      <c r="N515" s="1"/>
      <c r="O515" s="241"/>
      <c r="P515" s="241"/>
      <c r="Q515" s="241"/>
      <c r="R515" s="241"/>
      <c r="W515" s="241"/>
      <c r="X515" s="1"/>
      <c r="Y515" s="1"/>
      <c r="Z515" s="240"/>
      <c r="AA515" s="240"/>
      <c r="AC515" s="240"/>
      <c r="AD515" s="240"/>
      <c r="AE515" s="216"/>
      <c r="AF515" s="239"/>
      <c r="AG515" s="246"/>
      <c r="AH515" s="239"/>
      <c r="AI515" s="239"/>
      <c r="AJ515" s="243"/>
      <c r="AL515" s="239"/>
      <c r="AM515" s="239"/>
      <c r="AN515" s="239"/>
      <c r="AR515" s="240"/>
    </row>
    <row r="516" spans="11:44">
      <c r="K516" s="210"/>
      <c r="N516" s="1"/>
      <c r="O516" s="241"/>
      <c r="P516" s="241"/>
      <c r="Q516" s="241"/>
      <c r="R516" s="241"/>
      <c r="W516" s="241"/>
      <c r="X516" s="1"/>
      <c r="Y516" s="1"/>
      <c r="Z516" s="240"/>
      <c r="AA516" s="240"/>
      <c r="AC516" s="240"/>
      <c r="AD516" s="240"/>
      <c r="AE516" s="216"/>
      <c r="AF516" s="239"/>
      <c r="AG516" s="246"/>
      <c r="AH516" s="239"/>
      <c r="AI516" s="239"/>
      <c r="AJ516" s="243"/>
      <c r="AL516" s="239"/>
      <c r="AM516" s="239"/>
      <c r="AN516" s="239"/>
      <c r="AR516" s="240"/>
    </row>
    <row r="517" spans="11:44">
      <c r="K517" s="210"/>
      <c r="N517" s="1"/>
      <c r="O517" s="241"/>
      <c r="P517" s="241"/>
      <c r="Q517" s="241"/>
      <c r="R517" s="241"/>
      <c r="W517" s="241"/>
      <c r="X517" s="1"/>
      <c r="Y517" s="1"/>
      <c r="Z517" s="240"/>
      <c r="AA517" s="240"/>
      <c r="AC517" s="240"/>
      <c r="AD517" s="240"/>
      <c r="AE517" s="216"/>
      <c r="AF517" s="239"/>
      <c r="AG517" s="246"/>
      <c r="AH517" s="239"/>
      <c r="AI517" s="239"/>
      <c r="AJ517" s="243"/>
      <c r="AL517" s="239"/>
      <c r="AM517" s="239"/>
      <c r="AN517" s="239"/>
      <c r="AR517" s="240"/>
    </row>
    <row r="518" spans="11:44">
      <c r="K518" s="210"/>
      <c r="N518" s="1"/>
      <c r="O518" s="241"/>
      <c r="P518" s="241"/>
      <c r="Q518" s="241"/>
      <c r="R518" s="241"/>
      <c r="W518" s="241"/>
      <c r="X518" s="1"/>
      <c r="Y518" s="1"/>
      <c r="Z518" s="240"/>
      <c r="AA518" s="240"/>
      <c r="AC518" s="240"/>
      <c r="AD518" s="240"/>
      <c r="AE518" s="216"/>
      <c r="AF518" s="239"/>
      <c r="AG518" s="246"/>
      <c r="AH518" s="239"/>
      <c r="AI518" s="239"/>
      <c r="AJ518" s="243"/>
      <c r="AL518" s="239"/>
      <c r="AM518" s="239"/>
      <c r="AN518" s="239"/>
      <c r="AR518" s="240"/>
    </row>
    <row r="519" spans="11:44">
      <c r="K519" s="210"/>
      <c r="N519" s="1"/>
      <c r="O519" s="241"/>
      <c r="P519" s="241"/>
      <c r="Q519" s="241"/>
      <c r="R519" s="241"/>
      <c r="W519" s="241"/>
      <c r="X519" s="1"/>
      <c r="Y519" s="1"/>
      <c r="Z519" s="240"/>
      <c r="AA519" s="240"/>
      <c r="AC519" s="240"/>
      <c r="AD519" s="240"/>
      <c r="AE519" s="216"/>
      <c r="AF519" s="239"/>
      <c r="AG519" s="246"/>
      <c r="AH519" s="239"/>
      <c r="AI519" s="239"/>
      <c r="AJ519" s="243"/>
      <c r="AL519" s="239"/>
      <c r="AM519" s="239"/>
      <c r="AN519" s="239"/>
      <c r="AR519" s="240"/>
    </row>
    <row r="520" spans="11:44">
      <c r="K520" s="210"/>
      <c r="N520" s="1"/>
      <c r="O520" s="241"/>
      <c r="P520" s="241"/>
      <c r="Q520" s="241"/>
      <c r="R520" s="241"/>
      <c r="W520" s="241"/>
      <c r="X520" s="1"/>
      <c r="Y520" s="1"/>
      <c r="Z520" s="240"/>
      <c r="AA520" s="240"/>
      <c r="AC520" s="240"/>
      <c r="AD520" s="240"/>
      <c r="AE520" s="216"/>
      <c r="AF520" s="239"/>
      <c r="AG520" s="246"/>
      <c r="AH520" s="239"/>
      <c r="AI520" s="239"/>
      <c r="AJ520" s="243"/>
      <c r="AL520" s="239"/>
      <c r="AM520" s="239"/>
      <c r="AN520" s="239"/>
      <c r="AR520" s="240"/>
    </row>
    <row r="521" spans="11:44">
      <c r="K521" s="210"/>
      <c r="N521" s="1"/>
      <c r="O521" s="241"/>
      <c r="P521" s="241"/>
      <c r="Q521" s="241"/>
      <c r="R521" s="241"/>
      <c r="W521" s="241"/>
      <c r="X521" s="1"/>
      <c r="Y521" s="1"/>
      <c r="Z521" s="240"/>
      <c r="AA521" s="240"/>
      <c r="AC521" s="240"/>
      <c r="AD521" s="240"/>
      <c r="AE521" s="216"/>
      <c r="AF521" s="239"/>
      <c r="AG521" s="246"/>
      <c r="AH521" s="239"/>
      <c r="AI521" s="239"/>
      <c r="AJ521" s="243"/>
      <c r="AL521" s="239"/>
      <c r="AM521" s="239"/>
      <c r="AN521" s="239"/>
      <c r="AR521" s="240"/>
    </row>
    <row r="522" spans="11:44">
      <c r="K522" s="210"/>
      <c r="N522" s="1"/>
      <c r="O522" s="241"/>
      <c r="P522" s="241"/>
      <c r="Q522" s="241"/>
      <c r="R522" s="241"/>
      <c r="W522" s="241"/>
      <c r="X522" s="1"/>
      <c r="Y522" s="1"/>
      <c r="Z522" s="240"/>
      <c r="AA522" s="240"/>
      <c r="AC522" s="240"/>
      <c r="AD522" s="240"/>
      <c r="AE522" s="216"/>
      <c r="AF522" s="239"/>
      <c r="AG522" s="246"/>
      <c r="AH522" s="239"/>
      <c r="AI522" s="239"/>
      <c r="AJ522" s="243"/>
      <c r="AL522" s="239"/>
      <c r="AM522" s="239"/>
      <c r="AN522" s="239"/>
      <c r="AR522" s="240"/>
    </row>
    <row r="523" spans="11:44">
      <c r="K523" s="210"/>
      <c r="N523" s="1"/>
      <c r="O523" s="241"/>
      <c r="P523" s="241"/>
      <c r="Q523" s="241"/>
      <c r="R523" s="241"/>
      <c r="W523" s="241"/>
      <c r="X523" s="1"/>
      <c r="Y523" s="1"/>
      <c r="Z523" s="240"/>
      <c r="AA523" s="240"/>
      <c r="AC523" s="240"/>
      <c r="AD523" s="240"/>
      <c r="AE523" s="216"/>
      <c r="AF523" s="239"/>
      <c r="AG523" s="246"/>
      <c r="AH523" s="239"/>
      <c r="AI523" s="239"/>
      <c r="AJ523" s="243"/>
      <c r="AL523" s="239"/>
      <c r="AM523" s="239"/>
      <c r="AN523" s="239"/>
      <c r="AR523" s="240"/>
    </row>
    <row r="524" spans="11:44">
      <c r="K524" s="210"/>
      <c r="N524" s="1"/>
      <c r="O524" s="241"/>
      <c r="P524" s="241"/>
      <c r="Q524" s="241"/>
      <c r="R524" s="241"/>
      <c r="W524" s="241"/>
      <c r="X524" s="1"/>
      <c r="Y524" s="1"/>
      <c r="Z524" s="240"/>
      <c r="AA524" s="240"/>
      <c r="AC524" s="240"/>
      <c r="AD524" s="240"/>
      <c r="AE524" s="216"/>
      <c r="AF524" s="239"/>
      <c r="AG524" s="246"/>
      <c r="AH524" s="239"/>
      <c r="AI524" s="239"/>
      <c r="AJ524" s="243"/>
      <c r="AL524" s="239"/>
      <c r="AM524" s="239"/>
      <c r="AN524" s="239"/>
      <c r="AR524" s="240"/>
    </row>
    <row r="525" spans="11:44">
      <c r="K525" s="210"/>
      <c r="N525" s="1"/>
      <c r="O525" s="241"/>
      <c r="P525" s="241"/>
      <c r="Q525" s="241"/>
      <c r="R525" s="241"/>
      <c r="W525" s="241"/>
      <c r="X525" s="1"/>
      <c r="Y525" s="1"/>
      <c r="Z525" s="240"/>
      <c r="AA525" s="240"/>
      <c r="AC525" s="240"/>
      <c r="AD525" s="240"/>
      <c r="AE525" s="216"/>
      <c r="AF525" s="239"/>
      <c r="AG525" s="246"/>
      <c r="AH525" s="239"/>
      <c r="AI525" s="239"/>
      <c r="AJ525" s="243"/>
      <c r="AL525" s="239"/>
      <c r="AM525" s="239"/>
      <c r="AN525" s="239"/>
      <c r="AR525" s="240"/>
    </row>
    <row r="526" spans="11:44">
      <c r="K526" s="210"/>
      <c r="N526" s="1"/>
      <c r="O526" s="241"/>
      <c r="P526" s="241"/>
      <c r="Q526" s="241"/>
      <c r="R526" s="241"/>
      <c r="W526" s="241"/>
      <c r="X526" s="1"/>
      <c r="Y526" s="1"/>
      <c r="Z526" s="240"/>
      <c r="AA526" s="240"/>
      <c r="AC526" s="240"/>
      <c r="AD526" s="240"/>
      <c r="AE526" s="216"/>
      <c r="AF526" s="239"/>
      <c r="AG526" s="246"/>
      <c r="AH526" s="239"/>
      <c r="AI526" s="239"/>
      <c r="AJ526" s="243"/>
      <c r="AL526" s="239"/>
      <c r="AM526" s="239"/>
      <c r="AN526" s="239"/>
      <c r="AR526" s="240"/>
    </row>
    <row r="527" spans="11:44">
      <c r="K527" s="210"/>
      <c r="N527" s="1"/>
      <c r="O527" s="241"/>
      <c r="P527" s="241"/>
      <c r="Q527" s="241"/>
      <c r="R527" s="241"/>
      <c r="W527" s="241"/>
      <c r="X527" s="1"/>
      <c r="Y527" s="1"/>
      <c r="Z527" s="240"/>
      <c r="AA527" s="240"/>
      <c r="AC527" s="240"/>
      <c r="AD527" s="240"/>
      <c r="AE527" s="216"/>
      <c r="AF527" s="239"/>
      <c r="AG527" s="246"/>
      <c r="AH527" s="239"/>
      <c r="AI527" s="239"/>
      <c r="AJ527" s="243"/>
      <c r="AL527" s="239"/>
      <c r="AM527" s="239"/>
      <c r="AN527" s="239"/>
      <c r="AR527" s="240"/>
    </row>
    <row r="528" spans="11:44">
      <c r="K528" s="210"/>
      <c r="N528" s="1"/>
      <c r="O528" s="241"/>
      <c r="P528" s="241"/>
      <c r="Q528" s="241"/>
      <c r="R528" s="241"/>
      <c r="W528" s="241"/>
      <c r="X528" s="1"/>
      <c r="Y528" s="1"/>
      <c r="Z528" s="240"/>
      <c r="AA528" s="240"/>
      <c r="AC528" s="240"/>
      <c r="AD528" s="240"/>
      <c r="AE528" s="216"/>
      <c r="AF528" s="239"/>
      <c r="AG528" s="246"/>
      <c r="AH528" s="239"/>
      <c r="AI528" s="239"/>
      <c r="AJ528" s="243"/>
      <c r="AL528" s="239"/>
      <c r="AM528" s="239"/>
      <c r="AN528" s="239"/>
      <c r="AR528" s="240"/>
    </row>
    <row r="529" spans="11:44">
      <c r="K529" s="210"/>
      <c r="N529" s="1"/>
      <c r="O529" s="241"/>
      <c r="P529" s="241"/>
      <c r="Q529" s="241"/>
      <c r="R529" s="241"/>
      <c r="W529" s="241"/>
      <c r="X529" s="1"/>
      <c r="Y529" s="1"/>
      <c r="Z529" s="240"/>
      <c r="AA529" s="240"/>
      <c r="AC529" s="240"/>
      <c r="AD529" s="240"/>
      <c r="AE529" s="216"/>
      <c r="AF529" s="239"/>
      <c r="AG529" s="246"/>
      <c r="AH529" s="239"/>
      <c r="AI529" s="239"/>
      <c r="AJ529" s="243"/>
      <c r="AL529" s="239"/>
      <c r="AM529" s="239"/>
      <c r="AN529" s="239"/>
      <c r="AR529" s="240"/>
    </row>
    <row r="530" spans="11:44">
      <c r="K530" s="210"/>
      <c r="N530" s="1"/>
      <c r="O530" s="241"/>
      <c r="P530" s="241"/>
      <c r="Q530" s="241"/>
      <c r="R530" s="241"/>
      <c r="W530" s="241"/>
      <c r="X530" s="1"/>
      <c r="Y530" s="1"/>
      <c r="Z530" s="240"/>
      <c r="AA530" s="240"/>
      <c r="AC530" s="240"/>
      <c r="AD530" s="240"/>
      <c r="AE530" s="216"/>
      <c r="AF530" s="239"/>
      <c r="AG530" s="246"/>
      <c r="AH530" s="239"/>
      <c r="AI530" s="239"/>
      <c r="AJ530" s="243"/>
      <c r="AL530" s="239"/>
      <c r="AM530" s="239"/>
      <c r="AN530" s="239"/>
      <c r="AR530" s="240"/>
    </row>
    <row r="531" spans="11:44">
      <c r="K531" s="210"/>
      <c r="N531" s="1"/>
      <c r="O531" s="241"/>
      <c r="P531" s="241"/>
      <c r="Q531" s="241"/>
      <c r="R531" s="241"/>
      <c r="W531" s="241"/>
      <c r="X531" s="1"/>
      <c r="Y531" s="1"/>
      <c r="Z531" s="240"/>
      <c r="AA531" s="240"/>
      <c r="AC531" s="240"/>
      <c r="AD531" s="240"/>
      <c r="AE531" s="216"/>
      <c r="AF531" s="239"/>
      <c r="AG531" s="246"/>
      <c r="AH531" s="239"/>
      <c r="AI531" s="239"/>
      <c r="AJ531" s="243"/>
      <c r="AL531" s="239"/>
      <c r="AM531" s="239"/>
      <c r="AN531" s="239"/>
      <c r="AR531" s="240"/>
    </row>
    <row r="532" spans="11:44">
      <c r="K532" s="210"/>
      <c r="N532" s="1"/>
      <c r="O532" s="241"/>
      <c r="P532" s="241"/>
      <c r="Q532" s="241"/>
      <c r="R532" s="241"/>
      <c r="W532" s="241"/>
      <c r="X532" s="1"/>
      <c r="Y532" s="1"/>
      <c r="Z532" s="240"/>
      <c r="AA532" s="240"/>
      <c r="AC532" s="240"/>
      <c r="AD532" s="240"/>
      <c r="AE532" s="216"/>
      <c r="AF532" s="239"/>
      <c r="AG532" s="246"/>
      <c r="AH532" s="239"/>
      <c r="AI532" s="239"/>
      <c r="AJ532" s="243"/>
      <c r="AL532" s="239"/>
      <c r="AM532" s="239"/>
      <c r="AN532" s="239"/>
      <c r="AR532" s="240"/>
    </row>
    <row r="533" spans="11:44">
      <c r="K533" s="210"/>
      <c r="N533" s="1"/>
      <c r="O533" s="241"/>
      <c r="P533" s="241"/>
      <c r="Q533" s="241"/>
      <c r="R533" s="241"/>
      <c r="W533" s="241"/>
      <c r="X533" s="1"/>
      <c r="Y533" s="1"/>
      <c r="Z533" s="240"/>
      <c r="AA533" s="240"/>
      <c r="AC533" s="240"/>
      <c r="AD533" s="240"/>
      <c r="AE533" s="216"/>
      <c r="AF533" s="239"/>
      <c r="AG533" s="246"/>
      <c r="AH533" s="239"/>
      <c r="AI533" s="239"/>
      <c r="AJ533" s="243"/>
      <c r="AL533" s="239"/>
      <c r="AM533" s="239"/>
      <c r="AN533" s="239"/>
      <c r="AR533" s="240"/>
    </row>
    <row r="534" spans="11:44">
      <c r="K534" s="210"/>
      <c r="N534" s="1"/>
      <c r="O534" s="241"/>
      <c r="P534" s="241"/>
      <c r="Q534" s="241"/>
      <c r="R534" s="241"/>
      <c r="W534" s="241"/>
      <c r="X534" s="1"/>
      <c r="Y534" s="1"/>
      <c r="Z534" s="240"/>
      <c r="AA534" s="240"/>
      <c r="AC534" s="240"/>
      <c r="AD534" s="240"/>
      <c r="AE534" s="216"/>
      <c r="AF534" s="239"/>
      <c r="AG534" s="246"/>
      <c r="AH534" s="239"/>
      <c r="AI534" s="239"/>
      <c r="AJ534" s="243"/>
      <c r="AL534" s="239"/>
      <c r="AM534" s="239"/>
      <c r="AN534" s="239"/>
      <c r="AR534" s="240"/>
    </row>
    <row r="535" spans="11:44">
      <c r="K535" s="210"/>
      <c r="N535" s="1"/>
      <c r="O535" s="241"/>
      <c r="P535" s="241"/>
      <c r="Q535" s="241"/>
      <c r="R535" s="241"/>
      <c r="W535" s="241"/>
      <c r="X535" s="1"/>
      <c r="Y535" s="1"/>
      <c r="Z535" s="240"/>
      <c r="AA535" s="240"/>
      <c r="AC535" s="240"/>
      <c r="AD535" s="240"/>
      <c r="AE535" s="216"/>
      <c r="AF535" s="239"/>
      <c r="AG535" s="246"/>
      <c r="AH535" s="239"/>
      <c r="AI535" s="239"/>
      <c r="AJ535" s="243"/>
      <c r="AL535" s="239"/>
      <c r="AM535" s="239"/>
      <c r="AN535" s="239"/>
      <c r="AR535" s="240"/>
    </row>
    <row r="536" spans="11:44">
      <c r="K536" s="210"/>
      <c r="N536" s="1"/>
      <c r="O536" s="241"/>
      <c r="P536" s="241"/>
      <c r="Q536" s="241"/>
      <c r="R536" s="241"/>
      <c r="W536" s="241"/>
      <c r="X536" s="1"/>
      <c r="Y536" s="1"/>
      <c r="Z536" s="240"/>
      <c r="AA536" s="240"/>
      <c r="AC536" s="240"/>
      <c r="AD536" s="240"/>
      <c r="AE536" s="216"/>
      <c r="AF536" s="239"/>
      <c r="AG536" s="246"/>
      <c r="AH536" s="239"/>
      <c r="AI536" s="239"/>
      <c r="AJ536" s="243"/>
      <c r="AL536" s="239"/>
      <c r="AM536" s="239"/>
      <c r="AN536" s="239"/>
      <c r="AR536" s="240"/>
    </row>
    <row r="537" spans="11:44">
      <c r="K537" s="210"/>
      <c r="N537" s="1"/>
      <c r="O537" s="241"/>
      <c r="P537" s="241"/>
      <c r="Q537" s="241"/>
      <c r="R537" s="241"/>
      <c r="W537" s="241"/>
      <c r="X537" s="1"/>
      <c r="Y537" s="1"/>
      <c r="Z537" s="240"/>
      <c r="AA537" s="240"/>
      <c r="AC537" s="240"/>
      <c r="AD537" s="240"/>
      <c r="AE537" s="216"/>
      <c r="AF537" s="239"/>
      <c r="AG537" s="246"/>
      <c r="AH537" s="239"/>
      <c r="AI537" s="239"/>
      <c r="AJ537" s="243"/>
      <c r="AL537" s="239"/>
      <c r="AM537" s="239"/>
      <c r="AN537" s="239"/>
      <c r="AR537" s="240"/>
    </row>
    <row r="538" spans="11:44">
      <c r="K538" s="210"/>
      <c r="N538" s="1"/>
      <c r="O538" s="241"/>
      <c r="P538" s="241"/>
      <c r="Q538" s="241"/>
      <c r="R538" s="241"/>
      <c r="W538" s="241"/>
      <c r="X538" s="1"/>
      <c r="Y538" s="1"/>
      <c r="Z538" s="240"/>
      <c r="AA538" s="240"/>
      <c r="AC538" s="240"/>
      <c r="AD538" s="240"/>
      <c r="AE538" s="216"/>
      <c r="AF538" s="239"/>
      <c r="AG538" s="246"/>
      <c r="AH538" s="239"/>
      <c r="AI538" s="239"/>
      <c r="AJ538" s="243"/>
      <c r="AL538" s="239"/>
      <c r="AM538" s="239"/>
      <c r="AN538" s="239"/>
      <c r="AR538" s="240"/>
    </row>
    <row r="539" spans="11:44">
      <c r="K539" s="210"/>
      <c r="N539" s="1"/>
      <c r="O539" s="241"/>
      <c r="P539" s="241"/>
      <c r="Q539" s="241"/>
      <c r="R539" s="241"/>
      <c r="W539" s="241"/>
      <c r="X539" s="1"/>
      <c r="Y539" s="1"/>
      <c r="Z539" s="240"/>
      <c r="AA539" s="240"/>
      <c r="AC539" s="240"/>
      <c r="AD539" s="240"/>
      <c r="AE539" s="216"/>
      <c r="AF539" s="239"/>
      <c r="AG539" s="246"/>
      <c r="AH539" s="239"/>
      <c r="AI539" s="239"/>
      <c r="AJ539" s="243"/>
      <c r="AL539" s="239"/>
      <c r="AM539" s="239"/>
      <c r="AN539" s="239"/>
      <c r="AR539" s="240"/>
    </row>
    <row r="540" spans="11:44">
      <c r="K540" s="210"/>
      <c r="N540" s="1"/>
      <c r="O540" s="241"/>
      <c r="P540" s="241"/>
      <c r="Q540" s="241"/>
      <c r="R540" s="241"/>
      <c r="W540" s="241"/>
      <c r="X540" s="1"/>
      <c r="Y540" s="1"/>
      <c r="Z540" s="240"/>
      <c r="AA540" s="240"/>
      <c r="AC540" s="240"/>
      <c r="AD540" s="240"/>
      <c r="AE540" s="216"/>
      <c r="AF540" s="239"/>
      <c r="AG540" s="246"/>
      <c r="AH540" s="239"/>
      <c r="AI540" s="239"/>
      <c r="AJ540" s="243"/>
      <c r="AL540" s="239"/>
      <c r="AM540" s="239"/>
      <c r="AN540" s="239"/>
      <c r="AR540" s="240"/>
    </row>
    <row r="541" spans="11:44">
      <c r="K541" s="210"/>
      <c r="N541" s="1"/>
      <c r="O541" s="241"/>
      <c r="P541" s="241"/>
      <c r="Q541" s="241"/>
      <c r="R541" s="241"/>
      <c r="W541" s="241"/>
      <c r="X541" s="1"/>
      <c r="Y541" s="1"/>
      <c r="Z541" s="240"/>
      <c r="AA541" s="240"/>
      <c r="AC541" s="240"/>
      <c r="AD541" s="240"/>
      <c r="AE541" s="216"/>
      <c r="AF541" s="239"/>
      <c r="AG541" s="246"/>
      <c r="AH541" s="239"/>
      <c r="AI541" s="239"/>
      <c r="AJ541" s="243"/>
      <c r="AL541" s="239"/>
      <c r="AM541" s="239"/>
      <c r="AN541" s="239"/>
      <c r="AR541" s="240"/>
    </row>
    <row r="542" spans="11:44">
      <c r="K542" s="210"/>
      <c r="N542" s="1"/>
      <c r="O542" s="241"/>
      <c r="P542" s="241"/>
      <c r="Q542" s="241"/>
      <c r="R542" s="241"/>
      <c r="W542" s="241"/>
      <c r="X542" s="1"/>
      <c r="Y542" s="1"/>
      <c r="Z542" s="240"/>
      <c r="AA542" s="240"/>
      <c r="AC542" s="240"/>
      <c r="AD542" s="240"/>
      <c r="AE542" s="216"/>
      <c r="AF542" s="239"/>
      <c r="AG542" s="246"/>
      <c r="AH542" s="239"/>
      <c r="AI542" s="239"/>
      <c r="AJ542" s="243"/>
      <c r="AL542" s="239"/>
      <c r="AM542" s="239"/>
      <c r="AN542" s="239"/>
      <c r="AR542" s="240"/>
    </row>
    <row r="543" spans="11:44">
      <c r="K543" s="210"/>
      <c r="N543" s="1"/>
      <c r="O543" s="241"/>
      <c r="P543" s="241"/>
      <c r="Q543" s="241"/>
      <c r="R543" s="241"/>
      <c r="W543" s="241"/>
      <c r="X543" s="1"/>
      <c r="Y543" s="1"/>
      <c r="Z543" s="240"/>
      <c r="AA543" s="240"/>
      <c r="AC543" s="240"/>
      <c r="AD543" s="240"/>
      <c r="AE543" s="216"/>
      <c r="AF543" s="239"/>
      <c r="AG543" s="246"/>
      <c r="AH543" s="239"/>
      <c r="AI543" s="239"/>
      <c r="AJ543" s="243"/>
      <c r="AL543" s="239"/>
      <c r="AM543" s="239"/>
      <c r="AN543" s="239"/>
      <c r="AR543" s="240"/>
    </row>
    <row r="544" spans="11:44">
      <c r="K544" s="210"/>
      <c r="N544" s="1"/>
      <c r="O544" s="241"/>
      <c r="P544" s="241"/>
      <c r="Q544" s="241"/>
      <c r="R544" s="241"/>
      <c r="W544" s="241"/>
      <c r="X544" s="1"/>
      <c r="Y544" s="1"/>
      <c r="Z544" s="240"/>
      <c r="AA544" s="240"/>
      <c r="AC544" s="240"/>
      <c r="AD544" s="240"/>
      <c r="AE544" s="216"/>
      <c r="AF544" s="239"/>
      <c r="AG544" s="246"/>
      <c r="AH544" s="239"/>
      <c r="AI544" s="239"/>
      <c r="AJ544" s="243"/>
      <c r="AL544" s="239"/>
      <c r="AM544" s="239"/>
      <c r="AN544" s="239"/>
      <c r="AR544" s="240"/>
    </row>
    <row r="545" spans="11:44">
      <c r="K545" s="210"/>
      <c r="N545" s="1"/>
      <c r="O545" s="241"/>
      <c r="P545" s="241"/>
      <c r="Q545" s="241"/>
      <c r="R545" s="241"/>
      <c r="W545" s="241"/>
      <c r="X545" s="1"/>
      <c r="Y545" s="1"/>
      <c r="Z545" s="240"/>
      <c r="AA545" s="240"/>
      <c r="AC545" s="240"/>
      <c r="AD545" s="240"/>
      <c r="AE545" s="216"/>
      <c r="AF545" s="239"/>
      <c r="AG545" s="246"/>
      <c r="AH545" s="239"/>
      <c r="AI545" s="239"/>
      <c r="AJ545" s="243"/>
      <c r="AL545" s="239"/>
      <c r="AM545" s="239"/>
      <c r="AN545" s="239"/>
      <c r="AR545" s="240"/>
    </row>
    <row r="546" spans="11:44">
      <c r="K546" s="210"/>
      <c r="N546" s="1"/>
      <c r="O546" s="241"/>
      <c r="P546" s="241"/>
      <c r="Q546" s="241"/>
      <c r="R546" s="241"/>
      <c r="W546" s="241"/>
      <c r="X546" s="1"/>
      <c r="Y546" s="1"/>
      <c r="Z546" s="240"/>
      <c r="AA546" s="240"/>
      <c r="AC546" s="240"/>
      <c r="AD546" s="240"/>
      <c r="AE546" s="216"/>
      <c r="AF546" s="239"/>
      <c r="AG546" s="246"/>
      <c r="AH546" s="239"/>
      <c r="AI546" s="239"/>
      <c r="AJ546" s="243"/>
      <c r="AL546" s="239"/>
      <c r="AM546" s="239"/>
      <c r="AN546" s="239"/>
      <c r="AR546" s="240"/>
    </row>
    <row r="547" spans="11:44">
      <c r="K547" s="210"/>
      <c r="N547" s="1"/>
      <c r="O547" s="241"/>
      <c r="P547" s="241"/>
      <c r="Q547" s="241"/>
      <c r="R547" s="241"/>
      <c r="W547" s="241"/>
      <c r="X547" s="1"/>
      <c r="Y547" s="1"/>
      <c r="Z547" s="240"/>
      <c r="AA547" s="240"/>
      <c r="AC547" s="240"/>
      <c r="AD547" s="240"/>
      <c r="AE547" s="216"/>
      <c r="AF547" s="239"/>
      <c r="AG547" s="246"/>
      <c r="AH547" s="239"/>
      <c r="AI547" s="239"/>
      <c r="AJ547" s="243"/>
      <c r="AL547" s="239"/>
      <c r="AM547" s="239"/>
      <c r="AN547" s="239"/>
      <c r="AR547" s="240"/>
    </row>
    <row r="548" spans="11:44">
      <c r="K548" s="210"/>
      <c r="N548" s="1"/>
      <c r="O548" s="241"/>
      <c r="P548" s="241"/>
      <c r="Q548" s="241"/>
      <c r="R548" s="241"/>
      <c r="W548" s="241"/>
      <c r="X548" s="1"/>
      <c r="Y548" s="1"/>
      <c r="Z548" s="240"/>
      <c r="AA548" s="240"/>
      <c r="AC548" s="240"/>
      <c r="AD548" s="240"/>
      <c r="AE548" s="216"/>
      <c r="AF548" s="239"/>
      <c r="AG548" s="246"/>
      <c r="AH548" s="239"/>
      <c r="AI548" s="239"/>
      <c r="AJ548" s="243"/>
      <c r="AL548" s="239"/>
      <c r="AM548" s="239"/>
      <c r="AN548" s="239"/>
      <c r="AR548" s="240"/>
    </row>
    <row r="549" spans="11:44">
      <c r="K549" s="210"/>
      <c r="N549" s="1"/>
      <c r="O549" s="241"/>
      <c r="P549" s="241"/>
      <c r="Q549" s="241"/>
      <c r="R549" s="241"/>
      <c r="W549" s="241"/>
      <c r="X549" s="1"/>
      <c r="Y549" s="1"/>
      <c r="Z549" s="240"/>
      <c r="AA549" s="240"/>
      <c r="AC549" s="240"/>
      <c r="AD549" s="240"/>
      <c r="AE549" s="216"/>
      <c r="AF549" s="239"/>
      <c r="AG549" s="246"/>
      <c r="AH549" s="239"/>
      <c r="AI549" s="239"/>
      <c r="AJ549" s="243"/>
      <c r="AL549" s="239"/>
      <c r="AM549" s="239"/>
      <c r="AN549" s="239"/>
      <c r="AR549" s="240"/>
    </row>
    <row r="550" spans="11:44">
      <c r="K550" s="210"/>
      <c r="N550" s="1"/>
      <c r="O550" s="241"/>
      <c r="P550" s="241"/>
      <c r="Q550" s="241"/>
      <c r="R550" s="241"/>
      <c r="W550" s="241"/>
      <c r="X550" s="1"/>
      <c r="Y550" s="1"/>
      <c r="Z550" s="240"/>
      <c r="AA550" s="240"/>
      <c r="AC550" s="240"/>
      <c r="AD550" s="240"/>
      <c r="AE550" s="216"/>
      <c r="AF550" s="239"/>
      <c r="AG550" s="246"/>
      <c r="AH550" s="239"/>
      <c r="AI550" s="239"/>
      <c r="AJ550" s="243"/>
      <c r="AL550" s="239"/>
      <c r="AM550" s="239"/>
      <c r="AN550" s="239"/>
      <c r="AR550" s="240"/>
    </row>
    <row r="551" spans="11:44">
      <c r="K551" s="210"/>
      <c r="N551" s="1"/>
      <c r="O551" s="241"/>
      <c r="P551" s="241"/>
      <c r="Q551" s="241"/>
      <c r="R551" s="241"/>
      <c r="W551" s="241"/>
      <c r="X551" s="1"/>
      <c r="Y551" s="1"/>
      <c r="Z551" s="240"/>
      <c r="AA551" s="240"/>
      <c r="AC551" s="240"/>
      <c r="AD551" s="240"/>
      <c r="AE551" s="216"/>
      <c r="AF551" s="239"/>
      <c r="AG551" s="246"/>
      <c r="AH551" s="239"/>
      <c r="AI551" s="239"/>
      <c r="AJ551" s="243"/>
      <c r="AL551" s="239"/>
      <c r="AM551" s="239"/>
      <c r="AN551" s="239"/>
      <c r="AR551" s="240"/>
    </row>
    <row r="552" spans="11:44">
      <c r="K552" s="210"/>
      <c r="N552" s="1"/>
      <c r="O552" s="241"/>
      <c r="P552" s="241"/>
      <c r="Q552" s="241"/>
      <c r="R552" s="241"/>
      <c r="W552" s="241"/>
      <c r="X552" s="1"/>
      <c r="Y552" s="1"/>
      <c r="Z552" s="240"/>
      <c r="AA552" s="240"/>
      <c r="AC552" s="240"/>
      <c r="AD552" s="240"/>
      <c r="AE552" s="216"/>
      <c r="AF552" s="239"/>
      <c r="AG552" s="246"/>
      <c r="AH552" s="239"/>
      <c r="AI552" s="239"/>
      <c r="AJ552" s="243"/>
      <c r="AL552" s="239"/>
      <c r="AM552" s="239"/>
      <c r="AN552" s="239"/>
      <c r="AR552" s="240"/>
    </row>
    <row r="553" spans="11:44">
      <c r="K553" s="210"/>
      <c r="N553" s="1"/>
      <c r="O553" s="241"/>
      <c r="P553" s="241"/>
      <c r="Q553" s="241"/>
      <c r="R553" s="241"/>
      <c r="W553" s="241"/>
      <c r="X553" s="1"/>
      <c r="Y553" s="1"/>
      <c r="Z553" s="240"/>
      <c r="AA553" s="240"/>
      <c r="AC553" s="240"/>
      <c r="AD553" s="240"/>
      <c r="AE553" s="216"/>
      <c r="AF553" s="239"/>
      <c r="AG553" s="246"/>
      <c r="AH553" s="239"/>
      <c r="AI553" s="239"/>
      <c r="AJ553" s="243"/>
      <c r="AL553" s="239"/>
      <c r="AM553" s="239"/>
      <c r="AN553" s="239"/>
      <c r="AR553" s="240"/>
    </row>
    <row r="554" spans="11:44">
      <c r="K554" s="210"/>
      <c r="N554" s="1"/>
      <c r="O554" s="241"/>
      <c r="P554" s="241"/>
      <c r="Q554" s="241"/>
      <c r="R554" s="241"/>
      <c r="W554" s="241"/>
      <c r="X554" s="1"/>
      <c r="Y554" s="1"/>
      <c r="Z554" s="240"/>
      <c r="AA554" s="240"/>
      <c r="AC554" s="240"/>
      <c r="AD554" s="240"/>
      <c r="AE554" s="216"/>
      <c r="AF554" s="239"/>
      <c r="AG554" s="246"/>
      <c r="AH554" s="239"/>
      <c r="AI554" s="239"/>
      <c r="AJ554" s="243"/>
      <c r="AL554" s="239"/>
      <c r="AM554" s="239"/>
      <c r="AN554" s="239"/>
      <c r="AR554" s="240"/>
    </row>
    <row r="555" spans="11:44">
      <c r="K555" s="210"/>
      <c r="N555" s="1"/>
      <c r="O555" s="241"/>
      <c r="P555" s="241"/>
      <c r="Q555" s="241"/>
      <c r="R555" s="241"/>
      <c r="W555" s="241"/>
      <c r="X555" s="1"/>
      <c r="Y555" s="1"/>
      <c r="Z555" s="240"/>
      <c r="AA555" s="240"/>
      <c r="AC555" s="240"/>
      <c r="AD555" s="240"/>
      <c r="AE555" s="216"/>
      <c r="AF555" s="239"/>
      <c r="AG555" s="246"/>
      <c r="AH555" s="239"/>
      <c r="AI555" s="239"/>
      <c r="AJ555" s="243"/>
      <c r="AL555" s="239"/>
      <c r="AM555" s="239"/>
      <c r="AN555" s="239"/>
      <c r="AR555" s="240"/>
    </row>
    <row r="556" spans="11:44">
      <c r="K556" s="210"/>
      <c r="N556" s="1"/>
      <c r="O556" s="241"/>
      <c r="P556" s="241"/>
      <c r="Q556" s="241"/>
      <c r="R556" s="241"/>
      <c r="W556" s="241"/>
      <c r="X556" s="1"/>
      <c r="Y556" s="1"/>
      <c r="Z556" s="240"/>
      <c r="AA556" s="240"/>
      <c r="AC556" s="240"/>
      <c r="AD556" s="240"/>
      <c r="AE556" s="216"/>
      <c r="AF556" s="239"/>
      <c r="AG556" s="246"/>
      <c r="AH556" s="239"/>
      <c r="AI556" s="239"/>
      <c r="AJ556" s="243"/>
      <c r="AL556" s="239"/>
      <c r="AM556" s="239"/>
      <c r="AN556" s="239"/>
      <c r="AR556" s="240"/>
    </row>
    <row r="557" spans="11:44">
      <c r="K557" s="210"/>
      <c r="N557" s="1"/>
      <c r="O557" s="241"/>
      <c r="P557" s="241"/>
      <c r="Q557" s="241"/>
      <c r="R557" s="241"/>
      <c r="W557" s="241"/>
      <c r="X557" s="1"/>
      <c r="Y557" s="1"/>
      <c r="Z557" s="240"/>
      <c r="AA557" s="240"/>
      <c r="AC557" s="240"/>
      <c r="AD557" s="240"/>
      <c r="AE557" s="216"/>
      <c r="AF557" s="239"/>
      <c r="AG557" s="246"/>
      <c r="AH557" s="239"/>
      <c r="AI557" s="239"/>
      <c r="AJ557" s="243"/>
      <c r="AL557" s="239"/>
      <c r="AM557" s="239"/>
      <c r="AN557" s="239"/>
      <c r="AR557" s="240"/>
    </row>
    <row r="558" spans="11:44">
      <c r="K558" s="210"/>
      <c r="N558" s="1"/>
      <c r="O558" s="241"/>
      <c r="P558" s="241"/>
      <c r="Q558" s="241"/>
      <c r="R558" s="241"/>
      <c r="W558" s="241"/>
      <c r="X558" s="1"/>
      <c r="Y558" s="1"/>
      <c r="Z558" s="240"/>
      <c r="AA558" s="240"/>
      <c r="AC558" s="240"/>
      <c r="AD558" s="240"/>
      <c r="AE558" s="216"/>
      <c r="AF558" s="239"/>
      <c r="AG558" s="246"/>
      <c r="AH558" s="239"/>
      <c r="AI558" s="239"/>
      <c r="AJ558" s="243"/>
      <c r="AL558" s="239"/>
      <c r="AM558" s="239"/>
      <c r="AN558" s="239"/>
      <c r="AR558" s="240"/>
    </row>
    <row r="559" spans="11:44">
      <c r="K559" s="210"/>
      <c r="N559" s="1"/>
      <c r="O559" s="241"/>
      <c r="P559" s="241"/>
      <c r="Q559" s="241"/>
      <c r="R559" s="241"/>
      <c r="W559" s="241"/>
      <c r="X559" s="1"/>
      <c r="Y559" s="1"/>
      <c r="Z559" s="240"/>
      <c r="AA559" s="240"/>
      <c r="AC559" s="240"/>
      <c r="AD559" s="240"/>
      <c r="AE559" s="216"/>
      <c r="AF559" s="239"/>
      <c r="AG559" s="246"/>
      <c r="AH559" s="239"/>
      <c r="AI559" s="239"/>
      <c r="AJ559" s="243"/>
      <c r="AL559" s="239"/>
      <c r="AM559" s="239"/>
      <c r="AN559" s="239"/>
      <c r="AR559" s="240"/>
    </row>
    <row r="560" spans="11:44">
      <c r="K560" s="210"/>
      <c r="N560" s="1"/>
      <c r="O560" s="241"/>
      <c r="P560" s="241"/>
      <c r="Q560" s="241"/>
      <c r="R560" s="241"/>
      <c r="W560" s="241"/>
      <c r="X560" s="1"/>
      <c r="Y560" s="1"/>
      <c r="Z560" s="240"/>
      <c r="AA560" s="240"/>
      <c r="AC560" s="240"/>
      <c r="AD560" s="240"/>
      <c r="AE560" s="216"/>
      <c r="AF560" s="239"/>
      <c r="AG560" s="246"/>
      <c r="AH560" s="239"/>
      <c r="AI560" s="239"/>
      <c r="AJ560" s="243"/>
      <c r="AL560" s="239"/>
      <c r="AM560" s="239"/>
      <c r="AN560" s="239"/>
      <c r="AR560" s="240"/>
    </row>
    <row r="561" spans="11:44">
      <c r="K561" s="210"/>
      <c r="N561" s="1"/>
      <c r="O561" s="241"/>
      <c r="P561" s="241"/>
      <c r="Q561" s="241"/>
      <c r="R561" s="241"/>
      <c r="W561" s="241"/>
      <c r="X561" s="1"/>
      <c r="Y561" s="1"/>
      <c r="Z561" s="240"/>
      <c r="AA561" s="240"/>
      <c r="AC561" s="240"/>
      <c r="AD561" s="240"/>
      <c r="AE561" s="216"/>
      <c r="AF561" s="239"/>
      <c r="AG561" s="246"/>
      <c r="AH561" s="239"/>
      <c r="AI561" s="239"/>
      <c r="AJ561" s="243"/>
      <c r="AL561" s="239"/>
      <c r="AM561" s="239"/>
      <c r="AN561" s="239"/>
      <c r="AR561" s="240"/>
    </row>
    <row r="562" spans="11:44">
      <c r="K562" s="210"/>
      <c r="N562" s="1"/>
      <c r="O562" s="241"/>
      <c r="P562" s="241"/>
      <c r="Q562" s="241"/>
      <c r="R562" s="241"/>
      <c r="W562" s="241"/>
      <c r="X562" s="1"/>
      <c r="Y562" s="1"/>
      <c r="Z562" s="240"/>
      <c r="AA562" s="240"/>
      <c r="AC562" s="240"/>
      <c r="AD562" s="240"/>
      <c r="AE562" s="216"/>
      <c r="AF562" s="239"/>
      <c r="AG562" s="246"/>
      <c r="AH562" s="239"/>
      <c r="AI562" s="239"/>
      <c r="AJ562" s="243"/>
      <c r="AL562" s="239"/>
      <c r="AM562" s="239"/>
      <c r="AN562" s="239"/>
      <c r="AR562" s="240"/>
    </row>
    <row r="563" spans="11:44">
      <c r="K563" s="210"/>
      <c r="N563" s="1"/>
      <c r="O563" s="241"/>
      <c r="P563" s="241"/>
      <c r="Q563" s="241"/>
      <c r="R563" s="241"/>
      <c r="W563" s="241"/>
      <c r="X563" s="1"/>
      <c r="Y563" s="1"/>
      <c r="Z563" s="240"/>
      <c r="AA563" s="240"/>
      <c r="AC563" s="240"/>
      <c r="AD563" s="240"/>
      <c r="AE563" s="216"/>
      <c r="AF563" s="239"/>
      <c r="AG563" s="246"/>
      <c r="AH563" s="239"/>
      <c r="AI563" s="239"/>
      <c r="AJ563" s="243"/>
      <c r="AL563" s="239"/>
      <c r="AM563" s="239"/>
      <c r="AN563" s="239"/>
      <c r="AR563" s="240"/>
    </row>
    <row r="564" spans="11:44">
      <c r="K564" s="210"/>
      <c r="N564" s="1"/>
      <c r="O564" s="241"/>
      <c r="P564" s="241"/>
      <c r="Q564" s="241"/>
      <c r="R564" s="241"/>
      <c r="W564" s="241"/>
      <c r="X564" s="1"/>
      <c r="Y564" s="1"/>
      <c r="Z564" s="240"/>
      <c r="AA564" s="240"/>
      <c r="AC564" s="240"/>
      <c r="AD564" s="240"/>
      <c r="AE564" s="216"/>
      <c r="AF564" s="239"/>
      <c r="AG564" s="246"/>
      <c r="AH564" s="239"/>
      <c r="AI564" s="239"/>
      <c r="AJ564" s="243"/>
      <c r="AL564" s="239"/>
      <c r="AM564" s="239"/>
      <c r="AN564" s="239"/>
      <c r="AR564" s="240"/>
    </row>
    <row r="565" spans="11:44">
      <c r="K565" s="210"/>
      <c r="N565" s="1"/>
      <c r="O565" s="241"/>
      <c r="P565" s="241"/>
      <c r="Q565" s="241"/>
      <c r="R565" s="241"/>
      <c r="W565" s="241"/>
      <c r="X565" s="1"/>
      <c r="Y565" s="1"/>
      <c r="Z565" s="240"/>
      <c r="AA565" s="240"/>
      <c r="AC565" s="240"/>
      <c r="AD565" s="240"/>
      <c r="AE565" s="216"/>
      <c r="AF565" s="239"/>
      <c r="AG565" s="246"/>
      <c r="AH565" s="239"/>
      <c r="AI565" s="239"/>
      <c r="AJ565" s="243"/>
      <c r="AL565" s="239"/>
      <c r="AM565" s="239"/>
      <c r="AN565" s="239"/>
      <c r="AR565" s="240"/>
    </row>
    <row r="566" spans="11:44">
      <c r="K566" s="210"/>
      <c r="N566" s="1"/>
      <c r="O566" s="241"/>
      <c r="P566" s="241"/>
      <c r="Q566" s="241"/>
      <c r="R566" s="241"/>
      <c r="W566" s="241"/>
      <c r="X566" s="1"/>
      <c r="Y566" s="1"/>
      <c r="Z566" s="240"/>
      <c r="AA566" s="240"/>
      <c r="AC566" s="240"/>
      <c r="AD566" s="240"/>
      <c r="AE566" s="216"/>
      <c r="AF566" s="239"/>
      <c r="AG566" s="246"/>
      <c r="AH566" s="239"/>
      <c r="AI566" s="239"/>
      <c r="AJ566" s="243"/>
      <c r="AL566" s="239"/>
      <c r="AM566" s="239"/>
      <c r="AN566" s="239"/>
      <c r="AR566" s="240"/>
    </row>
    <row r="567" spans="11:44">
      <c r="K567" s="210"/>
      <c r="N567" s="1"/>
      <c r="O567" s="241"/>
      <c r="P567" s="241"/>
      <c r="Q567" s="241"/>
      <c r="R567" s="241"/>
      <c r="W567" s="241"/>
      <c r="X567" s="1"/>
      <c r="Y567" s="1"/>
      <c r="Z567" s="240"/>
      <c r="AA567" s="240"/>
      <c r="AC567" s="240"/>
      <c r="AD567" s="240"/>
      <c r="AE567" s="216"/>
      <c r="AF567" s="239"/>
      <c r="AG567" s="246"/>
      <c r="AH567" s="239"/>
      <c r="AI567" s="239"/>
      <c r="AJ567" s="243"/>
      <c r="AL567" s="239"/>
      <c r="AM567" s="239"/>
      <c r="AN567" s="239"/>
      <c r="AR567" s="240"/>
    </row>
    <row r="568" spans="11:44">
      <c r="K568" s="210"/>
      <c r="N568" s="1"/>
      <c r="O568" s="241"/>
      <c r="P568" s="241"/>
      <c r="Q568" s="241"/>
      <c r="R568" s="241"/>
      <c r="W568" s="241"/>
      <c r="X568" s="1"/>
      <c r="Y568" s="1"/>
      <c r="Z568" s="240"/>
      <c r="AA568" s="240"/>
      <c r="AC568" s="240"/>
      <c r="AD568" s="240"/>
      <c r="AE568" s="216"/>
      <c r="AF568" s="239"/>
      <c r="AG568" s="246"/>
      <c r="AH568" s="239"/>
      <c r="AI568" s="239"/>
      <c r="AJ568" s="243"/>
      <c r="AL568" s="239"/>
      <c r="AM568" s="239"/>
      <c r="AN568" s="239"/>
      <c r="AR568" s="240"/>
    </row>
    <row r="569" spans="11:44">
      <c r="K569" s="210"/>
      <c r="N569" s="1"/>
      <c r="O569" s="241"/>
      <c r="P569" s="241"/>
      <c r="Q569" s="241"/>
      <c r="R569" s="241"/>
      <c r="W569" s="241"/>
      <c r="X569" s="1"/>
      <c r="Y569" s="1"/>
      <c r="Z569" s="240"/>
      <c r="AA569" s="240"/>
      <c r="AC569" s="240"/>
      <c r="AD569" s="240"/>
      <c r="AE569" s="216"/>
      <c r="AF569" s="239"/>
      <c r="AG569" s="246"/>
      <c r="AH569" s="239"/>
      <c r="AI569" s="239"/>
      <c r="AJ569" s="243"/>
      <c r="AL569" s="239"/>
      <c r="AM569" s="239"/>
      <c r="AN569" s="239"/>
      <c r="AR569" s="240"/>
    </row>
    <row r="570" spans="11:44">
      <c r="K570" s="210"/>
      <c r="N570" s="1"/>
      <c r="O570" s="241"/>
      <c r="P570" s="241"/>
      <c r="Q570" s="241"/>
      <c r="R570" s="241"/>
      <c r="W570" s="241"/>
      <c r="X570" s="1"/>
      <c r="Y570" s="1"/>
      <c r="Z570" s="240"/>
      <c r="AA570" s="240"/>
      <c r="AC570" s="240"/>
      <c r="AD570" s="240"/>
      <c r="AE570" s="216"/>
      <c r="AF570" s="239"/>
      <c r="AG570" s="246"/>
      <c r="AH570" s="239"/>
      <c r="AI570" s="239"/>
      <c r="AJ570" s="243"/>
      <c r="AL570" s="239"/>
      <c r="AM570" s="239"/>
      <c r="AN570" s="239"/>
      <c r="AR570" s="240"/>
    </row>
    <row r="571" spans="11:44">
      <c r="K571" s="210"/>
      <c r="N571" s="1"/>
      <c r="O571" s="241"/>
      <c r="P571" s="241"/>
      <c r="Q571" s="241"/>
      <c r="R571" s="241"/>
      <c r="W571" s="241"/>
      <c r="X571" s="1"/>
      <c r="Y571" s="1"/>
      <c r="Z571" s="240"/>
      <c r="AA571" s="240"/>
      <c r="AC571" s="240"/>
      <c r="AD571" s="240"/>
      <c r="AE571" s="216"/>
      <c r="AF571" s="239"/>
      <c r="AG571" s="246"/>
      <c r="AH571" s="239"/>
      <c r="AI571" s="239"/>
      <c r="AJ571" s="243"/>
      <c r="AL571" s="239"/>
      <c r="AM571" s="239"/>
      <c r="AN571" s="239"/>
      <c r="AR571" s="240"/>
    </row>
    <row r="572" spans="11:44">
      <c r="K572" s="210"/>
      <c r="N572" s="1"/>
      <c r="O572" s="241"/>
      <c r="P572" s="241"/>
      <c r="Q572" s="241"/>
      <c r="R572" s="241"/>
      <c r="W572" s="241"/>
      <c r="X572" s="1"/>
      <c r="Y572" s="1"/>
      <c r="Z572" s="240"/>
      <c r="AA572" s="240"/>
      <c r="AC572" s="240"/>
      <c r="AD572" s="240"/>
      <c r="AE572" s="216"/>
      <c r="AF572" s="239"/>
      <c r="AG572" s="246"/>
      <c r="AH572" s="239"/>
      <c r="AI572" s="239"/>
      <c r="AJ572" s="243"/>
      <c r="AL572" s="239"/>
      <c r="AM572" s="239"/>
      <c r="AN572" s="239"/>
      <c r="AR572" s="240"/>
    </row>
    <row r="573" spans="11:44">
      <c r="K573" s="210"/>
      <c r="N573" s="1"/>
      <c r="O573" s="241"/>
      <c r="P573" s="241"/>
      <c r="Q573" s="241"/>
      <c r="R573" s="241"/>
      <c r="W573" s="241"/>
      <c r="X573" s="1"/>
      <c r="Y573" s="1"/>
      <c r="Z573" s="240"/>
      <c r="AA573" s="240"/>
      <c r="AC573" s="240"/>
      <c r="AD573" s="240"/>
      <c r="AE573" s="216"/>
      <c r="AF573" s="239"/>
      <c r="AG573" s="246"/>
      <c r="AH573" s="239"/>
      <c r="AI573" s="239"/>
      <c r="AJ573" s="243"/>
      <c r="AL573" s="239"/>
      <c r="AM573" s="239"/>
      <c r="AN573" s="239"/>
      <c r="AR573" s="240"/>
    </row>
    <row r="574" spans="11:44">
      <c r="K574" s="210"/>
      <c r="N574" s="1"/>
      <c r="O574" s="241"/>
      <c r="P574" s="241"/>
      <c r="Q574" s="241"/>
      <c r="R574" s="241"/>
      <c r="W574" s="241"/>
      <c r="X574" s="1"/>
      <c r="Y574" s="1"/>
      <c r="Z574" s="240"/>
      <c r="AA574" s="240"/>
      <c r="AC574" s="240"/>
      <c r="AD574" s="240"/>
      <c r="AE574" s="216"/>
      <c r="AF574" s="239"/>
      <c r="AG574" s="246"/>
      <c r="AH574" s="239"/>
      <c r="AI574" s="239"/>
      <c r="AJ574" s="243"/>
      <c r="AL574" s="239"/>
      <c r="AM574" s="239"/>
      <c r="AN574" s="239"/>
      <c r="AR574" s="240"/>
    </row>
    <row r="575" spans="11:44">
      <c r="K575" s="210"/>
      <c r="N575" s="1"/>
      <c r="O575" s="241"/>
      <c r="P575" s="241"/>
      <c r="Q575" s="241"/>
      <c r="R575" s="241"/>
      <c r="W575" s="241"/>
      <c r="X575" s="1"/>
      <c r="Y575" s="1"/>
      <c r="Z575" s="240"/>
      <c r="AA575" s="240"/>
      <c r="AC575" s="240"/>
      <c r="AD575" s="240"/>
      <c r="AE575" s="216"/>
      <c r="AF575" s="239"/>
      <c r="AG575" s="246"/>
      <c r="AH575" s="239"/>
      <c r="AI575" s="239"/>
      <c r="AJ575" s="243"/>
      <c r="AL575" s="239"/>
      <c r="AM575" s="239"/>
      <c r="AN575" s="239"/>
      <c r="AR575" s="240"/>
    </row>
    <row r="576" spans="11:44">
      <c r="K576" s="210"/>
      <c r="N576" s="1"/>
      <c r="O576" s="241"/>
      <c r="P576" s="241"/>
      <c r="Q576" s="241"/>
      <c r="R576" s="241"/>
      <c r="W576" s="241"/>
      <c r="X576" s="1"/>
      <c r="Y576" s="1"/>
      <c r="Z576" s="240"/>
      <c r="AA576" s="240"/>
      <c r="AC576" s="240"/>
      <c r="AD576" s="240"/>
      <c r="AE576" s="216"/>
      <c r="AF576" s="239"/>
      <c r="AG576" s="246"/>
      <c r="AH576" s="239"/>
      <c r="AI576" s="239"/>
      <c r="AJ576" s="243"/>
      <c r="AL576" s="239"/>
      <c r="AM576" s="239"/>
      <c r="AN576" s="239"/>
      <c r="AR576" s="240"/>
    </row>
    <row r="577" spans="11:44">
      <c r="K577" s="210"/>
      <c r="N577" s="1"/>
      <c r="O577" s="241"/>
      <c r="P577" s="241"/>
      <c r="Q577" s="241"/>
      <c r="R577" s="241"/>
      <c r="W577" s="241"/>
      <c r="X577" s="1"/>
      <c r="Y577" s="1"/>
      <c r="Z577" s="240"/>
      <c r="AA577" s="240"/>
      <c r="AC577" s="240"/>
      <c r="AD577" s="240"/>
      <c r="AE577" s="216"/>
      <c r="AF577" s="239"/>
      <c r="AG577" s="246"/>
      <c r="AH577" s="239"/>
      <c r="AI577" s="239"/>
      <c r="AJ577" s="243"/>
      <c r="AL577" s="239"/>
      <c r="AM577" s="239"/>
      <c r="AN577" s="239"/>
      <c r="AR577" s="240"/>
    </row>
    <row r="578" spans="11:44">
      <c r="K578" s="210"/>
      <c r="N578" s="1"/>
      <c r="O578" s="241"/>
      <c r="P578" s="241"/>
      <c r="Q578" s="241"/>
      <c r="R578" s="241"/>
      <c r="W578" s="241"/>
      <c r="X578" s="1"/>
      <c r="Y578" s="1"/>
      <c r="Z578" s="240"/>
      <c r="AA578" s="240"/>
      <c r="AC578" s="240"/>
      <c r="AD578" s="240"/>
      <c r="AE578" s="216"/>
      <c r="AF578" s="239"/>
      <c r="AG578" s="246"/>
      <c r="AH578" s="239"/>
      <c r="AI578" s="239"/>
      <c r="AJ578" s="243"/>
      <c r="AL578" s="239"/>
      <c r="AM578" s="239"/>
      <c r="AN578" s="239"/>
      <c r="AR578" s="240"/>
    </row>
    <row r="579" spans="11:44">
      <c r="K579" s="210"/>
      <c r="N579" s="1"/>
      <c r="O579" s="241"/>
      <c r="P579" s="241"/>
      <c r="Q579" s="241"/>
      <c r="R579" s="241"/>
      <c r="W579" s="241"/>
      <c r="X579" s="1"/>
      <c r="Y579" s="1"/>
      <c r="Z579" s="240"/>
      <c r="AA579" s="240"/>
      <c r="AC579" s="240"/>
      <c r="AD579" s="240"/>
      <c r="AE579" s="216"/>
      <c r="AF579" s="239"/>
      <c r="AG579" s="246"/>
      <c r="AH579" s="239"/>
      <c r="AI579" s="239"/>
      <c r="AJ579" s="243"/>
      <c r="AL579" s="239"/>
      <c r="AM579" s="239"/>
      <c r="AN579" s="239"/>
      <c r="AR579" s="240"/>
    </row>
    <row r="580" spans="11:44">
      <c r="K580" s="210"/>
      <c r="N580" s="1"/>
      <c r="O580" s="241"/>
      <c r="P580" s="241"/>
      <c r="Q580" s="241"/>
      <c r="R580" s="241"/>
      <c r="W580" s="241"/>
      <c r="X580" s="1"/>
      <c r="Y580" s="1"/>
      <c r="Z580" s="240"/>
      <c r="AA580" s="240"/>
      <c r="AC580" s="240"/>
      <c r="AD580" s="240"/>
      <c r="AE580" s="216"/>
      <c r="AF580" s="239"/>
      <c r="AG580" s="246"/>
      <c r="AH580" s="239"/>
      <c r="AI580" s="239"/>
      <c r="AJ580" s="243"/>
      <c r="AL580" s="239"/>
      <c r="AM580" s="239"/>
      <c r="AN580" s="239"/>
      <c r="AR580" s="240"/>
    </row>
    <row r="581" spans="11:44">
      <c r="K581" s="210"/>
      <c r="N581" s="1"/>
      <c r="O581" s="241"/>
      <c r="P581" s="241"/>
      <c r="Q581" s="241"/>
      <c r="R581" s="241"/>
      <c r="W581" s="241"/>
      <c r="X581" s="1"/>
      <c r="Y581" s="1"/>
      <c r="Z581" s="240"/>
      <c r="AA581" s="240"/>
      <c r="AC581" s="240"/>
      <c r="AD581" s="240"/>
      <c r="AE581" s="216"/>
      <c r="AF581" s="239"/>
      <c r="AG581" s="246"/>
      <c r="AH581" s="239"/>
      <c r="AI581" s="239"/>
      <c r="AJ581" s="243"/>
      <c r="AL581" s="239"/>
      <c r="AM581" s="239"/>
      <c r="AN581" s="239"/>
      <c r="AR581" s="240"/>
    </row>
    <row r="582" spans="11:44">
      <c r="K582" s="210"/>
      <c r="N582" s="1"/>
      <c r="O582" s="241"/>
      <c r="P582" s="241"/>
      <c r="Q582" s="241"/>
      <c r="R582" s="241"/>
      <c r="W582" s="241"/>
      <c r="X582" s="1"/>
      <c r="Y582" s="1"/>
      <c r="Z582" s="240"/>
      <c r="AA582" s="240"/>
      <c r="AC582" s="240"/>
      <c r="AD582" s="240"/>
      <c r="AE582" s="216"/>
      <c r="AF582" s="239"/>
      <c r="AG582" s="246"/>
      <c r="AH582" s="239"/>
      <c r="AI582" s="239"/>
      <c r="AJ582" s="243"/>
      <c r="AL582" s="239"/>
      <c r="AM582" s="239"/>
      <c r="AN582" s="239"/>
      <c r="AR582" s="240"/>
    </row>
    <row r="583" spans="11:44">
      <c r="K583" s="210"/>
      <c r="N583" s="1"/>
      <c r="O583" s="241"/>
      <c r="P583" s="241"/>
      <c r="Q583" s="241"/>
      <c r="R583" s="241"/>
      <c r="W583" s="241"/>
      <c r="X583" s="1"/>
      <c r="Y583" s="1"/>
      <c r="Z583" s="240"/>
      <c r="AA583" s="240"/>
      <c r="AC583" s="240"/>
      <c r="AD583" s="240"/>
      <c r="AE583" s="216"/>
      <c r="AF583" s="239"/>
      <c r="AG583" s="246"/>
      <c r="AH583" s="239"/>
      <c r="AI583" s="239"/>
      <c r="AJ583" s="243"/>
      <c r="AL583" s="239"/>
      <c r="AM583" s="239"/>
      <c r="AN583" s="239"/>
      <c r="AR583" s="240"/>
    </row>
    <row r="584" spans="11:44">
      <c r="K584" s="210"/>
      <c r="N584" s="1"/>
      <c r="O584" s="241"/>
      <c r="P584" s="241"/>
      <c r="Q584" s="241"/>
      <c r="R584" s="241"/>
      <c r="W584" s="241"/>
      <c r="X584" s="1"/>
      <c r="Y584" s="1"/>
      <c r="Z584" s="240"/>
      <c r="AA584" s="240"/>
      <c r="AC584" s="240"/>
      <c r="AD584" s="240"/>
      <c r="AE584" s="216"/>
      <c r="AF584" s="239"/>
      <c r="AG584" s="246"/>
      <c r="AH584" s="239"/>
      <c r="AI584" s="239"/>
      <c r="AJ584" s="243"/>
      <c r="AL584" s="239"/>
      <c r="AM584" s="239"/>
      <c r="AN584" s="239"/>
      <c r="AR584" s="240"/>
    </row>
    <row r="585" spans="11:44">
      <c r="K585" s="210"/>
      <c r="N585" s="1"/>
      <c r="O585" s="241"/>
      <c r="P585" s="241"/>
      <c r="Q585" s="241"/>
      <c r="R585" s="241"/>
      <c r="W585" s="241"/>
      <c r="X585" s="1"/>
      <c r="Y585" s="1"/>
      <c r="Z585" s="240"/>
      <c r="AA585" s="240"/>
      <c r="AC585" s="240"/>
      <c r="AD585" s="240"/>
      <c r="AE585" s="216"/>
      <c r="AF585" s="239"/>
      <c r="AG585" s="246"/>
      <c r="AH585" s="239"/>
      <c r="AI585" s="239"/>
      <c r="AJ585" s="243"/>
      <c r="AL585" s="239"/>
      <c r="AM585" s="239"/>
      <c r="AN585" s="239"/>
      <c r="AR585" s="240"/>
    </row>
    <row r="586" spans="11:44">
      <c r="K586" s="210"/>
      <c r="N586" s="1"/>
      <c r="O586" s="241"/>
      <c r="P586" s="241"/>
      <c r="Q586" s="241"/>
      <c r="R586" s="241"/>
      <c r="W586" s="241"/>
      <c r="X586" s="1"/>
      <c r="Y586" s="1"/>
      <c r="Z586" s="240"/>
      <c r="AA586" s="240"/>
      <c r="AC586" s="240"/>
      <c r="AD586" s="240"/>
      <c r="AE586" s="216"/>
      <c r="AF586" s="239"/>
      <c r="AG586" s="246"/>
      <c r="AH586" s="239"/>
      <c r="AI586" s="239"/>
      <c r="AJ586" s="243"/>
      <c r="AL586" s="239"/>
      <c r="AM586" s="239"/>
      <c r="AN586" s="239"/>
      <c r="AR586" s="240"/>
    </row>
    <row r="587" spans="11:44">
      <c r="K587" s="210"/>
      <c r="N587" s="1"/>
      <c r="O587" s="241"/>
      <c r="P587" s="241"/>
      <c r="Q587" s="241"/>
      <c r="R587" s="241"/>
      <c r="W587" s="241"/>
      <c r="X587" s="1"/>
      <c r="Y587" s="1"/>
      <c r="Z587" s="240"/>
      <c r="AA587" s="240"/>
      <c r="AC587" s="240"/>
      <c r="AD587" s="240"/>
      <c r="AE587" s="216"/>
      <c r="AF587" s="239"/>
      <c r="AG587" s="246"/>
      <c r="AH587" s="239"/>
      <c r="AI587" s="239"/>
      <c r="AJ587" s="243"/>
      <c r="AL587" s="239"/>
      <c r="AM587" s="239"/>
      <c r="AN587" s="239"/>
      <c r="AR587" s="240"/>
    </row>
    <row r="588" spans="11:44">
      <c r="K588" s="210"/>
      <c r="N588" s="1"/>
      <c r="O588" s="241"/>
      <c r="P588" s="241"/>
      <c r="Q588" s="241"/>
      <c r="R588" s="241"/>
      <c r="W588" s="241"/>
      <c r="X588" s="1"/>
      <c r="Y588" s="1"/>
      <c r="Z588" s="240"/>
      <c r="AA588" s="240"/>
      <c r="AC588" s="240"/>
      <c r="AD588" s="240"/>
      <c r="AE588" s="216"/>
      <c r="AF588" s="239"/>
      <c r="AG588" s="246"/>
      <c r="AH588" s="239"/>
      <c r="AI588" s="239"/>
      <c r="AJ588" s="243"/>
      <c r="AL588" s="239"/>
      <c r="AM588" s="239"/>
      <c r="AN588" s="239"/>
      <c r="AR588" s="240"/>
    </row>
    <row r="589" spans="11:44">
      <c r="K589" s="210"/>
      <c r="N589" s="1"/>
      <c r="O589" s="241"/>
      <c r="P589" s="241"/>
      <c r="Q589" s="241"/>
      <c r="R589" s="241"/>
      <c r="W589" s="241"/>
      <c r="X589" s="1"/>
      <c r="Y589" s="1"/>
      <c r="Z589" s="240"/>
      <c r="AA589" s="240"/>
      <c r="AC589" s="240"/>
      <c r="AD589" s="240"/>
      <c r="AE589" s="216"/>
      <c r="AF589" s="239"/>
      <c r="AG589" s="246"/>
      <c r="AH589" s="239"/>
      <c r="AI589" s="239"/>
      <c r="AJ589" s="243"/>
      <c r="AL589" s="239"/>
      <c r="AM589" s="239"/>
      <c r="AN589" s="239"/>
      <c r="AR589" s="240"/>
    </row>
    <row r="590" spans="11:44">
      <c r="K590" s="210"/>
      <c r="N590" s="1"/>
      <c r="O590" s="241"/>
      <c r="P590" s="241"/>
      <c r="Q590" s="241"/>
      <c r="R590" s="241"/>
      <c r="W590" s="241"/>
      <c r="X590" s="1"/>
      <c r="Y590" s="1"/>
      <c r="Z590" s="240"/>
      <c r="AA590" s="240"/>
      <c r="AC590" s="240"/>
      <c r="AD590" s="240"/>
      <c r="AE590" s="216"/>
      <c r="AF590" s="239"/>
      <c r="AG590" s="246"/>
      <c r="AH590" s="239"/>
      <c r="AI590" s="239"/>
      <c r="AJ590" s="243"/>
      <c r="AL590" s="239"/>
      <c r="AM590" s="239"/>
      <c r="AN590" s="239"/>
      <c r="AR590" s="240"/>
    </row>
    <row r="591" spans="11:44">
      <c r="K591" s="210"/>
      <c r="N591" s="1"/>
      <c r="O591" s="241"/>
      <c r="P591" s="241"/>
      <c r="Q591" s="241"/>
      <c r="R591" s="241"/>
      <c r="W591" s="241"/>
      <c r="X591" s="1"/>
      <c r="Y591" s="1"/>
      <c r="Z591" s="240"/>
      <c r="AA591" s="240"/>
      <c r="AC591" s="240"/>
      <c r="AD591" s="240"/>
      <c r="AE591" s="216"/>
      <c r="AF591" s="239"/>
      <c r="AG591" s="246"/>
      <c r="AH591" s="239"/>
      <c r="AI591" s="239"/>
      <c r="AJ591" s="243"/>
      <c r="AL591" s="239"/>
      <c r="AM591" s="239"/>
      <c r="AN591" s="239"/>
      <c r="AR591" s="240"/>
    </row>
    <row r="592" spans="11:44">
      <c r="K592" s="210"/>
      <c r="N592" s="1"/>
      <c r="O592" s="241"/>
      <c r="P592" s="241"/>
      <c r="Q592" s="241"/>
      <c r="R592" s="241"/>
      <c r="W592" s="241"/>
      <c r="X592" s="1"/>
      <c r="Y592" s="1"/>
      <c r="Z592" s="240"/>
      <c r="AA592" s="240"/>
      <c r="AC592" s="240"/>
      <c r="AD592" s="240"/>
      <c r="AE592" s="216"/>
      <c r="AF592" s="239"/>
      <c r="AG592" s="246"/>
      <c r="AH592" s="239"/>
      <c r="AI592" s="239"/>
      <c r="AJ592" s="243"/>
      <c r="AL592" s="239"/>
      <c r="AM592" s="239"/>
      <c r="AN592" s="239"/>
      <c r="AR592" s="240"/>
    </row>
    <row r="593" spans="11:44">
      <c r="K593" s="210"/>
      <c r="N593" s="1"/>
      <c r="O593" s="241"/>
      <c r="P593" s="241"/>
      <c r="Q593" s="241"/>
      <c r="R593" s="241"/>
      <c r="W593" s="241"/>
      <c r="X593" s="1"/>
      <c r="Y593" s="1"/>
      <c r="Z593" s="240"/>
      <c r="AA593" s="240"/>
      <c r="AC593" s="240"/>
      <c r="AD593" s="240"/>
      <c r="AE593" s="216"/>
      <c r="AF593" s="239"/>
      <c r="AG593" s="246"/>
      <c r="AH593" s="239"/>
      <c r="AI593" s="239"/>
      <c r="AJ593" s="243"/>
      <c r="AL593" s="239"/>
      <c r="AM593" s="239"/>
      <c r="AN593" s="239"/>
      <c r="AR593" s="240"/>
    </row>
    <row r="594" spans="11:44">
      <c r="K594" s="210"/>
      <c r="N594" s="1"/>
      <c r="O594" s="241"/>
      <c r="P594" s="241"/>
      <c r="Q594" s="241"/>
      <c r="R594" s="241"/>
      <c r="W594" s="241"/>
      <c r="X594" s="1"/>
      <c r="Y594" s="1"/>
      <c r="Z594" s="240"/>
      <c r="AA594" s="240"/>
      <c r="AC594" s="240"/>
      <c r="AD594" s="240"/>
      <c r="AE594" s="216"/>
      <c r="AF594" s="239"/>
      <c r="AG594" s="246"/>
      <c r="AH594" s="239"/>
      <c r="AI594" s="239"/>
      <c r="AJ594" s="243"/>
      <c r="AL594" s="239"/>
      <c r="AM594" s="239"/>
      <c r="AN594" s="239"/>
      <c r="AR594" s="240"/>
    </row>
    <row r="595" spans="11:44">
      <c r="K595" s="210"/>
      <c r="N595" s="1"/>
      <c r="O595" s="241"/>
      <c r="P595" s="241"/>
      <c r="Q595" s="241"/>
      <c r="R595" s="241"/>
      <c r="W595" s="241"/>
      <c r="X595" s="1"/>
      <c r="Y595" s="1"/>
      <c r="Z595" s="240"/>
      <c r="AA595" s="240"/>
      <c r="AC595" s="240"/>
      <c r="AD595" s="240"/>
      <c r="AE595" s="216"/>
      <c r="AF595" s="239"/>
      <c r="AG595" s="246"/>
      <c r="AH595" s="239"/>
      <c r="AI595" s="239"/>
      <c r="AJ595" s="243"/>
      <c r="AL595" s="239"/>
      <c r="AM595" s="239"/>
      <c r="AN595" s="239"/>
      <c r="AR595" s="240"/>
    </row>
    <row r="596" spans="11:44">
      <c r="K596" s="210"/>
      <c r="N596" s="1"/>
      <c r="O596" s="241"/>
      <c r="P596" s="241"/>
      <c r="Q596" s="241"/>
      <c r="R596" s="241"/>
      <c r="W596" s="241"/>
      <c r="X596" s="1"/>
      <c r="Y596" s="1"/>
      <c r="Z596" s="240"/>
      <c r="AA596" s="240"/>
      <c r="AC596" s="240"/>
      <c r="AD596" s="240"/>
      <c r="AE596" s="216"/>
      <c r="AF596" s="239"/>
      <c r="AG596" s="246"/>
      <c r="AH596" s="239"/>
      <c r="AI596" s="239"/>
      <c r="AJ596" s="243"/>
      <c r="AL596" s="239"/>
      <c r="AM596" s="239"/>
      <c r="AN596" s="239"/>
      <c r="AR596" s="240"/>
    </row>
    <row r="597" spans="11:44">
      <c r="K597" s="210"/>
      <c r="N597" s="1"/>
      <c r="O597" s="241"/>
      <c r="P597" s="241"/>
      <c r="Q597" s="241"/>
      <c r="R597" s="241"/>
      <c r="W597" s="241"/>
      <c r="X597" s="1"/>
      <c r="Y597" s="1"/>
      <c r="Z597" s="240"/>
      <c r="AA597" s="240"/>
      <c r="AC597" s="240"/>
      <c r="AD597" s="240"/>
      <c r="AE597" s="216"/>
      <c r="AF597" s="239"/>
      <c r="AG597" s="246"/>
      <c r="AH597" s="239"/>
      <c r="AI597" s="239"/>
      <c r="AJ597" s="243"/>
      <c r="AL597" s="239"/>
      <c r="AM597" s="239"/>
      <c r="AN597" s="239"/>
      <c r="AR597" s="240"/>
    </row>
    <row r="598" spans="11:44">
      <c r="K598" s="210"/>
      <c r="N598" s="1"/>
      <c r="O598" s="241"/>
      <c r="P598" s="241"/>
      <c r="Q598" s="241"/>
      <c r="R598" s="241"/>
      <c r="W598" s="241"/>
      <c r="X598" s="1"/>
      <c r="Y598" s="1"/>
      <c r="Z598" s="240"/>
      <c r="AA598" s="240"/>
      <c r="AC598" s="240"/>
      <c r="AD598" s="240"/>
      <c r="AE598" s="216"/>
      <c r="AF598" s="239"/>
      <c r="AG598" s="246"/>
      <c r="AH598" s="239"/>
      <c r="AI598" s="239"/>
      <c r="AJ598" s="243"/>
      <c r="AL598" s="239"/>
      <c r="AM598" s="239"/>
      <c r="AN598" s="239"/>
      <c r="AR598" s="240"/>
    </row>
    <row r="599" spans="11:44">
      <c r="K599" s="210"/>
      <c r="N599" s="1"/>
      <c r="O599" s="241"/>
      <c r="P599" s="241"/>
      <c r="Q599" s="241"/>
      <c r="R599" s="241"/>
      <c r="W599" s="241"/>
      <c r="X599" s="1"/>
      <c r="Y599" s="1"/>
      <c r="Z599" s="240"/>
      <c r="AA599" s="240"/>
      <c r="AC599" s="240"/>
      <c r="AD599" s="240"/>
      <c r="AE599" s="216"/>
      <c r="AF599" s="239"/>
      <c r="AG599" s="246"/>
      <c r="AH599" s="239"/>
      <c r="AI599" s="239"/>
      <c r="AJ599" s="243"/>
      <c r="AL599" s="239"/>
      <c r="AM599" s="239"/>
      <c r="AN599" s="239"/>
      <c r="AR599" s="240"/>
    </row>
    <row r="600" spans="11:44">
      <c r="K600" s="210"/>
      <c r="N600" s="1"/>
      <c r="O600" s="241"/>
      <c r="P600" s="241"/>
      <c r="Q600" s="241"/>
      <c r="R600" s="241"/>
      <c r="W600" s="241"/>
      <c r="X600" s="1"/>
      <c r="Y600" s="1"/>
      <c r="Z600" s="240"/>
      <c r="AA600" s="240"/>
      <c r="AC600" s="240"/>
      <c r="AD600" s="240"/>
      <c r="AE600" s="216"/>
      <c r="AF600" s="239"/>
      <c r="AG600" s="246"/>
      <c r="AH600" s="239"/>
      <c r="AI600" s="239"/>
      <c r="AJ600" s="243"/>
      <c r="AL600" s="239"/>
      <c r="AM600" s="239"/>
      <c r="AN600" s="239"/>
      <c r="AR600" s="240"/>
    </row>
    <row r="601" spans="11:44">
      <c r="K601" s="210"/>
      <c r="N601" s="1"/>
      <c r="O601" s="241"/>
      <c r="P601" s="241"/>
      <c r="Q601" s="241"/>
      <c r="R601" s="241"/>
      <c r="W601" s="241"/>
      <c r="X601" s="1"/>
      <c r="Y601" s="1"/>
      <c r="Z601" s="240"/>
      <c r="AA601" s="240"/>
      <c r="AC601" s="240"/>
      <c r="AD601" s="240"/>
      <c r="AE601" s="216"/>
      <c r="AF601" s="239"/>
      <c r="AG601" s="246"/>
      <c r="AH601" s="239"/>
      <c r="AI601" s="239"/>
      <c r="AJ601" s="243"/>
      <c r="AL601" s="239"/>
      <c r="AM601" s="239"/>
      <c r="AN601" s="239"/>
      <c r="AR601" s="240"/>
    </row>
    <row r="602" spans="11:44">
      <c r="K602" s="210"/>
      <c r="N602" s="1"/>
      <c r="O602" s="241"/>
      <c r="P602" s="241"/>
      <c r="Q602" s="241"/>
      <c r="R602" s="241"/>
      <c r="W602" s="241"/>
      <c r="X602" s="1"/>
      <c r="Y602" s="1"/>
      <c r="Z602" s="240"/>
      <c r="AA602" s="240"/>
      <c r="AC602" s="240"/>
      <c r="AD602" s="240"/>
      <c r="AE602" s="216"/>
      <c r="AF602" s="239"/>
      <c r="AG602" s="246"/>
      <c r="AH602" s="239"/>
      <c r="AI602" s="239"/>
      <c r="AJ602" s="243"/>
      <c r="AL602" s="239"/>
      <c r="AM602" s="239"/>
      <c r="AN602" s="239"/>
      <c r="AR602" s="240"/>
    </row>
    <row r="603" spans="11:44">
      <c r="K603" s="210"/>
      <c r="N603" s="1"/>
      <c r="O603" s="241"/>
      <c r="P603" s="241"/>
      <c r="Q603" s="241"/>
      <c r="R603" s="241"/>
      <c r="W603" s="241"/>
      <c r="X603" s="1"/>
      <c r="Y603" s="1"/>
      <c r="Z603" s="240"/>
      <c r="AA603" s="240"/>
      <c r="AC603" s="240"/>
      <c r="AD603" s="240"/>
      <c r="AE603" s="216"/>
      <c r="AF603" s="239"/>
      <c r="AG603" s="246"/>
      <c r="AH603" s="239"/>
      <c r="AI603" s="239"/>
      <c r="AJ603" s="243"/>
      <c r="AL603" s="239"/>
      <c r="AM603" s="239"/>
      <c r="AN603" s="239"/>
      <c r="AR603" s="240"/>
    </row>
    <row r="604" spans="11:44">
      <c r="K604" s="210"/>
      <c r="N604" s="1"/>
      <c r="O604" s="241"/>
      <c r="P604" s="241"/>
      <c r="Q604" s="241"/>
      <c r="R604" s="241"/>
      <c r="W604" s="241"/>
      <c r="X604" s="1"/>
      <c r="Y604" s="1"/>
      <c r="Z604" s="240"/>
      <c r="AA604" s="240"/>
      <c r="AC604" s="240"/>
      <c r="AD604" s="240"/>
      <c r="AE604" s="216"/>
      <c r="AF604" s="239"/>
      <c r="AG604" s="246"/>
      <c r="AH604" s="239"/>
      <c r="AI604" s="239"/>
      <c r="AJ604" s="243"/>
      <c r="AL604" s="239"/>
      <c r="AM604" s="239"/>
      <c r="AN604" s="239"/>
      <c r="AR604" s="240"/>
    </row>
    <row r="605" spans="11:44">
      <c r="K605" s="210"/>
      <c r="N605" s="1"/>
      <c r="O605" s="241"/>
      <c r="P605" s="241"/>
      <c r="Q605" s="241"/>
      <c r="R605" s="241"/>
      <c r="W605" s="241"/>
      <c r="X605" s="1"/>
      <c r="Y605" s="1"/>
      <c r="Z605" s="240"/>
      <c r="AA605" s="240"/>
      <c r="AC605" s="240"/>
      <c r="AD605" s="240"/>
      <c r="AE605" s="216"/>
      <c r="AF605" s="239"/>
      <c r="AG605" s="246"/>
      <c r="AH605" s="239"/>
      <c r="AI605" s="239"/>
      <c r="AJ605" s="243"/>
      <c r="AL605" s="239"/>
      <c r="AM605" s="239"/>
      <c r="AN605" s="239"/>
      <c r="AR605" s="240"/>
    </row>
    <row r="606" spans="11:44">
      <c r="K606" s="210"/>
      <c r="N606" s="1"/>
      <c r="O606" s="241"/>
      <c r="P606" s="241"/>
      <c r="Q606" s="241"/>
      <c r="R606" s="241"/>
      <c r="W606" s="241"/>
      <c r="X606" s="1"/>
      <c r="Y606" s="1"/>
      <c r="Z606" s="240"/>
      <c r="AA606" s="240"/>
      <c r="AC606" s="240"/>
      <c r="AD606" s="240"/>
      <c r="AE606" s="216"/>
      <c r="AF606" s="239"/>
      <c r="AG606" s="246"/>
      <c r="AH606" s="239"/>
      <c r="AI606" s="239"/>
      <c r="AJ606" s="243"/>
      <c r="AL606" s="239"/>
      <c r="AM606" s="239"/>
      <c r="AN606" s="239"/>
      <c r="AR606" s="240"/>
    </row>
    <row r="607" spans="11:44">
      <c r="K607" s="210"/>
      <c r="N607" s="1"/>
      <c r="O607" s="241"/>
      <c r="P607" s="241"/>
      <c r="Q607" s="241"/>
      <c r="R607" s="241"/>
      <c r="W607" s="241"/>
      <c r="X607" s="1"/>
      <c r="Y607" s="1"/>
      <c r="Z607" s="240"/>
      <c r="AA607" s="240"/>
      <c r="AC607" s="240"/>
      <c r="AD607" s="240"/>
      <c r="AE607" s="216"/>
      <c r="AF607" s="239"/>
      <c r="AG607" s="246"/>
      <c r="AH607" s="239"/>
      <c r="AI607" s="239"/>
      <c r="AJ607" s="243"/>
      <c r="AL607" s="239"/>
      <c r="AM607" s="239"/>
      <c r="AN607" s="239"/>
      <c r="AR607" s="240"/>
    </row>
    <row r="608" spans="11:44">
      <c r="K608" s="210"/>
      <c r="N608" s="1"/>
      <c r="O608" s="241"/>
      <c r="P608" s="241"/>
      <c r="Q608" s="241"/>
      <c r="R608" s="241"/>
      <c r="W608" s="241"/>
      <c r="X608" s="1"/>
      <c r="Y608" s="1"/>
      <c r="Z608" s="240"/>
      <c r="AA608" s="240"/>
      <c r="AC608" s="240"/>
      <c r="AD608" s="240"/>
      <c r="AE608" s="216"/>
      <c r="AF608" s="239"/>
      <c r="AG608" s="246"/>
      <c r="AH608" s="239"/>
      <c r="AI608" s="239"/>
      <c r="AJ608" s="243"/>
      <c r="AL608" s="239"/>
      <c r="AM608" s="239"/>
      <c r="AN608" s="239"/>
      <c r="AR608" s="240"/>
    </row>
    <row r="609" spans="11:44">
      <c r="K609" s="210"/>
      <c r="N609" s="1"/>
      <c r="O609" s="241"/>
      <c r="P609" s="241"/>
      <c r="Q609" s="241"/>
      <c r="R609" s="241"/>
      <c r="W609" s="241"/>
      <c r="X609" s="1"/>
      <c r="Y609" s="1"/>
      <c r="Z609" s="240"/>
      <c r="AA609" s="240"/>
      <c r="AC609" s="240"/>
      <c r="AD609" s="240"/>
      <c r="AE609" s="216"/>
      <c r="AF609" s="239"/>
      <c r="AG609" s="246"/>
      <c r="AH609" s="239"/>
      <c r="AI609" s="239"/>
      <c r="AJ609" s="243"/>
      <c r="AL609" s="239"/>
      <c r="AM609" s="239"/>
      <c r="AN609" s="239"/>
      <c r="AR609" s="240"/>
    </row>
    <row r="610" spans="11:44">
      <c r="K610" s="210"/>
      <c r="N610" s="1"/>
      <c r="O610" s="241"/>
      <c r="P610" s="241"/>
      <c r="Q610" s="241"/>
      <c r="R610" s="241"/>
      <c r="W610" s="241"/>
      <c r="X610" s="1"/>
      <c r="Y610" s="1"/>
      <c r="Z610" s="240"/>
      <c r="AA610" s="240"/>
      <c r="AC610" s="240"/>
      <c r="AD610" s="240"/>
      <c r="AE610" s="216"/>
      <c r="AF610" s="239"/>
      <c r="AG610" s="246"/>
      <c r="AH610" s="239"/>
      <c r="AI610" s="239"/>
      <c r="AJ610" s="243"/>
      <c r="AL610" s="239"/>
      <c r="AM610" s="239"/>
      <c r="AN610" s="239"/>
      <c r="AR610" s="240"/>
    </row>
    <row r="611" spans="11:44">
      <c r="K611" s="210"/>
      <c r="N611" s="1"/>
      <c r="O611" s="241"/>
      <c r="P611" s="241"/>
      <c r="Q611" s="241"/>
      <c r="R611" s="241"/>
      <c r="W611" s="241"/>
      <c r="X611" s="1"/>
      <c r="Y611" s="1"/>
      <c r="Z611" s="240"/>
      <c r="AA611" s="240"/>
      <c r="AC611" s="240"/>
      <c r="AD611" s="240"/>
      <c r="AE611" s="216"/>
      <c r="AF611" s="239"/>
      <c r="AG611" s="246"/>
      <c r="AH611" s="239"/>
      <c r="AI611" s="239"/>
      <c r="AJ611" s="243"/>
      <c r="AL611" s="239"/>
      <c r="AM611" s="239"/>
      <c r="AN611" s="239"/>
      <c r="AR611" s="240"/>
    </row>
    <row r="612" spans="11:44">
      <c r="K612" s="210"/>
      <c r="N612" s="1"/>
      <c r="O612" s="241"/>
      <c r="P612" s="241"/>
      <c r="Q612" s="241"/>
      <c r="R612" s="241"/>
      <c r="W612" s="241"/>
      <c r="X612" s="1"/>
      <c r="Y612" s="1"/>
      <c r="Z612" s="240"/>
      <c r="AA612" s="240"/>
      <c r="AC612" s="240"/>
      <c r="AD612" s="240"/>
      <c r="AE612" s="216"/>
      <c r="AF612" s="239"/>
      <c r="AG612" s="246"/>
      <c r="AH612" s="239"/>
      <c r="AI612" s="239"/>
      <c r="AJ612" s="243"/>
      <c r="AL612" s="239"/>
      <c r="AM612" s="239"/>
      <c r="AN612" s="239"/>
      <c r="AR612" s="240"/>
    </row>
    <row r="613" spans="11:44">
      <c r="K613" s="210"/>
      <c r="N613" s="1"/>
      <c r="O613" s="241"/>
      <c r="P613" s="241"/>
      <c r="Q613" s="241"/>
      <c r="R613" s="241"/>
      <c r="W613" s="241"/>
      <c r="X613" s="1"/>
      <c r="Y613" s="1"/>
      <c r="Z613" s="240"/>
      <c r="AA613" s="240"/>
      <c r="AC613" s="240"/>
      <c r="AD613" s="240"/>
      <c r="AE613" s="216"/>
      <c r="AF613" s="239"/>
      <c r="AG613" s="246"/>
      <c r="AH613" s="239"/>
      <c r="AI613" s="239"/>
      <c r="AJ613" s="243"/>
      <c r="AL613" s="239"/>
      <c r="AM613" s="239"/>
      <c r="AN613" s="239"/>
      <c r="AR613" s="240"/>
    </row>
    <row r="614" spans="11:44">
      <c r="K614" s="210"/>
      <c r="N614" s="1"/>
      <c r="O614" s="241"/>
      <c r="P614" s="241"/>
      <c r="Q614" s="241"/>
      <c r="R614" s="241"/>
      <c r="W614" s="241"/>
      <c r="X614" s="1"/>
      <c r="Y614" s="1"/>
      <c r="Z614" s="240"/>
      <c r="AA614" s="240"/>
      <c r="AC614" s="240"/>
      <c r="AD614" s="240"/>
      <c r="AE614" s="216"/>
      <c r="AF614" s="239"/>
      <c r="AG614" s="246"/>
      <c r="AH614" s="239"/>
      <c r="AI614" s="239"/>
      <c r="AJ614" s="243"/>
      <c r="AL614" s="239"/>
      <c r="AM614" s="239"/>
      <c r="AN614" s="239"/>
      <c r="AR614" s="240"/>
    </row>
    <row r="615" spans="11:44">
      <c r="K615" s="210"/>
      <c r="N615" s="1"/>
      <c r="O615" s="241"/>
      <c r="P615" s="241"/>
      <c r="Q615" s="241"/>
      <c r="R615" s="241"/>
      <c r="W615" s="241"/>
      <c r="X615" s="1"/>
      <c r="Y615" s="1"/>
      <c r="Z615" s="240"/>
      <c r="AA615" s="240"/>
      <c r="AC615" s="240"/>
      <c r="AD615" s="240"/>
      <c r="AE615" s="216"/>
      <c r="AF615" s="239"/>
      <c r="AG615" s="246"/>
      <c r="AH615" s="239"/>
      <c r="AI615" s="239"/>
      <c r="AJ615" s="243"/>
      <c r="AL615" s="239"/>
      <c r="AM615" s="239"/>
      <c r="AN615" s="239"/>
      <c r="AR615" s="240"/>
    </row>
    <row r="616" spans="11:44">
      <c r="K616" s="210"/>
      <c r="N616" s="1"/>
      <c r="O616" s="241"/>
      <c r="P616" s="241"/>
      <c r="Q616" s="241"/>
      <c r="R616" s="241"/>
      <c r="W616" s="241"/>
      <c r="X616" s="1"/>
      <c r="Y616" s="1"/>
      <c r="Z616" s="240"/>
      <c r="AA616" s="240"/>
      <c r="AC616" s="240"/>
      <c r="AD616" s="240"/>
      <c r="AE616" s="216"/>
      <c r="AF616" s="239"/>
      <c r="AG616" s="246"/>
      <c r="AH616" s="239"/>
      <c r="AI616" s="239"/>
      <c r="AJ616" s="243"/>
      <c r="AL616" s="239"/>
      <c r="AM616" s="239"/>
      <c r="AN616" s="239"/>
      <c r="AR616" s="240"/>
    </row>
    <row r="617" spans="11:44">
      <c r="K617" s="210"/>
      <c r="N617" s="1"/>
      <c r="O617" s="241"/>
      <c r="P617" s="241"/>
      <c r="Q617" s="241"/>
      <c r="R617" s="241"/>
      <c r="W617" s="241"/>
      <c r="X617" s="1"/>
      <c r="Y617" s="1"/>
      <c r="Z617" s="240"/>
      <c r="AA617" s="240"/>
      <c r="AC617" s="240"/>
      <c r="AD617" s="240"/>
      <c r="AE617" s="216"/>
      <c r="AF617" s="239"/>
      <c r="AG617" s="246"/>
      <c r="AH617" s="239"/>
      <c r="AI617" s="239"/>
      <c r="AJ617" s="243"/>
      <c r="AL617" s="239"/>
      <c r="AM617" s="239"/>
      <c r="AN617" s="239"/>
      <c r="AR617" s="240"/>
    </row>
    <row r="618" spans="11:44">
      <c r="K618" s="210"/>
      <c r="N618" s="1"/>
      <c r="O618" s="241"/>
      <c r="P618" s="241"/>
      <c r="Q618" s="241"/>
      <c r="R618" s="241"/>
      <c r="W618" s="241"/>
      <c r="X618" s="1"/>
      <c r="Y618" s="1"/>
      <c r="Z618" s="240"/>
      <c r="AA618" s="240"/>
      <c r="AC618" s="240"/>
      <c r="AD618" s="240"/>
      <c r="AE618" s="216"/>
      <c r="AF618" s="239"/>
      <c r="AG618" s="246"/>
      <c r="AH618" s="239"/>
      <c r="AI618" s="239"/>
      <c r="AJ618" s="243"/>
      <c r="AL618" s="239"/>
      <c r="AM618" s="239"/>
      <c r="AN618" s="239"/>
      <c r="AR618" s="240"/>
    </row>
    <row r="619" spans="11:44">
      <c r="K619" s="210"/>
      <c r="N619" s="1"/>
      <c r="O619" s="241"/>
      <c r="P619" s="241"/>
      <c r="Q619" s="241"/>
      <c r="R619" s="241"/>
      <c r="W619" s="241"/>
      <c r="X619" s="1"/>
      <c r="Y619" s="1"/>
      <c r="Z619" s="240"/>
      <c r="AA619" s="240"/>
      <c r="AC619" s="240"/>
      <c r="AD619" s="240"/>
      <c r="AE619" s="216"/>
      <c r="AF619" s="239"/>
      <c r="AG619" s="246"/>
      <c r="AH619" s="239"/>
      <c r="AI619" s="239"/>
      <c r="AJ619" s="243"/>
      <c r="AL619" s="239"/>
      <c r="AM619" s="239"/>
      <c r="AN619" s="239"/>
      <c r="AR619" s="240"/>
    </row>
    <row r="620" spans="11:44">
      <c r="K620" s="210"/>
      <c r="N620" s="1"/>
      <c r="O620" s="241"/>
      <c r="P620" s="241"/>
      <c r="Q620" s="241"/>
      <c r="R620" s="241"/>
      <c r="W620" s="241"/>
      <c r="X620" s="1"/>
      <c r="Y620" s="1"/>
      <c r="Z620" s="240"/>
      <c r="AA620" s="240"/>
      <c r="AC620" s="240"/>
      <c r="AD620" s="240"/>
      <c r="AE620" s="216"/>
      <c r="AF620" s="239"/>
      <c r="AG620" s="246"/>
      <c r="AH620" s="239"/>
      <c r="AI620" s="239"/>
      <c r="AJ620" s="243"/>
      <c r="AL620" s="239"/>
      <c r="AM620" s="239"/>
      <c r="AN620" s="239"/>
      <c r="AR620" s="240"/>
    </row>
    <row r="621" spans="11:44">
      <c r="K621" s="210"/>
      <c r="N621" s="1"/>
      <c r="O621" s="241"/>
      <c r="P621" s="241"/>
      <c r="Q621" s="241"/>
      <c r="R621" s="241"/>
      <c r="W621" s="241"/>
      <c r="X621" s="1"/>
      <c r="Y621" s="1"/>
      <c r="Z621" s="240"/>
      <c r="AA621" s="240"/>
      <c r="AC621" s="240"/>
      <c r="AD621" s="240"/>
      <c r="AE621" s="216"/>
      <c r="AF621" s="239"/>
      <c r="AG621" s="246"/>
      <c r="AH621" s="239"/>
      <c r="AI621" s="239"/>
      <c r="AJ621" s="243"/>
      <c r="AL621" s="239"/>
      <c r="AM621" s="239"/>
      <c r="AN621" s="239"/>
      <c r="AR621" s="240"/>
    </row>
    <row r="622" spans="11:44">
      <c r="K622" s="210"/>
      <c r="N622" s="1"/>
      <c r="O622" s="241"/>
      <c r="P622" s="241"/>
      <c r="Q622" s="241"/>
      <c r="R622" s="241"/>
      <c r="W622" s="241"/>
      <c r="X622" s="1"/>
      <c r="Y622" s="1"/>
      <c r="Z622" s="240"/>
      <c r="AA622" s="240"/>
      <c r="AC622" s="240"/>
      <c r="AD622" s="240"/>
      <c r="AE622" s="216"/>
      <c r="AF622" s="239"/>
      <c r="AG622" s="246"/>
      <c r="AH622" s="239"/>
      <c r="AI622" s="239"/>
      <c r="AJ622" s="243"/>
      <c r="AL622" s="239"/>
      <c r="AM622" s="239"/>
      <c r="AN622" s="239"/>
      <c r="AR622" s="240"/>
    </row>
    <row r="623" spans="11:44">
      <c r="K623" s="210"/>
      <c r="N623" s="1"/>
      <c r="O623" s="241"/>
      <c r="P623" s="241"/>
      <c r="Q623" s="241"/>
      <c r="R623" s="241"/>
      <c r="W623" s="241"/>
      <c r="X623" s="1"/>
      <c r="Y623" s="1"/>
      <c r="Z623" s="240"/>
      <c r="AA623" s="240"/>
      <c r="AC623" s="240"/>
      <c r="AD623" s="240"/>
      <c r="AE623" s="216"/>
      <c r="AF623" s="239"/>
      <c r="AG623" s="246"/>
      <c r="AH623" s="239"/>
      <c r="AI623" s="239"/>
      <c r="AJ623" s="243"/>
      <c r="AL623" s="239"/>
      <c r="AM623" s="239"/>
      <c r="AN623" s="239"/>
      <c r="AR623" s="240"/>
    </row>
    <row r="624" spans="11:4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240"/>
      <c r="AA624" s="240"/>
      <c r="AC624" s="240"/>
      <c r="AD624" s="240"/>
      <c r="AE624" s="216"/>
      <c r="AF624" s="239"/>
      <c r="AG624" s="246"/>
      <c r="AH624" s="244"/>
      <c r="AI624" s="244"/>
      <c r="AJ624" s="243"/>
      <c r="AK624" s="243"/>
      <c r="AL624" s="239"/>
      <c r="AM624" s="239"/>
      <c r="AN624" s="239"/>
    </row>
    <row r="625" spans="31:40">
      <c r="AE625" s="215"/>
      <c r="AF625" s="239"/>
      <c r="AG625" s="239"/>
      <c r="AH625" s="244"/>
      <c r="AI625" s="244"/>
      <c r="AJ625" s="243"/>
      <c r="AK625" s="243"/>
      <c r="AL625" s="239"/>
      <c r="AM625" s="239"/>
      <c r="AN625" s="239"/>
    </row>
    <row r="626" spans="31:40">
      <c r="AE626" s="215"/>
      <c r="AF626" s="239"/>
      <c r="AG626" s="239"/>
      <c r="AH626" s="244"/>
      <c r="AI626" s="244"/>
      <c r="AJ626" s="243"/>
      <c r="AK626" s="243"/>
      <c r="AL626" s="239"/>
      <c r="AM626" s="239"/>
      <c r="AN626" s="239"/>
    </row>
    <row r="627" spans="31:40">
      <c r="AE627" s="215"/>
      <c r="AF627" s="239"/>
      <c r="AG627" s="239"/>
      <c r="AH627" s="244"/>
      <c r="AI627" s="244"/>
      <c r="AJ627" s="243"/>
      <c r="AK627" s="243"/>
      <c r="AL627" s="239"/>
      <c r="AM627" s="239"/>
      <c r="AN627" s="239"/>
    </row>
    <row r="628" spans="31:40">
      <c r="AE628" s="215"/>
      <c r="AF628" s="239"/>
      <c r="AG628" s="239"/>
      <c r="AH628" s="244"/>
      <c r="AI628" s="244"/>
      <c r="AJ628" s="243"/>
      <c r="AK628" s="243"/>
      <c r="AL628" s="239"/>
      <c r="AM628" s="239"/>
      <c r="AN628" s="239"/>
    </row>
    <row r="629" spans="31:40">
      <c r="AE629" s="215"/>
      <c r="AF629" s="239"/>
      <c r="AG629" s="239"/>
      <c r="AH629" s="244"/>
      <c r="AI629" s="244"/>
      <c r="AJ629" s="243"/>
      <c r="AK629" s="243"/>
      <c r="AL629" s="239"/>
      <c r="AM629" s="239"/>
      <c r="AN629" s="239"/>
    </row>
    <row r="630" spans="31:40">
      <c r="AE630" s="215"/>
      <c r="AF630" s="239"/>
      <c r="AG630" s="239"/>
      <c r="AH630" s="244"/>
      <c r="AI630" s="244"/>
      <c r="AJ630" s="243"/>
      <c r="AK630" s="243"/>
      <c r="AL630" s="239"/>
      <c r="AM630" s="239"/>
      <c r="AN630" s="239"/>
    </row>
    <row r="631" spans="31:40">
      <c r="AE631" s="215"/>
      <c r="AF631" s="239"/>
      <c r="AG631" s="239"/>
      <c r="AH631" s="244"/>
      <c r="AI631" s="244"/>
      <c r="AJ631" s="243"/>
      <c r="AK631" s="243"/>
      <c r="AL631" s="239"/>
      <c r="AM631" s="239"/>
      <c r="AN631" s="239"/>
    </row>
    <row r="632" spans="31:40">
      <c r="AE632" s="215"/>
      <c r="AF632" s="239"/>
      <c r="AG632" s="239"/>
      <c r="AH632" s="244"/>
      <c r="AI632" s="244"/>
      <c r="AJ632" s="243"/>
      <c r="AK632" s="243"/>
      <c r="AL632" s="239"/>
      <c r="AM632" s="239"/>
      <c r="AN632" s="239"/>
    </row>
    <row r="633" spans="31:40">
      <c r="AE633" s="215"/>
      <c r="AF633" s="239"/>
      <c r="AG633" s="239"/>
      <c r="AH633" s="244"/>
      <c r="AI633" s="244"/>
      <c r="AJ633" s="243"/>
      <c r="AK633" s="243"/>
      <c r="AL633" s="239"/>
      <c r="AM633" s="239"/>
      <c r="AN633" s="239"/>
    </row>
    <row r="634" spans="31:40">
      <c r="AE634" s="215"/>
      <c r="AF634" s="239"/>
      <c r="AG634" s="239"/>
      <c r="AH634" s="244"/>
      <c r="AI634" s="244"/>
      <c r="AJ634" s="243"/>
      <c r="AK634" s="243"/>
      <c r="AL634" s="239"/>
      <c r="AM634" s="239"/>
      <c r="AN634" s="239"/>
    </row>
    <row r="635" spans="31:40">
      <c r="AE635" s="215"/>
      <c r="AF635" s="239"/>
      <c r="AG635" s="239"/>
      <c r="AH635" s="244"/>
      <c r="AI635" s="244"/>
      <c r="AJ635" s="243"/>
      <c r="AK635" s="243"/>
      <c r="AL635" s="239"/>
      <c r="AM635" s="239"/>
      <c r="AN635" s="239"/>
    </row>
    <row r="636" spans="31:40">
      <c r="AE636" s="215"/>
      <c r="AF636" s="239"/>
      <c r="AG636" s="239"/>
      <c r="AH636" s="244"/>
      <c r="AI636" s="244"/>
      <c r="AJ636" s="243"/>
      <c r="AK636" s="243"/>
      <c r="AL636" s="239"/>
      <c r="AM636" s="239"/>
      <c r="AN636" s="239"/>
    </row>
    <row r="637" spans="31:40">
      <c r="AE637" s="215"/>
      <c r="AF637" s="239"/>
      <c r="AG637" s="239"/>
      <c r="AH637" s="244"/>
      <c r="AI637" s="244"/>
      <c r="AJ637" s="243"/>
      <c r="AK637" s="243"/>
      <c r="AL637" s="239"/>
      <c r="AM637" s="239"/>
      <c r="AN637" s="239"/>
    </row>
    <row r="638" spans="31:40">
      <c r="AE638" s="215"/>
      <c r="AF638" s="239"/>
      <c r="AG638" s="239"/>
      <c r="AH638" s="244"/>
      <c r="AI638" s="244"/>
      <c r="AJ638" s="243"/>
      <c r="AK638" s="243"/>
      <c r="AL638" s="239"/>
      <c r="AM638" s="239"/>
      <c r="AN638" s="239"/>
    </row>
    <row r="639" spans="31:40">
      <c r="AE639" s="215"/>
      <c r="AF639" s="239"/>
      <c r="AG639" s="239"/>
      <c r="AH639" s="244"/>
      <c r="AI639" s="244"/>
      <c r="AJ639" s="243"/>
      <c r="AK639" s="243"/>
      <c r="AL639" s="239"/>
      <c r="AM639" s="239"/>
      <c r="AN639" s="239"/>
    </row>
    <row r="640" spans="31:40">
      <c r="AE640" s="215"/>
      <c r="AF640" s="239"/>
      <c r="AG640" s="239"/>
      <c r="AH640" s="244"/>
      <c r="AI640" s="244"/>
      <c r="AJ640" s="243"/>
      <c r="AK640" s="243"/>
      <c r="AL640" s="239"/>
      <c r="AM640" s="239"/>
      <c r="AN640" s="239"/>
    </row>
    <row r="641" spans="31:40">
      <c r="AE641" s="215"/>
      <c r="AF641" s="239"/>
      <c r="AG641" s="239"/>
      <c r="AH641" s="244"/>
      <c r="AI641" s="244"/>
      <c r="AJ641" s="243"/>
      <c r="AK641" s="243"/>
      <c r="AL641" s="239"/>
      <c r="AM641" s="239"/>
      <c r="AN641" s="239"/>
    </row>
    <row r="642" spans="31:40">
      <c r="AE642" s="215"/>
      <c r="AF642" s="239"/>
      <c r="AG642" s="239"/>
      <c r="AH642" s="244"/>
      <c r="AI642" s="244"/>
      <c r="AJ642" s="243"/>
      <c r="AK642" s="243"/>
      <c r="AL642" s="239"/>
      <c r="AM642" s="239"/>
      <c r="AN642" s="239"/>
    </row>
    <row r="643" spans="31:40">
      <c r="AE643" s="215"/>
      <c r="AF643" s="239"/>
      <c r="AG643" s="239"/>
      <c r="AH643" s="244"/>
      <c r="AI643" s="244"/>
      <c r="AJ643" s="243"/>
      <c r="AK643" s="243"/>
      <c r="AL643" s="239"/>
      <c r="AM643" s="239"/>
      <c r="AN643" s="239"/>
    </row>
    <row r="644" spans="31:40">
      <c r="AE644" s="215"/>
      <c r="AF644" s="239"/>
      <c r="AG644" s="239"/>
      <c r="AH644" s="244"/>
      <c r="AI644" s="244"/>
      <c r="AJ644" s="243"/>
      <c r="AK644" s="243"/>
      <c r="AL644" s="239"/>
      <c r="AM644" s="239"/>
      <c r="AN644" s="239"/>
    </row>
    <row r="645" spans="31:40">
      <c r="AE645" s="215"/>
      <c r="AF645" s="239"/>
      <c r="AG645" s="239"/>
      <c r="AH645" s="244"/>
      <c r="AI645" s="244"/>
      <c r="AJ645" s="243"/>
      <c r="AK645" s="243"/>
      <c r="AL645" s="239"/>
      <c r="AM645" s="239"/>
      <c r="AN645" s="239"/>
    </row>
    <row r="646" spans="31:40">
      <c r="AE646" s="215"/>
      <c r="AF646" s="239"/>
      <c r="AG646" s="239"/>
      <c r="AH646" s="244"/>
      <c r="AI646" s="244"/>
      <c r="AJ646" s="243"/>
      <c r="AK646" s="243"/>
      <c r="AL646" s="239"/>
      <c r="AM646" s="239"/>
      <c r="AN646" s="239"/>
    </row>
    <row r="647" spans="31:40">
      <c r="AE647" s="215"/>
      <c r="AF647" s="239"/>
      <c r="AG647" s="239"/>
      <c r="AH647" s="244"/>
      <c r="AI647" s="244"/>
      <c r="AJ647" s="243"/>
      <c r="AK647" s="243"/>
      <c r="AL647" s="239"/>
      <c r="AM647" s="239"/>
      <c r="AN647" s="239"/>
    </row>
    <row r="648" spans="31:40">
      <c r="AE648" s="215"/>
      <c r="AF648" s="239"/>
      <c r="AG648" s="239"/>
      <c r="AH648" s="244"/>
      <c r="AI648" s="244"/>
      <c r="AJ648" s="243"/>
      <c r="AK648" s="243"/>
      <c r="AL648" s="239"/>
      <c r="AM648" s="239"/>
      <c r="AN648" s="239"/>
    </row>
    <row r="649" spans="31:40">
      <c r="AE649" s="215"/>
      <c r="AF649" s="239"/>
      <c r="AG649" s="239"/>
      <c r="AH649" s="244"/>
      <c r="AI649" s="244"/>
      <c r="AJ649" s="243"/>
      <c r="AK649" s="243"/>
      <c r="AL649" s="239"/>
      <c r="AM649" s="239"/>
      <c r="AN649" s="239"/>
    </row>
    <row r="650" spans="31:40">
      <c r="AE650" s="215"/>
      <c r="AF650" s="239"/>
      <c r="AG650" s="239"/>
      <c r="AH650" s="244"/>
      <c r="AI650" s="244"/>
      <c r="AJ650" s="243"/>
      <c r="AK650" s="243"/>
      <c r="AL650" s="239"/>
      <c r="AM650" s="239"/>
      <c r="AN650" s="239"/>
    </row>
    <row r="651" spans="31:40">
      <c r="AE651" s="215"/>
      <c r="AF651" s="239"/>
      <c r="AG651" s="239"/>
      <c r="AH651" s="244"/>
      <c r="AI651" s="244"/>
      <c r="AJ651" s="243"/>
      <c r="AK651" s="243"/>
      <c r="AL651" s="239"/>
      <c r="AM651" s="239"/>
      <c r="AN651" s="239"/>
    </row>
    <row r="652" spans="31:40">
      <c r="AE652" s="215"/>
      <c r="AF652" s="239"/>
      <c r="AG652" s="239"/>
      <c r="AH652" s="244"/>
      <c r="AI652" s="244"/>
      <c r="AJ652" s="243"/>
      <c r="AK652" s="243"/>
      <c r="AL652" s="239"/>
      <c r="AM652" s="239"/>
      <c r="AN652" s="239"/>
    </row>
    <row r="653" spans="31:40">
      <c r="AE653" s="215"/>
      <c r="AF653" s="239"/>
      <c r="AG653" s="239"/>
      <c r="AH653" s="244"/>
      <c r="AI653" s="244"/>
      <c r="AJ653" s="243"/>
      <c r="AK653" s="243"/>
      <c r="AL653" s="239"/>
      <c r="AM653" s="239"/>
      <c r="AN653" s="239"/>
    </row>
    <row r="654" spans="31:40">
      <c r="AE654" s="215"/>
      <c r="AF654" s="239"/>
      <c r="AG654" s="239"/>
      <c r="AH654" s="244"/>
      <c r="AI654" s="244"/>
      <c r="AJ654" s="243"/>
      <c r="AK654" s="243"/>
      <c r="AL654" s="239"/>
      <c r="AM654" s="239"/>
      <c r="AN654" s="239"/>
    </row>
    <row r="655" spans="31:40">
      <c r="AE655" s="215"/>
      <c r="AF655" s="239"/>
      <c r="AG655" s="239"/>
      <c r="AH655" s="244"/>
      <c r="AI655" s="244"/>
      <c r="AJ655" s="243"/>
      <c r="AK655" s="243"/>
      <c r="AL655" s="239"/>
      <c r="AM655" s="239"/>
      <c r="AN655" s="239"/>
    </row>
    <row r="656" spans="31:40">
      <c r="AE656" s="215"/>
      <c r="AF656" s="239"/>
      <c r="AG656" s="239"/>
      <c r="AH656" s="244"/>
      <c r="AI656" s="244"/>
      <c r="AJ656" s="243"/>
      <c r="AK656" s="243"/>
      <c r="AL656" s="239"/>
      <c r="AM656" s="239"/>
      <c r="AN656" s="239"/>
    </row>
    <row r="657" spans="31:40">
      <c r="AE657" s="215"/>
      <c r="AF657" s="239"/>
      <c r="AG657" s="239"/>
      <c r="AH657" s="244"/>
      <c r="AI657" s="244"/>
      <c r="AJ657" s="243"/>
      <c r="AK657" s="243"/>
      <c r="AL657" s="239"/>
      <c r="AM657" s="239"/>
      <c r="AN657" s="239"/>
    </row>
    <row r="658" spans="31:40">
      <c r="AE658" s="215"/>
      <c r="AF658" s="239"/>
      <c r="AG658" s="239"/>
      <c r="AH658" s="244"/>
      <c r="AI658" s="244"/>
      <c r="AJ658" s="243"/>
      <c r="AK658" s="243"/>
      <c r="AL658" s="239"/>
      <c r="AM658" s="239"/>
      <c r="AN658" s="239"/>
    </row>
    <row r="659" spans="31:40">
      <c r="AE659" s="215"/>
      <c r="AF659" s="239"/>
      <c r="AG659" s="239"/>
      <c r="AH659" s="244"/>
      <c r="AI659" s="244"/>
      <c r="AJ659" s="243"/>
      <c r="AK659" s="243"/>
      <c r="AL659" s="239"/>
      <c r="AM659" s="239"/>
      <c r="AN659" s="239"/>
    </row>
    <row r="660" spans="31:40">
      <c r="AE660" s="215"/>
      <c r="AF660" s="239"/>
      <c r="AG660" s="239"/>
      <c r="AH660" s="244"/>
      <c r="AI660" s="244"/>
      <c r="AJ660" s="243"/>
      <c r="AK660" s="243"/>
      <c r="AL660" s="239"/>
      <c r="AM660" s="239"/>
      <c r="AN660" s="239"/>
    </row>
    <row r="661" spans="31:40">
      <c r="AE661" s="215"/>
      <c r="AF661" s="239"/>
      <c r="AG661" s="239"/>
      <c r="AH661" s="244"/>
      <c r="AI661" s="244"/>
      <c r="AJ661" s="243"/>
      <c r="AK661" s="243"/>
      <c r="AL661" s="239"/>
      <c r="AM661" s="239"/>
      <c r="AN661" s="239"/>
    </row>
    <row r="662" spans="31:40">
      <c r="AE662" s="215"/>
      <c r="AF662" s="239"/>
      <c r="AG662" s="239"/>
      <c r="AH662" s="244"/>
      <c r="AI662" s="244"/>
      <c r="AJ662" s="243"/>
      <c r="AK662" s="243"/>
      <c r="AL662" s="239"/>
      <c r="AM662" s="239"/>
      <c r="AN662" s="239"/>
    </row>
    <row r="663" spans="31:40">
      <c r="AE663" s="215"/>
      <c r="AF663" s="239"/>
      <c r="AG663" s="239"/>
      <c r="AH663" s="244"/>
      <c r="AI663" s="244"/>
      <c r="AJ663" s="243"/>
      <c r="AK663" s="243"/>
      <c r="AL663" s="239"/>
      <c r="AM663" s="239"/>
      <c r="AN663" s="239"/>
    </row>
    <row r="664" spans="31:40">
      <c r="AE664" s="215"/>
      <c r="AF664" s="239"/>
      <c r="AG664" s="239"/>
      <c r="AH664" s="244"/>
      <c r="AI664" s="244"/>
      <c r="AJ664" s="243"/>
      <c r="AK664" s="243"/>
      <c r="AL664" s="239"/>
      <c r="AM664" s="239"/>
      <c r="AN664" s="239"/>
    </row>
    <row r="665" spans="31:40">
      <c r="AE665" s="215"/>
      <c r="AF665" s="239"/>
      <c r="AG665" s="239"/>
      <c r="AH665" s="244"/>
      <c r="AI665" s="244"/>
      <c r="AJ665" s="243"/>
      <c r="AK665" s="243"/>
      <c r="AL665" s="239"/>
      <c r="AM665" s="239"/>
      <c r="AN665" s="239"/>
    </row>
    <row r="666" spans="31:40">
      <c r="AE666" s="215"/>
      <c r="AF666" s="239"/>
      <c r="AG666" s="239"/>
      <c r="AH666" s="244"/>
      <c r="AI666" s="244"/>
      <c r="AJ666" s="243"/>
      <c r="AK666" s="243"/>
      <c r="AL666" s="239"/>
      <c r="AM666" s="239"/>
      <c r="AN666" s="239"/>
    </row>
    <row r="667" spans="31:40">
      <c r="AE667" s="215"/>
      <c r="AF667" s="239"/>
      <c r="AG667" s="239"/>
      <c r="AH667" s="244"/>
      <c r="AI667" s="244"/>
      <c r="AJ667" s="243"/>
      <c r="AK667" s="243"/>
      <c r="AL667" s="239"/>
      <c r="AM667" s="239"/>
      <c r="AN667" s="239"/>
    </row>
    <row r="668" spans="31:40">
      <c r="AE668" s="215"/>
      <c r="AF668" s="239"/>
      <c r="AG668" s="239"/>
      <c r="AH668" s="244"/>
      <c r="AI668" s="244"/>
      <c r="AJ668" s="243"/>
      <c r="AK668" s="243"/>
      <c r="AL668" s="239"/>
      <c r="AM668" s="239"/>
      <c r="AN668" s="239"/>
    </row>
    <row r="669" spans="31:40">
      <c r="AE669" s="215"/>
      <c r="AF669" s="239"/>
      <c r="AG669" s="239"/>
      <c r="AH669" s="244"/>
      <c r="AI669" s="244"/>
      <c r="AJ669" s="243"/>
      <c r="AK669" s="243"/>
      <c r="AL669" s="239"/>
      <c r="AM669" s="239"/>
      <c r="AN669" s="239"/>
    </row>
    <row r="670" spans="31:40">
      <c r="AE670" s="215"/>
      <c r="AF670" s="239"/>
      <c r="AG670" s="239"/>
      <c r="AH670" s="244"/>
      <c r="AI670" s="244"/>
      <c r="AJ670" s="243"/>
      <c r="AK670" s="243"/>
      <c r="AL670" s="239"/>
      <c r="AM670" s="239"/>
      <c r="AN670" s="239"/>
    </row>
    <row r="671" spans="31:40">
      <c r="AE671" s="215"/>
      <c r="AF671" s="239"/>
      <c r="AG671" s="239"/>
      <c r="AH671" s="244"/>
      <c r="AI671" s="244"/>
      <c r="AJ671" s="243"/>
      <c r="AK671" s="243"/>
      <c r="AL671" s="239"/>
      <c r="AM671" s="239"/>
      <c r="AN671" s="239"/>
    </row>
    <row r="672" spans="31:40">
      <c r="AE672" s="215"/>
      <c r="AF672" s="239"/>
      <c r="AG672" s="239"/>
      <c r="AH672" s="244"/>
      <c r="AI672" s="244"/>
      <c r="AJ672" s="243"/>
      <c r="AK672" s="243"/>
      <c r="AL672" s="239"/>
      <c r="AM672" s="239"/>
      <c r="AN672" s="239"/>
    </row>
    <row r="673" spans="31:40">
      <c r="AE673" s="215"/>
      <c r="AF673" s="239"/>
      <c r="AG673" s="239"/>
      <c r="AH673" s="244"/>
      <c r="AI673" s="244"/>
      <c r="AJ673" s="243"/>
      <c r="AK673" s="243"/>
      <c r="AL673" s="239"/>
      <c r="AM673" s="239"/>
      <c r="AN673" s="239"/>
    </row>
    <row r="674" spans="31:40">
      <c r="AE674" s="215"/>
      <c r="AF674" s="239"/>
      <c r="AG674" s="239"/>
      <c r="AH674" s="244"/>
      <c r="AI674" s="244"/>
      <c r="AJ674" s="243"/>
      <c r="AK674" s="243"/>
      <c r="AL674" s="239"/>
      <c r="AM674" s="239"/>
      <c r="AN674" s="239"/>
    </row>
    <row r="675" spans="31:40">
      <c r="AE675" s="215"/>
      <c r="AF675" s="239"/>
      <c r="AG675" s="239"/>
      <c r="AH675" s="244"/>
      <c r="AI675" s="244"/>
      <c r="AJ675" s="243"/>
      <c r="AK675" s="243"/>
      <c r="AL675" s="239"/>
      <c r="AM675" s="239"/>
      <c r="AN675" s="239"/>
    </row>
    <row r="676" spans="31:40">
      <c r="AE676" s="215"/>
      <c r="AF676" s="239"/>
      <c r="AG676" s="239"/>
      <c r="AH676" s="244"/>
      <c r="AI676" s="244"/>
      <c r="AJ676" s="243"/>
      <c r="AK676" s="243"/>
      <c r="AL676" s="239"/>
      <c r="AM676" s="239"/>
      <c r="AN676" s="239"/>
    </row>
    <row r="677" spans="31:40">
      <c r="AE677" s="215"/>
      <c r="AF677" s="239"/>
      <c r="AG677" s="239"/>
      <c r="AH677" s="244"/>
      <c r="AI677" s="244"/>
      <c r="AJ677" s="243"/>
      <c r="AK677" s="243"/>
      <c r="AL677" s="239"/>
      <c r="AM677" s="239"/>
      <c r="AN677" s="239"/>
    </row>
    <row r="678" spans="31:40">
      <c r="AE678" s="215"/>
      <c r="AF678" s="239"/>
      <c r="AG678" s="239"/>
      <c r="AH678" s="244"/>
      <c r="AI678" s="244"/>
      <c r="AJ678" s="243"/>
      <c r="AK678" s="243"/>
      <c r="AL678" s="239"/>
      <c r="AM678" s="239"/>
      <c r="AN678" s="239"/>
    </row>
    <row r="679" spans="31:40">
      <c r="AE679" s="215"/>
      <c r="AF679" s="239"/>
      <c r="AG679" s="239"/>
      <c r="AH679" s="244"/>
      <c r="AI679" s="244"/>
      <c r="AJ679" s="243"/>
      <c r="AK679" s="243"/>
      <c r="AL679" s="239"/>
      <c r="AM679" s="239"/>
      <c r="AN679" s="239"/>
    </row>
    <row r="680" spans="31:40">
      <c r="AE680" s="215"/>
      <c r="AF680" s="239"/>
      <c r="AG680" s="239"/>
      <c r="AH680" s="244"/>
      <c r="AI680" s="244"/>
      <c r="AJ680" s="243"/>
      <c r="AK680" s="243"/>
      <c r="AL680" s="239"/>
      <c r="AM680" s="239"/>
      <c r="AN680" s="239"/>
    </row>
    <row r="681" spans="31:40">
      <c r="AE681" s="215"/>
      <c r="AF681" s="239"/>
      <c r="AG681" s="239"/>
      <c r="AH681" s="244"/>
      <c r="AI681" s="244"/>
      <c r="AJ681" s="243"/>
      <c r="AK681" s="243"/>
      <c r="AL681" s="239"/>
      <c r="AM681" s="239"/>
      <c r="AN681" s="239"/>
    </row>
    <row r="682" spans="31:40">
      <c r="AE682" s="215"/>
      <c r="AF682" s="239"/>
      <c r="AG682" s="239"/>
      <c r="AH682" s="244"/>
      <c r="AI682" s="244"/>
      <c r="AJ682" s="243"/>
      <c r="AK682" s="243"/>
      <c r="AL682" s="239"/>
      <c r="AM682" s="239"/>
      <c r="AN682" s="239"/>
    </row>
    <row r="683" spans="31:40">
      <c r="AE683" s="215"/>
      <c r="AF683" s="239"/>
      <c r="AG683" s="239"/>
      <c r="AH683" s="244"/>
      <c r="AI683" s="244"/>
      <c r="AJ683" s="243"/>
      <c r="AK683" s="243"/>
      <c r="AL683" s="239"/>
      <c r="AM683" s="239"/>
      <c r="AN683" s="239"/>
    </row>
    <row r="684" spans="31:40">
      <c r="AE684" s="215"/>
      <c r="AF684" s="239"/>
      <c r="AG684" s="239"/>
      <c r="AH684" s="244"/>
      <c r="AI684" s="244"/>
      <c r="AJ684" s="243"/>
      <c r="AK684" s="243"/>
      <c r="AL684" s="239"/>
      <c r="AM684" s="239"/>
      <c r="AN684" s="239"/>
    </row>
    <row r="685" spans="31:40">
      <c r="AE685" s="215"/>
      <c r="AF685" s="239"/>
      <c r="AG685" s="239"/>
      <c r="AH685" s="244"/>
      <c r="AI685" s="244"/>
      <c r="AJ685" s="243"/>
      <c r="AK685" s="243"/>
      <c r="AL685" s="239"/>
      <c r="AM685" s="239"/>
      <c r="AN685" s="239"/>
    </row>
    <row r="686" spans="31:40">
      <c r="AE686" s="215"/>
      <c r="AF686" s="239"/>
      <c r="AG686" s="239"/>
      <c r="AH686" s="244"/>
      <c r="AI686" s="244"/>
      <c r="AJ686" s="243"/>
      <c r="AK686" s="243"/>
      <c r="AL686" s="239"/>
      <c r="AM686" s="239"/>
      <c r="AN686" s="239"/>
    </row>
    <row r="687" spans="31:40">
      <c r="AE687" s="215"/>
      <c r="AF687" s="239"/>
      <c r="AG687" s="239"/>
      <c r="AH687" s="244"/>
      <c r="AI687" s="244"/>
      <c r="AJ687" s="243"/>
      <c r="AK687" s="243"/>
      <c r="AL687" s="239"/>
      <c r="AM687" s="239"/>
      <c r="AN687" s="239"/>
    </row>
    <row r="688" spans="31:40">
      <c r="AE688" s="215"/>
      <c r="AF688" s="239"/>
      <c r="AG688" s="239"/>
      <c r="AH688" s="244"/>
      <c r="AI688" s="244"/>
      <c r="AJ688" s="243"/>
      <c r="AK688" s="243"/>
      <c r="AL688" s="239"/>
      <c r="AM688" s="239"/>
      <c r="AN688" s="239"/>
    </row>
    <row r="689" spans="31:40">
      <c r="AE689" s="215"/>
      <c r="AF689" s="239"/>
      <c r="AG689" s="239"/>
      <c r="AH689" s="244"/>
      <c r="AI689" s="244"/>
      <c r="AJ689" s="243"/>
      <c r="AK689" s="243"/>
      <c r="AL689" s="239"/>
      <c r="AM689" s="239"/>
      <c r="AN689" s="239"/>
    </row>
    <row r="690" spans="31:40">
      <c r="AE690" s="215"/>
      <c r="AF690" s="239"/>
      <c r="AG690" s="239"/>
      <c r="AH690" s="244"/>
      <c r="AI690" s="244"/>
      <c r="AJ690" s="243"/>
      <c r="AK690" s="243"/>
      <c r="AL690" s="239"/>
      <c r="AM690" s="239"/>
      <c r="AN690" s="239"/>
    </row>
    <row r="691" spans="31:40">
      <c r="AE691" s="215"/>
      <c r="AF691" s="239"/>
      <c r="AG691" s="239"/>
      <c r="AH691" s="244"/>
      <c r="AI691" s="244"/>
      <c r="AJ691" s="243"/>
      <c r="AK691" s="243"/>
      <c r="AL691" s="239"/>
      <c r="AM691" s="239"/>
      <c r="AN691" s="239"/>
    </row>
    <row r="692" spans="31:40">
      <c r="AE692" s="215"/>
      <c r="AF692" s="239"/>
      <c r="AG692" s="239"/>
      <c r="AH692" s="244"/>
      <c r="AI692" s="244"/>
      <c r="AJ692" s="243"/>
      <c r="AK692" s="243"/>
      <c r="AL692" s="239"/>
      <c r="AM692" s="239"/>
      <c r="AN692" s="239"/>
    </row>
    <row r="693" spans="31:40">
      <c r="AE693" s="215"/>
      <c r="AF693" s="239"/>
      <c r="AG693" s="239"/>
      <c r="AH693" s="244"/>
      <c r="AI693" s="244"/>
      <c r="AJ693" s="243"/>
      <c r="AK693" s="243"/>
      <c r="AL693" s="239"/>
      <c r="AM693" s="239"/>
      <c r="AN693" s="239"/>
    </row>
    <row r="694" spans="31:40">
      <c r="AE694" s="215"/>
      <c r="AF694" s="239"/>
      <c r="AG694" s="239"/>
      <c r="AH694" s="244"/>
      <c r="AI694" s="244"/>
      <c r="AJ694" s="243"/>
      <c r="AK694" s="243"/>
      <c r="AL694" s="239"/>
      <c r="AM694" s="239"/>
      <c r="AN694" s="239"/>
    </row>
    <row r="695" spans="31:40">
      <c r="AE695" s="215"/>
      <c r="AF695" s="239"/>
      <c r="AG695" s="239"/>
      <c r="AH695" s="244"/>
      <c r="AI695" s="244"/>
      <c r="AJ695" s="243"/>
      <c r="AK695" s="243"/>
      <c r="AL695" s="239"/>
      <c r="AM695" s="239"/>
      <c r="AN695" s="239"/>
    </row>
    <row r="696" spans="31:40">
      <c r="AE696" s="215"/>
      <c r="AF696" s="239"/>
      <c r="AG696" s="239"/>
      <c r="AH696" s="244"/>
      <c r="AI696" s="244"/>
      <c r="AJ696" s="243"/>
      <c r="AK696" s="243"/>
      <c r="AL696" s="239"/>
      <c r="AM696" s="239"/>
      <c r="AN696" s="239"/>
    </row>
    <row r="697" spans="31:40">
      <c r="AE697" s="215"/>
      <c r="AF697" s="239"/>
      <c r="AG697" s="239"/>
      <c r="AH697" s="244"/>
      <c r="AI697" s="244"/>
      <c r="AJ697" s="243"/>
      <c r="AK697" s="243"/>
      <c r="AL697" s="239"/>
      <c r="AM697" s="239"/>
      <c r="AN697" s="239"/>
    </row>
    <row r="698" spans="31:40">
      <c r="AE698" s="215"/>
      <c r="AF698" s="239"/>
      <c r="AG698" s="239"/>
      <c r="AH698" s="244"/>
      <c r="AI698" s="244"/>
      <c r="AJ698" s="243"/>
      <c r="AK698" s="243"/>
      <c r="AL698" s="239"/>
      <c r="AM698" s="239"/>
      <c r="AN698" s="239"/>
    </row>
    <row r="699" spans="31:40">
      <c r="AE699" s="215"/>
      <c r="AF699" s="239"/>
      <c r="AG699" s="239"/>
      <c r="AH699" s="244"/>
      <c r="AI699" s="244"/>
      <c r="AJ699" s="243"/>
      <c r="AK699" s="243"/>
      <c r="AL699" s="239"/>
      <c r="AM699" s="239"/>
      <c r="AN699" s="239"/>
    </row>
    <row r="700" spans="31:40">
      <c r="AE700" s="215"/>
      <c r="AF700" s="239"/>
      <c r="AG700" s="239"/>
      <c r="AH700" s="244"/>
      <c r="AI700" s="244"/>
      <c r="AJ700" s="243"/>
      <c r="AK700" s="243"/>
      <c r="AL700" s="239"/>
      <c r="AM700" s="239"/>
      <c r="AN700" s="239"/>
    </row>
    <row r="701" spans="31:40">
      <c r="AE701" s="215"/>
      <c r="AF701" s="239"/>
      <c r="AG701" s="239"/>
      <c r="AH701" s="244"/>
      <c r="AI701" s="244"/>
      <c r="AJ701" s="243"/>
      <c r="AK701" s="243"/>
      <c r="AL701" s="239"/>
      <c r="AM701" s="239"/>
      <c r="AN701" s="239"/>
    </row>
    <row r="702" spans="31:40">
      <c r="AE702" s="215"/>
      <c r="AF702" s="239"/>
      <c r="AG702" s="239"/>
      <c r="AH702" s="244"/>
      <c r="AI702" s="244"/>
      <c r="AJ702" s="243"/>
      <c r="AK702" s="243"/>
      <c r="AL702" s="239"/>
      <c r="AM702" s="239"/>
      <c r="AN702" s="239"/>
    </row>
    <row r="703" spans="31:40">
      <c r="AE703" s="215"/>
      <c r="AF703" s="239"/>
      <c r="AG703" s="239"/>
      <c r="AH703" s="244"/>
      <c r="AI703" s="244"/>
      <c r="AJ703" s="243"/>
      <c r="AK703" s="243"/>
      <c r="AL703" s="239"/>
      <c r="AM703" s="239"/>
      <c r="AN703" s="239"/>
    </row>
    <row r="704" spans="31:40">
      <c r="AE704" s="215"/>
      <c r="AF704" s="239"/>
      <c r="AG704" s="239"/>
      <c r="AH704" s="244"/>
      <c r="AI704" s="244"/>
      <c r="AJ704" s="243"/>
      <c r="AK704" s="243"/>
      <c r="AL704" s="239"/>
      <c r="AM704" s="239"/>
      <c r="AN704" s="239"/>
    </row>
    <row r="705" spans="31:40">
      <c r="AE705" s="215"/>
      <c r="AF705" s="239"/>
      <c r="AG705" s="239"/>
      <c r="AH705" s="244"/>
      <c r="AI705" s="244"/>
      <c r="AJ705" s="243"/>
      <c r="AK705" s="243"/>
      <c r="AL705" s="239"/>
      <c r="AM705" s="239"/>
      <c r="AN705" s="239"/>
    </row>
    <row r="706" spans="31:40">
      <c r="AE706" s="215"/>
      <c r="AF706" s="239"/>
      <c r="AG706" s="239"/>
      <c r="AH706" s="244"/>
      <c r="AI706" s="244"/>
      <c r="AJ706" s="243"/>
      <c r="AK706" s="243"/>
      <c r="AL706" s="239"/>
      <c r="AM706" s="239"/>
      <c r="AN706" s="239"/>
    </row>
    <row r="707" spans="31:40">
      <c r="AE707" s="215"/>
      <c r="AF707" s="239"/>
      <c r="AG707" s="239"/>
      <c r="AH707" s="244"/>
      <c r="AI707" s="244"/>
      <c r="AJ707" s="243"/>
      <c r="AK707" s="243"/>
      <c r="AL707" s="239"/>
      <c r="AM707" s="239"/>
      <c r="AN707" s="239"/>
    </row>
    <row r="708" spans="31:40">
      <c r="AE708" s="215"/>
      <c r="AF708" s="239"/>
      <c r="AG708" s="239"/>
      <c r="AH708" s="244"/>
      <c r="AI708" s="244"/>
      <c r="AJ708" s="243"/>
      <c r="AK708" s="243"/>
      <c r="AL708" s="239"/>
      <c r="AM708" s="239"/>
      <c r="AN708" s="239"/>
    </row>
    <row r="709" spans="31:40">
      <c r="AE709" s="215"/>
      <c r="AF709" s="239"/>
      <c r="AG709" s="239"/>
      <c r="AH709" s="244"/>
      <c r="AI709" s="244"/>
      <c r="AJ709" s="243"/>
      <c r="AK709" s="243"/>
      <c r="AL709" s="239"/>
      <c r="AM709" s="239"/>
      <c r="AN709" s="239"/>
    </row>
    <row r="710" spans="31:40">
      <c r="AE710" s="215"/>
      <c r="AF710" s="239"/>
      <c r="AG710" s="239"/>
      <c r="AH710" s="244"/>
      <c r="AI710" s="244"/>
      <c r="AJ710" s="243"/>
      <c r="AK710" s="243"/>
      <c r="AL710" s="239"/>
      <c r="AM710" s="239"/>
      <c r="AN710" s="239"/>
    </row>
    <row r="711" spans="31:40">
      <c r="AE711" s="215"/>
      <c r="AF711" s="239"/>
      <c r="AG711" s="239"/>
      <c r="AH711" s="244"/>
      <c r="AI711" s="244"/>
      <c r="AJ711" s="243"/>
      <c r="AK711" s="243"/>
      <c r="AL711" s="239"/>
      <c r="AM711" s="239"/>
      <c r="AN711" s="239"/>
    </row>
    <row r="712" spans="31:40">
      <c r="AE712" s="215"/>
      <c r="AF712" s="239"/>
      <c r="AG712" s="239"/>
      <c r="AH712" s="244"/>
      <c r="AI712" s="244"/>
      <c r="AJ712" s="243"/>
      <c r="AK712" s="243"/>
      <c r="AL712" s="239"/>
      <c r="AM712" s="239"/>
      <c r="AN712" s="239"/>
    </row>
    <row r="713" spans="31:40">
      <c r="AE713" s="215"/>
      <c r="AF713" s="239"/>
      <c r="AG713" s="239"/>
      <c r="AH713" s="244"/>
      <c r="AI713" s="244"/>
      <c r="AJ713" s="243"/>
      <c r="AK713" s="243"/>
      <c r="AL713" s="239"/>
      <c r="AM713" s="239"/>
      <c r="AN713" s="239"/>
    </row>
    <row r="714" spans="31:40">
      <c r="AE714" s="215"/>
      <c r="AF714" s="239"/>
      <c r="AG714" s="239"/>
      <c r="AH714" s="244"/>
      <c r="AI714" s="244"/>
      <c r="AJ714" s="243"/>
      <c r="AK714" s="243"/>
      <c r="AL714" s="239"/>
      <c r="AM714" s="239"/>
      <c r="AN714" s="239"/>
    </row>
    <row r="715" spans="31:40">
      <c r="AE715" s="215"/>
      <c r="AF715" s="239"/>
      <c r="AG715" s="239"/>
      <c r="AH715" s="244"/>
      <c r="AI715" s="244"/>
      <c r="AJ715" s="243"/>
      <c r="AK715" s="243"/>
      <c r="AL715" s="239"/>
      <c r="AM715" s="239"/>
      <c r="AN715" s="239"/>
    </row>
    <row r="716" spans="31:40">
      <c r="AE716" s="215"/>
      <c r="AF716" s="239"/>
      <c r="AG716" s="239"/>
      <c r="AH716" s="244"/>
      <c r="AI716" s="244"/>
      <c r="AJ716" s="243"/>
      <c r="AK716" s="243"/>
      <c r="AL716" s="239"/>
      <c r="AM716" s="239"/>
      <c r="AN716" s="239"/>
    </row>
    <row r="717" spans="31:40">
      <c r="AE717" s="215"/>
      <c r="AF717" s="239"/>
      <c r="AG717" s="239"/>
      <c r="AH717" s="244"/>
      <c r="AI717" s="244"/>
      <c r="AJ717" s="243"/>
      <c r="AK717" s="243"/>
      <c r="AL717" s="239"/>
      <c r="AM717" s="239"/>
      <c r="AN717" s="239"/>
    </row>
    <row r="718" spans="31:40">
      <c r="AE718" s="215"/>
      <c r="AF718" s="239"/>
      <c r="AG718" s="239"/>
      <c r="AH718" s="244"/>
      <c r="AI718" s="244"/>
      <c r="AJ718" s="243"/>
      <c r="AK718" s="243"/>
      <c r="AL718" s="239"/>
      <c r="AM718" s="239"/>
      <c r="AN718" s="239"/>
    </row>
    <row r="719" spans="31:40">
      <c r="AE719" s="215"/>
      <c r="AF719" s="239"/>
      <c r="AG719" s="239"/>
      <c r="AH719" s="244"/>
      <c r="AI719" s="244"/>
      <c r="AJ719" s="243"/>
      <c r="AK719" s="243"/>
      <c r="AL719" s="239"/>
      <c r="AM719" s="239"/>
      <c r="AN719" s="239"/>
    </row>
    <row r="720" spans="31:40">
      <c r="AE720" s="215"/>
      <c r="AF720" s="239"/>
      <c r="AG720" s="239"/>
      <c r="AH720" s="244"/>
      <c r="AI720" s="244"/>
      <c r="AJ720" s="243"/>
      <c r="AK720" s="243"/>
      <c r="AL720" s="239"/>
      <c r="AM720" s="239"/>
      <c r="AN720" s="239"/>
    </row>
    <row r="721" spans="31:40">
      <c r="AE721" s="215"/>
      <c r="AF721" s="239"/>
      <c r="AG721" s="239"/>
      <c r="AH721" s="244"/>
      <c r="AI721" s="244"/>
      <c r="AJ721" s="243"/>
      <c r="AK721" s="243"/>
      <c r="AL721" s="239"/>
      <c r="AM721" s="239"/>
      <c r="AN721" s="239"/>
    </row>
    <row r="722" spans="31:40">
      <c r="AE722" s="215"/>
      <c r="AF722" s="239"/>
      <c r="AG722" s="239"/>
      <c r="AH722" s="244"/>
      <c r="AI722" s="244"/>
      <c r="AJ722" s="243"/>
      <c r="AK722" s="243"/>
      <c r="AL722" s="239"/>
      <c r="AM722" s="239"/>
      <c r="AN722" s="239"/>
    </row>
    <row r="723" spans="31:40">
      <c r="AE723" s="215"/>
      <c r="AF723" s="239"/>
      <c r="AG723" s="239"/>
      <c r="AH723" s="244"/>
      <c r="AI723" s="244"/>
      <c r="AJ723" s="243"/>
      <c r="AK723" s="243"/>
      <c r="AL723" s="239"/>
      <c r="AM723" s="239"/>
      <c r="AN723" s="239"/>
    </row>
    <row r="724" spans="31:40">
      <c r="AE724" s="215"/>
      <c r="AF724" s="239"/>
      <c r="AG724" s="239"/>
      <c r="AH724" s="244"/>
      <c r="AI724" s="244"/>
      <c r="AJ724" s="243"/>
      <c r="AK724" s="243"/>
      <c r="AL724" s="239"/>
      <c r="AM724" s="239"/>
      <c r="AN724" s="239"/>
    </row>
    <row r="725" spans="31:40">
      <c r="AE725" s="215"/>
      <c r="AF725" s="239"/>
      <c r="AG725" s="239"/>
      <c r="AH725" s="244"/>
      <c r="AI725" s="244"/>
      <c r="AJ725" s="243"/>
      <c r="AK725" s="243"/>
      <c r="AL725" s="239"/>
      <c r="AM725" s="239"/>
      <c r="AN725" s="239"/>
    </row>
    <row r="726" spans="31:40">
      <c r="AE726" s="215"/>
      <c r="AF726" s="239"/>
      <c r="AG726" s="239"/>
      <c r="AH726" s="244"/>
      <c r="AI726" s="244"/>
      <c r="AJ726" s="243"/>
      <c r="AK726" s="243"/>
      <c r="AL726" s="239"/>
      <c r="AM726" s="239"/>
      <c r="AN726" s="239"/>
    </row>
    <row r="727" spans="31:40">
      <c r="AE727" s="215"/>
      <c r="AF727" s="239"/>
      <c r="AG727" s="239"/>
      <c r="AH727" s="244"/>
      <c r="AI727" s="244"/>
      <c r="AJ727" s="243"/>
      <c r="AK727" s="243"/>
      <c r="AL727" s="239"/>
      <c r="AM727" s="239"/>
      <c r="AN727" s="239"/>
    </row>
    <row r="728" spans="31:40">
      <c r="AE728" s="215"/>
      <c r="AF728" s="239"/>
      <c r="AG728" s="239"/>
      <c r="AH728" s="244"/>
      <c r="AI728" s="244"/>
      <c r="AJ728" s="243"/>
      <c r="AK728" s="243"/>
      <c r="AL728" s="239"/>
      <c r="AM728" s="239"/>
      <c r="AN728" s="239"/>
    </row>
    <row r="729" spans="31:40">
      <c r="AE729" s="215"/>
      <c r="AF729" s="239"/>
      <c r="AG729" s="239"/>
      <c r="AH729" s="244"/>
      <c r="AI729" s="244"/>
      <c r="AJ729" s="243"/>
      <c r="AK729" s="243"/>
      <c r="AL729" s="239"/>
      <c r="AM729" s="239"/>
      <c r="AN729" s="239"/>
    </row>
    <row r="730" spans="31:40">
      <c r="AE730" s="215"/>
      <c r="AF730" s="239"/>
      <c r="AG730" s="239"/>
      <c r="AH730" s="244"/>
      <c r="AI730" s="244"/>
      <c r="AJ730" s="243"/>
      <c r="AK730" s="243"/>
      <c r="AL730" s="239"/>
      <c r="AM730" s="239"/>
      <c r="AN730" s="239"/>
    </row>
    <row r="731" spans="31:40">
      <c r="AE731" s="215"/>
      <c r="AF731" s="239"/>
      <c r="AG731" s="239"/>
      <c r="AH731" s="244"/>
      <c r="AI731" s="244"/>
      <c r="AJ731" s="243"/>
      <c r="AK731" s="243"/>
      <c r="AL731" s="239"/>
      <c r="AM731" s="239"/>
      <c r="AN731" s="239"/>
    </row>
    <row r="732" spans="31:40">
      <c r="AE732" s="215"/>
      <c r="AF732" s="239"/>
      <c r="AG732" s="239"/>
      <c r="AH732" s="244"/>
      <c r="AI732" s="244"/>
      <c r="AJ732" s="243"/>
      <c r="AK732" s="243"/>
      <c r="AL732" s="239"/>
      <c r="AM732" s="239"/>
      <c r="AN732" s="239"/>
    </row>
    <row r="733" spans="31:40">
      <c r="AE733" s="215"/>
      <c r="AF733" s="239"/>
      <c r="AG733" s="239"/>
      <c r="AH733" s="244"/>
      <c r="AI733" s="244"/>
      <c r="AJ733" s="243"/>
      <c r="AK733" s="243"/>
      <c r="AL733" s="239"/>
      <c r="AM733" s="239"/>
      <c r="AN733" s="239"/>
    </row>
    <row r="734" spans="31:40">
      <c r="AE734" s="215"/>
      <c r="AF734" s="239"/>
      <c r="AG734" s="239"/>
      <c r="AH734" s="244"/>
      <c r="AI734" s="244"/>
      <c r="AJ734" s="243"/>
      <c r="AK734" s="243"/>
      <c r="AL734" s="239"/>
      <c r="AM734" s="239"/>
      <c r="AN734" s="239"/>
    </row>
    <row r="735" spans="31:40">
      <c r="AE735" s="215"/>
      <c r="AF735" s="239"/>
      <c r="AG735" s="239"/>
      <c r="AH735" s="244"/>
      <c r="AI735" s="244"/>
      <c r="AJ735" s="243"/>
      <c r="AK735" s="243"/>
      <c r="AL735" s="239"/>
      <c r="AM735" s="239"/>
      <c r="AN735" s="239"/>
    </row>
    <row r="736" spans="31:40">
      <c r="AE736" s="215"/>
      <c r="AF736" s="239"/>
      <c r="AG736" s="239"/>
      <c r="AH736" s="244"/>
      <c r="AI736" s="244"/>
      <c r="AJ736" s="243"/>
      <c r="AK736" s="243"/>
      <c r="AL736" s="239"/>
      <c r="AM736" s="239"/>
      <c r="AN736" s="239"/>
    </row>
    <row r="737" spans="31:40">
      <c r="AE737" s="215"/>
      <c r="AF737" s="239"/>
      <c r="AG737" s="239"/>
      <c r="AH737" s="244"/>
      <c r="AI737" s="244"/>
      <c r="AJ737" s="243"/>
      <c r="AK737" s="243"/>
      <c r="AL737" s="239"/>
      <c r="AM737" s="239"/>
      <c r="AN737" s="239"/>
    </row>
    <row r="738" spans="31:40">
      <c r="AE738" s="215"/>
      <c r="AF738" s="239"/>
      <c r="AG738" s="239"/>
      <c r="AH738" s="244"/>
      <c r="AI738" s="244"/>
      <c r="AJ738" s="243"/>
      <c r="AK738" s="243"/>
      <c r="AL738" s="239"/>
      <c r="AM738" s="239"/>
      <c r="AN738" s="239"/>
    </row>
    <row r="739" spans="31:40">
      <c r="AE739" s="215"/>
      <c r="AF739" s="239"/>
      <c r="AG739" s="239"/>
      <c r="AH739" s="244"/>
      <c r="AI739" s="244"/>
      <c r="AJ739" s="243"/>
      <c r="AK739" s="243"/>
      <c r="AL739" s="239"/>
      <c r="AM739" s="239"/>
      <c r="AN739" s="239"/>
    </row>
    <row r="740" spans="31:40">
      <c r="AE740" s="215"/>
      <c r="AF740" s="239"/>
      <c r="AG740" s="239"/>
      <c r="AH740" s="244"/>
      <c r="AI740" s="244"/>
      <c r="AJ740" s="243"/>
      <c r="AK740" s="243"/>
      <c r="AL740" s="239"/>
      <c r="AM740" s="239"/>
      <c r="AN740" s="239"/>
    </row>
    <row r="741" spans="31:40">
      <c r="AE741" s="215"/>
      <c r="AF741" s="239"/>
      <c r="AG741" s="239"/>
      <c r="AH741" s="244"/>
      <c r="AI741" s="244"/>
      <c r="AJ741" s="243"/>
      <c r="AK741" s="243"/>
      <c r="AL741" s="239"/>
      <c r="AM741" s="239"/>
      <c r="AN741" s="239"/>
    </row>
    <row r="742" spans="31:40">
      <c r="AE742" s="215"/>
      <c r="AF742" s="239"/>
      <c r="AG742" s="239"/>
      <c r="AH742" s="244"/>
      <c r="AI742" s="244"/>
      <c r="AJ742" s="243"/>
      <c r="AK742" s="243"/>
      <c r="AL742" s="239"/>
      <c r="AM742" s="239"/>
      <c r="AN742" s="239"/>
    </row>
    <row r="743" spans="31:40">
      <c r="AE743" s="215"/>
      <c r="AF743" s="239"/>
      <c r="AG743" s="239"/>
      <c r="AH743" s="244"/>
      <c r="AI743" s="244"/>
      <c r="AJ743" s="243"/>
      <c r="AK743" s="243"/>
      <c r="AL743" s="239"/>
      <c r="AM743" s="239"/>
      <c r="AN743" s="239"/>
    </row>
    <row r="744" spans="31:40">
      <c r="AE744" s="215"/>
      <c r="AF744" s="239"/>
      <c r="AG744" s="239"/>
      <c r="AH744" s="244"/>
      <c r="AI744" s="244"/>
      <c r="AJ744" s="243"/>
      <c r="AK744" s="243"/>
      <c r="AL744" s="239"/>
      <c r="AM744" s="239"/>
      <c r="AN744" s="239"/>
    </row>
    <row r="745" spans="31:40">
      <c r="AE745" s="215"/>
      <c r="AF745" s="239"/>
      <c r="AG745" s="239"/>
      <c r="AH745" s="244"/>
      <c r="AI745" s="244"/>
      <c r="AJ745" s="243"/>
      <c r="AK745" s="243"/>
      <c r="AL745" s="239"/>
      <c r="AM745" s="239"/>
      <c r="AN745" s="239"/>
    </row>
    <row r="746" spans="31:40">
      <c r="AE746" s="215"/>
      <c r="AF746" s="239"/>
      <c r="AG746" s="239"/>
      <c r="AH746" s="244"/>
      <c r="AI746" s="244"/>
      <c r="AJ746" s="243"/>
      <c r="AK746" s="243"/>
      <c r="AL746" s="239"/>
      <c r="AM746" s="239"/>
      <c r="AN746" s="239"/>
    </row>
    <row r="747" spans="31:40">
      <c r="AE747" s="215"/>
      <c r="AF747" s="239"/>
      <c r="AG747" s="239"/>
      <c r="AH747" s="244"/>
      <c r="AI747" s="244"/>
      <c r="AJ747" s="243"/>
      <c r="AK747" s="243"/>
      <c r="AL747" s="239"/>
      <c r="AM747" s="239"/>
      <c r="AN747" s="239"/>
    </row>
    <row r="748" spans="31:40">
      <c r="AE748" s="215"/>
      <c r="AF748" s="239"/>
      <c r="AG748" s="239"/>
      <c r="AH748" s="244"/>
      <c r="AI748" s="244"/>
      <c r="AJ748" s="243"/>
      <c r="AK748" s="243"/>
      <c r="AL748" s="239"/>
      <c r="AM748" s="239"/>
      <c r="AN748" s="239"/>
    </row>
    <row r="749" spans="31:40">
      <c r="AE749" s="215"/>
      <c r="AF749" s="239"/>
      <c r="AG749" s="239"/>
      <c r="AH749" s="244"/>
      <c r="AI749" s="244"/>
      <c r="AJ749" s="243"/>
      <c r="AK749" s="243"/>
      <c r="AL749" s="239"/>
      <c r="AM749" s="239"/>
      <c r="AN749" s="239"/>
    </row>
    <row r="750" spans="31:40">
      <c r="AE750" s="215"/>
      <c r="AF750" s="239"/>
      <c r="AG750" s="239"/>
      <c r="AH750" s="244"/>
      <c r="AI750" s="244"/>
      <c r="AJ750" s="243"/>
      <c r="AK750" s="243"/>
      <c r="AL750" s="239"/>
      <c r="AM750" s="239"/>
      <c r="AN750" s="239"/>
    </row>
    <row r="751" spans="31:40">
      <c r="AE751" s="215"/>
      <c r="AF751" s="239"/>
      <c r="AG751" s="239"/>
      <c r="AH751" s="244"/>
      <c r="AI751" s="244"/>
      <c r="AJ751" s="243"/>
      <c r="AK751" s="243"/>
      <c r="AL751" s="239"/>
      <c r="AM751" s="239"/>
      <c r="AN751" s="239"/>
    </row>
    <row r="752" spans="31:40">
      <c r="AE752" s="215"/>
      <c r="AF752" s="239"/>
      <c r="AG752" s="239"/>
      <c r="AH752" s="244"/>
      <c r="AI752" s="244"/>
      <c r="AJ752" s="243"/>
      <c r="AK752" s="243"/>
      <c r="AL752" s="239"/>
      <c r="AM752" s="239"/>
      <c r="AN752" s="239"/>
    </row>
    <row r="753" spans="31:40">
      <c r="AE753" s="215"/>
      <c r="AF753" s="239"/>
      <c r="AG753" s="239"/>
      <c r="AH753" s="244"/>
      <c r="AI753" s="244"/>
      <c r="AJ753" s="243"/>
      <c r="AK753" s="243"/>
      <c r="AL753" s="239"/>
      <c r="AM753" s="239"/>
      <c r="AN753" s="239"/>
    </row>
    <row r="754" spans="31:40">
      <c r="AE754" s="215"/>
      <c r="AF754" s="239"/>
      <c r="AG754" s="239"/>
      <c r="AH754" s="244"/>
      <c r="AI754" s="244"/>
      <c r="AJ754" s="243"/>
      <c r="AK754" s="243"/>
      <c r="AL754" s="239"/>
      <c r="AM754" s="239"/>
      <c r="AN754" s="239"/>
    </row>
    <row r="755" spans="31:40">
      <c r="AE755" s="215"/>
      <c r="AF755" s="239"/>
      <c r="AG755" s="239"/>
      <c r="AH755" s="244"/>
      <c r="AI755" s="244"/>
      <c r="AJ755" s="243"/>
      <c r="AK755" s="243"/>
      <c r="AL755" s="239"/>
      <c r="AM755" s="239"/>
      <c r="AN755" s="239"/>
    </row>
    <row r="756" spans="31:40">
      <c r="AE756" s="215"/>
      <c r="AF756" s="239"/>
      <c r="AG756" s="239"/>
      <c r="AH756" s="244"/>
      <c r="AI756" s="244"/>
      <c r="AJ756" s="243"/>
      <c r="AK756" s="243"/>
      <c r="AL756" s="239"/>
      <c r="AM756" s="239"/>
      <c r="AN756" s="239"/>
    </row>
    <row r="757" spans="31:40">
      <c r="AE757" s="215"/>
      <c r="AF757" s="239"/>
      <c r="AG757" s="239"/>
      <c r="AH757" s="244"/>
      <c r="AI757" s="244"/>
      <c r="AJ757" s="243"/>
      <c r="AK757" s="243"/>
      <c r="AL757" s="239"/>
      <c r="AM757" s="239"/>
      <c r="AN757" s="239"/>
    </row>
    <row r="758" spans="31:40">
      <c r="AE758" s="215"/>
      <c r="AF758" s="239"/>
      <c r="AG758" s="239"/>
      <c r="AH758" s="244"/>
      <c r="AI758" s="244"/>
      <c r="AJ758" s="243"/>
      <c r="AK758" s="243"/>
      <c r="AL758" s="239"/>
      <c r="AM758" s="239"/>
      <c r="AN758" s="239"/>
    </row>
    <row r="759" spans="31:40">
      <c r="AE759" s="215"/>
      <c r="AF759" s="239"/>
      <c r="AG759" s="239"/>
      <c r="AH759" s="244"/>
      <c r="AI759" s="244"/>
      <c r="AJ759" s="243"/>
      <c r="AK759" s="243"/>
      <c r="AL759" s="239"/>
      <c r="AM759" s="239"/>
      <c r="AN759" s="239"/>
    </row>
    <row r="760" spans="31:40">
      <c r="AE760" s="215"/>
      <c r="AF760" s="239"/>
      <c r="AG760" s="239"/>
      <c r="AH760" s="244"/>
      <c r="AI760" s="244"/>
      <c r="AJ760" s="243"/>
      <c r="AK760" s="243"/>
      <c r="AL760" s="239"/>
      <c r="AM760" s="239"/>
      <c r="AN760" s="239"/>
    </row>
    <row r="761" spans="31:40">
      <c r="AE761" s="215"/>
      <c r="AF761" s="239"/>
      <c r="AG761" s="239"/>
      <c r="AH761" s="244"/>
      <c r="AI761" s="244"/>
      <c r="AJ761" s="243"/>
      <c r="AK761" s="243"/>
      <c r="AL761" s="239"/>
      <c r="AM761" s="239"/>
      <c r="AN761" s="239"/>
    </row>
    <row r="762" spans="31:40">
      <c r="AE762" s="215"/>
      <c r="AF762" s="239"/>
      <c r="AG762" s="239"/>
      <c r="AH762" s="244"/>
      <c r="AI762" s="244"/>
      <c r="AJ762" s="243"/>
      <c r="AK762" s="243"/>
      <c r="AL762" s="239"/>
      <c r="AM762" s="239"/>
      <c r="AN762" s="239"/>
    </row>
    <row r="763" spans="31:40">
      <c r="AE763" s="215"/>
      <c r="AF763" s="239"/>
      <c r="AG763" s="239"/>
      <c r="AH763" s="244"/>
      <c r="AI763" s="244"/>
      <c r="AJ763" s="243"/>
      <c r="AK763" s="243"/>
      <c r="AL763" s="239"/>
      <c r="AM763" s="239"/>
      <c r="AN763" s="239"/>
    </row>
    <row r="764" spans="31:40">
      <c r="AE764" s="215"/>
      <c r="AF764" s="239"/>
      <c r="AG764" s="239"/>
      <c r="AH764" s="244"/>
      <c r="AI764" s="244"/>
      <c r="AJ764" s="243"/>
      <c r="AK764" s="243"/>
      <c r="AL764" s="239"/>
      <c r="AM764" s="239"/>
      <c r="AN764" s="239"/>
    </row>
    <row r="765" spans="31:40">
      <c r="AE765" s="215"/>
      <c r="AF765" s="239"/>
      <c r="AG765" s="239"/>
      <c r="AH765" s="244"/>
      <c r="AI765" s="244"/>
      <c r="AJ765" s="243"/>
      <c r="AK765" s="243"/>
      <c r="AL765" s="239"/>
      <c r="AM765" s="239"/>
      <c r="AN765" s="239"/>
    </row>
    <row r="766" spans="31:40">
      <c r="AE766" s="215"/>
      <c r="AF766" s="239"/>
      <c r="AG766" s="239"/>
      <c r="AH766" s="244"/>
      <c r="AI766" s="244"/>
      <c r="AJ766" s="243"/>
      <c r="AK766" s="243"/>
      <c r="AL766" s="239"/>
      <c r="AM766" s="239"/>
      <c r="AN766" s="239"/>
    </row>
    <row r="767" spans="31:40">
      <c r="AE767" s="215"/>
      <c r="AF767" s="239"/>
      <c r="AG767" s="239"/>
      <c r="AH767" s="244"/>
      <c r="AI767" s="244"/>
      <c r="AJ767" s="243"/>
      <c r="AK767" s="243"/>
      <c r="AL767" s="239"/>
      <c r="AM767" s="239"/>
      <c r="AN767" s="239"/>
    </row>
    <row r="768" spans="31:40">
      <c r="AE768" s="215"/>
      <c r="AF768" s="239"/>
      <c r="AG768" s="239"/>
      <c r="AH768" s="244"/>
      <c r="AI768" s="244"/>
      <c r="AJ768" s="243"/>
      <c r="AK768" s="243"/>
      <c r="AL768" s="239"/>
      <c r="AM768" s="239"/>
      <c r="AN768" s="239"/>
    </row>
    <row r="769" spans="31:40">
      <c r="AE769" s="215"/>
      <c r="AF769" s="239"/>
      <c r="AG769" s="239"/>
      <c r="AH769" s="244"/>
      <c r="AI769" s="244"/>
      <c r="AJ769" s="243"/>
      <c r="AK769" s="243"/>
      <c r="AL769" s="239"/>
      <c r="AM769" s="239"/>
      <c r="AN769" s="239"/>
    </row>
    <row r="770" spans="31:40">
      <c r="AE770" s="215"/>
      <c r="AF770" s="239"/>
      <c r="AG770" s="239"/>
      <c r="AH770" s="244"/>
      <c r="AI770" s="244"/>
      <c r="AJ770" s="243"/>
      <c r="AK770" s="243"/>
      <c r="AL770" s="239"/>
      <c r="AM770" s="239"/>
      <c r="AN770" s="239"/>
    </row>
    <row r="771" spans="31:40">
      <c r="AE771" s="215"/>
      <c r="AF771" s="239"/>
      <c r="AG771" s="239"/>
      <c r="AH771" s="244"/>
      <c r="AI771" s="244"/>
      <c r="AJ771" s="243"/>
      <c r="AK771" s="243"/>
      <c r="AL771" s="239"/>
      <c r="AM771" s="239"/>
      <c r="AN771" s="239"/>
    </row>
    <row r="772" spans="31:40">
      <c r="AE772" s="215"/>
      <c r="AF772" s="239"/>
      <c r="AG772" s="239"/>
      <c r="AH772" s="244"/>
      <c r="AI772" s="244"/>
      <c r="AJ772" s="243"/>
      <c r="AK772" s="243"/>
      <c r="AL772" s="239"/>
      <c r="AM772" s="239"/>
      <c r="AN772" s="239"/>
    </row>
    <row r="773" spans="31:40">
      <c r="AE773" s="215"/>
      <c r="AF773" s="239"/>
      <c r="AG773" s="239"/>
      <c r="AH773" s="244"/>
      <c r="AI773" s="244"/>
      <c r="AJ773" s="243"/>
      <c r="AK773" s="243"/>
      <c r="AL773" s="239"/>
      <c r="AM773" s="239"/>
      <c r="AN773" s="239"/>
    </row>
    <row r="774" spans="31:40">
      <c r="AE774" s="215"/>
      <c r="AF774" s="239"/>
      <c r="AG774" s="239"/>
      <c r="AH774" s="244"/>
      <c r="AI774" s="244"/>
      <c r="AJ774" s="243"/>
      <c r="AK774" s="243"/>
      <c r="AL774" s="239"/>
      <c r="AM774" s="239"/>
      <c r="AN774" s="239"/>
    </row>
    <row r="775" spans="31:40">
      <c r="AE775" s="215"/>
      <c r="AF775" s="239"/>
      <c r="AG775" s="239"/>
      <c r="AH775" s="244"/>
      <c r="AI775" s="244"/>
      <c r="AJ775" s="243"/>
      <c r="AK775" s="243"/>
      <c r="AL775" s="239"/>
      <c r="AM775" s="239"/>
      <c r="AN775" s="239"/>
    </row>
    <row r="776" spans="31:40">
      <c r="AE776" s="215"/>
      <c r="AF776" s="239"/>
      <c r="AG776" s="239"/>
      <c r="AH776" s="244"/>
      <c r="AI776" s="244"/>
      <c r="AJ776" s="243"/>
      <c r="AK776" s="243"/>
      <c r="AL776" s="239"/>
      <c r="AM776" s="239"/>
      <c r="AN776" s="239"/>
    </row>
    <row r="777" spans="31:40">
      <c r="AE777" s="215"/>
      <c r="AF777" s="239"/>
      <c r="AG777" s="239"/>
      <c r="AH777" s="244"/>
      <c r="AI777" s="244"/>
      <c r="AJ777" s="243"/>
      <c r="AK777" s="243"/>
      <c r="AL777" s="239"/>
      <c r="AM777" s="239"/>
      <c r="AN777" s="239"/>
    </row>
    <row r="778" spans="31:40">
      <c r="AE778" s="215"/>
      <c r="AF778" s="239"/>
      <c r="AG778" s="239"/>
      <c r="AH778" s="244"/>
      <c r="AI778" s="244"/>
      <c r="AJ778" s="243"/>
      <c r="AK778" s="243"/>
      <c r="AL778" s="239"/>
      <c r="AM778" s="239"/>
      <c r="AN778" s="239"/>
    </row>
    <row r="779" spans="31:40">
      <c r="AE779" s="215"/>
      <c r="AF779" s="239"/>
      <c r="AG779" s="239"/>
      <c r="AH779" s="244"/>
      <c r="AI779" s="244"/>
      <c r="AJ779" s="243"/>
      <c r="AK779" s="243"/>
      <c r="AL779" s="239"/>
      <c r="AM779" s="239"/>
      <c r="AN779" s="239"/>
    </row>
    <row r="780" spans="31:40">
      <c r="AE780" s="215"/>
      <c r="AF780" s="239"/>
      <c r="AG780" s="239"/>
      <c r="AH780" s="244"/>
      <c r="AI780" s="244"/>
      <c r="AJ780" s="243"/>
      <c r="AK780" s="243"/>
      <c r="AL780" s="239"/>
      <c r="AM780" s="239"/>
      <c r="AN780" s="239"/>
    </row>
    <row r="781" spans="31:40">
      <c r="AE781" s="215"/>
      <c r="AF781" s="239"/>
      <c r="AG781" s="239"/>
      <c r="AH781" s="244"/>
      <c r="AI781" s="244"/>
      <c r="AJ781" s="243"/>
      <c r="AK781" s="243"/>
      <c r="AL781" s="239"/>
      <c r="AM781" s="239"/>
      <c r="AN781" s="239"/>
    </row>
    <row r="782" spans="31:40">
      <c r="AE782" s="215"/>
      <c r="AF782" s="239"/>
      <c r="AG782" s="239"/>
      <c r="AH782" s="244"/>
      <c r="AI782" s="244"/>
      <c r="AJ782" s="243"/>
      <c r="AK782" s="243"/>
      <c r="AL782" s="239"/>
      <c r="AM782" s="239"/>
      <c r="AN782" s="239"/>
    </row>
    <row r="783" spans="31:40">
      <c r="AE783" s="215"/>
      <c r="AF783" s="239"/>
      <c r="AG783" s="239"/>
      <c r="AH783" s="244"/>
      <c r="AI783" s="244"/>
      <c r="AJ783" s="243"/>
      <c r="AK783" s="243"/>
      <c r="AL783" s="239"/>
      <c r="AM783" s="239"/>
      <c r="AN783" s="239"/>
    </row>
    <row r="784" spans="31:40">
      <c r="AE784" s="215"/>
      <c r="AF784" s="239"/>
      <c r="AG784" s="239"/>
      <c r="AH784" s="244"/>
      <c r="AI784" s="244"/>
      <c r="AJ784" s="243"/>
      <c r="AK784" s="243"/>
      <c r="AL784" s="239"/>
      <c r="AM784" s="239"/>
      <c r="AN784" s="239"/>
    </row>
    <row r="785" spans="31:40">
      <c r="AE785" s="215"/>
      <c r="AF785" s="239"/>
      <c r="AG785" s="239"/>
      <c r="AH785" s="244"/>
      <c r="AI785" s="244"/>
      <c r="AJ785" s="243"/>
      <c r="AK785" s="243"/>
      <c r="AL785" s="239"/>
      <c r="AM785" s="239"/>
      <c r="AN785" s="239"/>
    </row>
    <row r="786" spans="31:40">
      <c r="AE786" s="215"/>
      <c r="AF786" s="239"/>
      <c r="AG786" s="239"/>
      <c r="AH786" s="244"/>
      <c r="AI786" s="244"/>
      <c r="AJ786" s="243"/>
      <c r="AK786" s="243"/>
      <c r="AL786" s="239"/>
      <c r="AM786" s="239"/>
      <c r="AN786" s="239"/>
    </row>
    <row r="787" spans="31:40">
      <c r="AE787" s="215"/>
      <c r="AF787" s="239"/>
      <c r="AG787" s="239"/>
      <c r="AH787" s="244"/>
      <c r="AI787" s="244"/>
      <c r="AJ787" s="243"/>
      <c r="AK787" s="243"/>
      <c r="AL787" s="239"/>
      <c r="AM787" s="239"/>
      <c r="AN787" s="239"/>
    </row>
    <row r="788" spans="31:40">
      <c r="AE788" s="215"/>
      <c r="AF788" s="239"/>
      <c r="AG788" s="239"/>
      <c r="AH788" s="244"/>
      <c r="AI788" s="244"/>
      <c r="AJ788" s="243"/>
      <c r="AK788" s="243"/>
      <c r="AL788" s="239"/>
      <c r="AM788" s="239"/>
      <c r="AN788" s="239"/>
    </row>
    <row r="789" spans="31:40">
      <c r="AE789" s="215"/>
      <c r="AF789" s="239"/>
      <c r="AG789" s="239"/>
      <c r="AH789" s="244"/>
      <c r="AI789" s="244"/>
      <c r="AJ789" s="243"/>
      <c r="AK789" s="243"/>
      <c r="AL789" s="239"/>
      <c r="AM789" s="239"/>
      <c r="AN789" s="239"/>
    </row>
    <row r="790" spans="31:40">
      <c r="AE790" s="215"/>
      <c r="AF790" s="239"/>
      <c r="AG790" s="239"/>
      <c r="AH790" s="244"/>
      <c r="AI790" s="244"/>
      <c r="AJ790" s="243"/>
      <c r="AK790" s="243"/>
      <c r="AL790" s="239"/>
      <c r="AM790" s="239"/>
      <c r="AN790" s="239"/>
    </row>
    <row r="791" spans="31:40">
      <c r="AE791" s="215"/>
      <c r="AF791" s="239"/>
      <c r="AG791" s="239"/>
      <c r="AH791" s="244"/>
      <c r="AI791" s="244"/>
      <c r="AJ791" s="243"/>
      <c r="AK791" s="243"/>
      <c r="AL791" s="239"/>
      <c r="AM791" s="239"/>
      <c r="AN791" s="239"/>
    </row>
    <row r="792" spans="31:40">
      <c r="AE792" s="215"/>
      <c r="AF792" s="239"/>
      <c r="AG792" s="239"/>
      <c r="AH792" s="244"/>
      <c r="AI792" s="244"/>
      <c r="AJ792" s="243"/>
      <c r="AK792" s="243"/>
      <c r="AL792" s="239"/>
      <c r="AM792" s="239"/>
      <c r="AN792" s="239"/>
    </row>
    <row r="793" spans="31:40">
      <c r="AE793" s="215"/>
      <c r="AF793" s="239"/>
      <c r="AG793" s="239"/>
      <c r="AH793" s="244"/>
      <c r="AI793" s="244"/>
      <c r="AJ793" s="243"/>
      <c r="AK793" s="243"/>
      <c r="AL793" s="239"/>
      <c r="AM793" s="239"/>
      <c r="AN793" s="239"/>
    </row>
    <row r="794" spans="31:40">
      <c r="AE794" s="215"/>
      <c r="AF794" s="239"/>
      <c r="AG794" s="239"/>
      <c r="AH794" s="244"/>
      <c r="AI794" s="244"/>
      <c r="AJ794" s="243"/>
      <c r="AK794" s="243"/>
      <c r="AL794" s="239"/>
      <c r="AM794" s="239"/>
      <c r="AN794" s="239"/>
    </row>
    <row r="795" spans="31:40">
      <c r="AE795" s="215"/>
      <c r="AF795" s="239"/>
      <c r="AG795" s="239"/>
      <c r="AH795" s="244"/>
      <c r="AI795" s="244"/>
      <c r="AJ795" s="243"/>
      <c r="AK795" s="243"/>
      <c r="AL795" s="239"/>
      <c r="AM795" s="239"/>
      <c r="AN795" s="239"/>
    </row>
    <row r="796" spans="31:40">
      <c r="AE796" s="215"/>
      <c r="AF796" s="239"/>
      <c r="AG796" s="239"/>
      <c r="AH796" s="244"/>
      <c r="AI796" s="244"/>
      <c r="AJ796" s="243"/>
      <c r="AK796" s="243"/>
      <c r="AL796" s="239"/>
      <c r="AM796" s="239"/>
      <c r="AN796" s="239"/>
    </row>
    <row r="797" spans="31:40">
      <c r="AE797" s="215"/>
      <c r="AF797" s="239"/>
      <c r="AG797" s="239"/>
      <c r="AH797" s="244"/>
      <c r="AI797" s="244"/>
      <c r="AJ797" s="243"/>
      <c r="AK797" s="243"/>
      <c r="AL797" s="239"/>
      <c r="AM797" s="239"/>
      <c r="AN797" s="239"/>
    </row>
    <row r="798" spans="31:40">
      <c r="AE798" s="215"/>
      <c r="AF798" s="239"/>
      <c r="AG798" s="239"/>
      <c r="AH798" s="244"/>
      <c r="AI798" s="244"/>
      <c r="AJ798" s="243"/>
      <c r="AK798" s="243"/>
      <c r="AL798" s="239"/>
      <c r="AM798" s="239"/>
      <c r="AN798" s="239"/>
    </row>
    <row r="799" spans="31:40">
      <c r="AE799" s="215"/>
      <c r="AF799" s="239"/>
      <c r="AG799" s="239"/>
      <c r="AH799" s="244"/>
      <c r="AI799" s="244"/>
      <c r="AJ799" s="243"/>
      <c r="AK799" s="243"/>
      <c r="AL799" s="239"/>
      <c r="AM799" s="239"/>
      <c r="AN799" s="239"/>
    </row>
    <row r="800" spans="31:40">
      <c r="AE800" s="215"/>
      <c r="AF800" s="239"/>
      <c r="AG800" s="239"/>
      <c r="AH800" s="244"/>
      <c r="AI800" s="244"/>
      <c r="AJ800" s="243"/>
      <c r="AK800" s="243"/>
      <c r="AL800" s="239"/>
      <c r="AM800" s="239"/>
      <c r="AN800" s="239"/>
    </row>
    <row r="801" spans="31:40">
      <c r="AE801" s="215"/>
      <c r="AF801" s="239"/>
      <c r="AG801" s="239"/>
      <c r="AH801" s="244"/>
      <c r="AI801" s="244"/>
      <c r="AJ801" s="243"/>
      <c r="AK801" s="243"/>
      <c r="AL801" s="239"/>
      <c r="AM801" s="239"/>
      <c r="AN801" s="239"/>
    </row>
    <row r="802" spans="31:40">
      <c r="AE802" s="215"/>
      <c r="AF802" s="239"/>
      <c r="AG802" s="239"/>
      <c r="AH802" s="244"/>
      <c r="AI802" s="244"/>
      <c r="AJ802" s="243"/>
      <c r="AK802" s="243"/>
      <c r="AL802" s="239"/>
      <c r="AM802" s="239"/>
      <c r="AN802" s="239"/>
    </row>
    <row r="803" spans="31:40">
      <c r="AE803" s="215"/>
      <c r="AF803" s="239"/>
      <c r="AG803" s="239"/>
      <c r="AH803" s="244"/>
      <c r="AI803" s="244"/>
      <c r="AJ803" s="243"/>
      <c r="AK803" s="243"/>
      <c r="AL803" s="239"/>
      <c r="AM803" s="239"/>
      <c r="AN803" s="239"/>
    </row>
    <row r="804" spans="31:40">
      <c r="AE804" s="215"/>
      <c r="AF804" s="239"/>
      <c r="AG804" s="239"/>
      <c r="AH804" s="244"/>
      <c r="AI804" s="244"/>
      <c r="AJ804" s="243"/>
      <c r="AK804" s="243"/>
      <c r="AL804" s="239"/>
      <c r="AM804" s="239"/>
      <c r="AN804" s="239"/>
    </row>
    <row r="805" spans="31:40">
      <c r="AE805" s="215"/>
      <c r="AF805" s="239"/>
      <c r="AG805" s="239"/>
      <c r="AH805" s="244"/>
      <c r="AI805" s="244"/>
      <c r="AJ805" s="243"/>
      <c r="AK805" s="243"/>
      <c r="AL805" s="239"/>
      <c r="AM805" s="239"/>
      <c r="AN805" s="239"/>
    </row>
    <row r="806" spans="31:40">
      <c r="AE806" s="215"/>
      <c r="AF806" s="239"/>
      <c r="AG806" s="239"/>
      <c r="AH806" s="244"/>
      <c r="AI806" s="244"/>
      <c r="AJ806" s="243"/>
      <c r="AK806" s="243"/>
      <c r="AL806" s="239"/>
      <c r="AM806" s="239"/>
      <c r="AN806" s="239"/>
    </row>
    <row r="807" spans="31:40">
      <c r="AE807" s="215"/>
      <c r="AF807" s="239"/>
      <c r="AG807" s="239"/>
      <c r="AH807" s="244"/>
      <c r="AI807" s="244"/>
      <c r="AJ807" s="243"/>
      <c r="AK807" s="243"/>
      <c r="AL807" s="239"/>
      <c r="AM807" s="239"/>
      <c r="AN807" s="239"/>
    </row>
    <row r="808" spans="31:40">
      <c r="AE808" s="215"/>
      <c r="AF808" s="239"/>
      <c r="AG808" s="239"/>
      <c r="AH808" s="244"/>
      <c r="AI808" s="244"/>
      <c r="AJ808" s="243"/>
      <c r="AK808" s="243"/>
      <c r="AL808" s="239"/>
      <c r="AM808" s="239"/>
      <c r="AN808" s="239"/>
    </row>
    <row r="809" spans="31:40">
      <c r="AE809" s="215"/>
      <c r="AF809" s="239"/>
      <c r="AG809" s="239"/>
      <c r="AH809" s="244"/>
      <c r="AI809" s="244"/>
      <c r="AJ809" s="243"/>
      <c r="AK809" s="243"/>
      <c r="AL809" s="239"/>
      <c r="AM809" s="239"/>
      <c r="AN809" s="239"/>
    </row>
    <row r="810" spans="31:40">
      <c r="AE810" s="215"/>
      <c r="AF810" s="239"/>
      <c r="AG810" s="239"/>
      <c r="AH810" s="244"/>
      <c r="AI810" s="244"/>
      <c r="AJ810" s="243"/>
      <c r="AK810" s="243"/>
      <c r="AL810" s="239"/>
      <c r="AM810" s="239"/>
      <c r="AN810" s="239"/>
    </row>
    <row r="811" spans="31:40">
      <c r="AE811" s="215"/>
      <c r="AF811" s="239"/>
      <c r="AG811" s="239"/>
      <c r="AH811" s="244"/>
      <c r="AI811" s="244"/>
      <c r="AJ811" s="243"/>
      <c r="AK811" s="243"/>
      <c r="AL811" s="239"/>
      <c r="AM811" s="239"/>
      <c r="AN811" s="239"/>
    </row>
    <row r="812" spans="31:40">
      <c r="AE812" s="215"/>
      <c r="AF812" s="239"/>
      <c r="AG812" s="239"/>
      <c r="AH812" s="244"/>
      <c r="AI812" s="244"/>
      <c r="AJ812" s="243"/>
      <c r="AK812" s="243"/>
      <c r="AL812" s="239"/>
      <c r="AM812" s="239"/>
      <c r="AN812" s="239"/>
    </row>
    <row r="813" spans="31:40">
      <c r="AE813" s="215"/>
      <c r="AF813" s="239"/>
      <c r="AG813" s="239"/>
      <c r="AH813" s="244"/>
      <c r="AI813" s="244"/>
      <c r="AJ813" s="243"/>
      <c r="AK813" s="243"/>
      <c r="AL813" s="239"/>
      <c r="AM813" s="239"/>
      <c r="AN813" s="239"/>
    </row>
    <row r="814" spans="31:40">
      <c r="AE814" s="215"/>
      <c r="AF814" s="239"/>
      <c r="AG814" s="239"/>
      <c r="AH814" s="244"/>
      <c r="AI814" s="244"/>
      <c r="AJ814" s="243"/>
      <c r="AK814" s="243"/>
      <c r="AL814" s="239"/>
      <c r="AM814" s="239"/>
      <c r="AN814" s="239"/>
    </row>
    <row r="815" spans="31:40">
      <c r="AE815" s="215"/>
      <c r="AF815" s="239"/>
      <c r="AG815" s="239"/>
      <c r="AH815" s="244"/>
      <c r="AI815" s="244"/>
      <c r="AJ815" s="243"/>
      <c r="AK815" s="243"/>
      <c r="AL815" s="239"/>
      <c r="AM815" s="239"/>
      <c r="AN815" s="239"/>
    </row>
    <row r="816" spans="31:40">
      <c r="AE816" s="215"/>
      <c r="AF816" s="239"/>
      <c r="AG816" s="239"/>
      <c r="AH816" s="244"/>
      <c r="AI816" s="244"/>
      <c r="AJ816" s="243"/>
      <c r="AK816" s="243"/>
      <c r="AL816" s="239"/>
      <c r="AM816" s="239"/>
      <c r="AN816" s="239"/>
    </row>
    <row r="817" spans="31:40">
      <c r="AE817" s="215"/>
      <c r="AF817" s="239"/>
      <c r="AG817" s="239"/>
      <c r="AH817" s="244"/>
      <c r="AI817" s="244"/>
      <c r="AJ817" s="243"/>
      <c r="AK817" s="243"/>
      <c r="AL817" s="239"/>
      <c r="AM817" s="239"/>
      <c r="AN817" s="239"/>
    </row>
    <row r="818" spans="31:40">
      <c r="AE818" s="215"/>
      <c r="AF818" s="239"/>
      <c r="AG818" s="239"/>
      <c r="AH818" s="244"/>
      <c r="AI818" s="244"/>
      <c r="AJ818" s="243"/>
      <c r="AK818" s="243"/>
      <c r="AL818" s="239"/>
      <c r="AM818" s="239"/>
      <c r="AN818" s="239"/>
    </row>
    <row r="819" spans="31:40">
      <c r="AE819" s="215"/>
      <c r="AF819" s="239"/>
      <c r="AG819" s="239"/>
      <c r="AH819" s="244"/>
      <c r="AI819" s="244"/>
      <c r="AJ819" s="243"/>
      <c r="AK819" s="243"/>
      <c r="AL819" s="239"/>
      <c r="AM819" s="239"/>
      <c r="AN819" s="239"/>
    </row>
    <row r="820" spans="31:40">
      <c r="AE820" s="215"/>
      <c r="AF820" s="239"/>
      <c r="AG820" s="239"/>
      <c r="AH820" s="244"/>
      <c r="AI820" s="244"/>
      <c r="AJ820" s="243"/>
      <c r="AK820" s="243"/>
      <c r="AL820" s="239"/>
      <c r="AM820" s="239"/>
      <c r="AN820" s="239"/>
    </row>
    <row r="821" spans="31:40">
      <c r="AE821" s="215"/>
      <c r="AF821" s="239"/>
      <c r="AG821" s="239"/>
      <c r="AH821" s="244"/>
      <c r="AI821" s="244"/>
      <c r="AJ821" s="243"/>
      <c r="AK821" s="243"/>
      <c r="AL821" s="239"/>
      <c r="AM821" s="239"/>
      <c r="AN821" s="239"/>
    </row>
    <row r="822" spans="31:40">
      <c r="AE822" s="215"/>
      <c r="AF822" s="239"/>
      <c r="AG822" s="239"/>
      <c r="AH822" s="244"/>
      <c r="AI822" s="244"/>
      <c r="AJ822" s="243"/>
      <c r="AK822" s="243"/>
      <c r="AL822" s="239"/>
      <c r="AM822" s="239"/>
      <c r="AN822" s="239"/>
    </row>
    <row r="823" spans="31:40">
      <c r="AE823" s="215"/>
      <c r="AF823" s="239"/>
      <c r="AG823" s="239"/>
      <c r="AH823" s="244"/>
      <c r="AI823" s="244"/>
      <c r="AJ823" s="243"/>
      <c r="AK823" s="243"/>
      <c r="AL823" s="239"/>
      <c r="AM823" s="239"/>
      <c r="AN823" s="239"/>
    </row>
    <row r="824" spans="31:40">
      <c r="AE824" s="215"/>
      <c r="AF824" s="239"/>
      <c r="AG824" s="239"/>
      <c r="AH824" s="244"/>
      <c r="AI824" s="244"/>
      <c r="AJ824" s="243"/>
      <c r="AK824" s="243"/>
      <c r="AL824" s="239"/>
      <c r="AM824" s="239"/>
      <c r="AN824" s="239"/>
    </row>
    <row r="825" spans="31:40">
      <c r="AE825" s="215"/>
      <c r="AF825" s="239"/>
      <c r="AG825" s="239"/>
      <c r="AH825" s="244"/>
      <c r="AI825" s="244"/>
      <c r="AJ825" s="243"/>
      <c r="AK825" s="243"/>
      <c r="AL825" s="239"/>
      <c r="AM825" s="239"/>
      <c r="AN825" s="239"/>
    </row>
    <row r="826" spans="31:40">
      <c r="AE826" s="215"/>
      <c r="AF826" s="239"/>
      <c r="AG826" s="239"/>
      <c r="AH826" s="244"/>
      <c r="AI826" s="244"/>
      <c r="AJ826" s="243"/>
      <c r="AK826" s="243"/>
      <c r="AL826" s="239"/>
      <c r="AM826" s="239"/>
      <c r="AN826" s="239"/>
    </row>
    <row r="827" spans="31:40">
      <c r="AE827" s="215"/>
      <c r="AF827" s="239"/>
      <c r="AG827" s="239"/>
      <c r="AH827" s="244"/>
      <c r="AI827" s="244"/>
      <c r="AJ827" s="243"/>
      <c r="AK827" s="243"/>
      <c r="AL827" s="239"/>
      <c r="AM827" s="239"/>
      <c r="AN827" s="239"/>
    </row>
    <row r="828" spans="31:40">
      <c r="AE828" s="215"/>
      <c r="AF828" s="239"/>
      <c r="AG828" s="239"/>
      <c r="AH828" s="244"/>
      <c r="AI828" s="244"/>
      <c r="AJ828" s="243"/>
      <c r="AK828" s="243"/>
      <c r="AL828" s="239"/>
      <c r="AM828" s="239"/>
      <c r="AN828" s="239"/>
    </row>
    <row r="829" spans="31:40">
      <c r="AE829" s="215"/>
      <c r="AF829" s="239"/>
      <c r="AG829" s="239"/>
      <c r="AH829" s="244"/>
      <c r="AI829" s="244"/>
      <c r="AJ829" s="243"/>
      <c r="AK829" s="243"/>
      <c r="AL829" s="239"/>
      <c r="AM829" s="239"/>
      <c r="AN829" s="239"/>
    </row>
    <row r="830" spans="31:40">
      <c r="AE830" s="215"/>
      <c r="AF830" s="239"/>
      <c r="AG830" s="239"/>
      <c r="AH830" s="244"/>
      <c r="AI830" s="244"/>
      <c r="AJ830" s="243"/>
      <c r="AK830" s="243"/>
      <c r="AL830" s="239"/>
      <c r="AM830" s="239"/>
      <c r="AN830" s="239"/>
    </row>
    <row r="831" spans="31:40">
      <c r="AE831" s="215"/>
      <c r="AF831" s="239"/>
      <c r="AG831" s="239"/>
      <c r="AH831" s="244"/>
      <c r="AI831" s="244"/>
      <c r="AJ831" s="243"/>
      <c r="AK831" s="243"/>
      <c r="AL831" s="239"/>
      <c r="AM831" s="239"/>
      <c r="AN831" s="239"/>
    </row>
    <row r="832" spans="31:40">
      <c r="AE832" s="215"/>
      <c r="AF832" s="239"/>
      <c r="AG832" s="239"/>
      <c r="AH832" s="244"/>
      <c r="AI832" s="244"/>
      <c r="AJ832" s="243"/>
      <c r="AK832" s="243"/>
      <c r="AL832" s="239"/>
      <c r="AM832" s="239"/>
      <c r="AN832" s="239"/>
    </row>
    <row r="833" spans="31:40">
      <c r="AE833" s="215"/>
      <c r="AF833" s="239"/>
      <c r="AG833" s="239"/>
      <c r="AH833" s="244"/>
      <c r="AI833" s="244"/>
      <c r="AJ833" s="243"/>
      <c r="AK833" s="243"/>
      <c r="AL833" s="239"/>
      <c r="AM833" s="239"/>
      <c r="AN833" s="239"/>
    </row>
    <row r="834" spans="31:40">
      <c r="AE834" s="215"/>
      <c r="AF834" s="239"/>
      <c r="AG834" s="239"/>
      <c r="AH834" s="244"/>
      <c r="AI834" s="244"/>
      <c r="AJ834" s="243"/>
      <c r="AK834" s="243"/>
      <c r="AL834" s="239"/>
      <c r="AM834" s="239"/>
      <c r="AN834" s="239"/>
    </row>
    <row r="835" spans="31:40">
      <c r="AE835" s="215"/>
      <c r="AF835" s="239"/>
      <c r="AG835" s="239"/>
      <c r="AH835" s="244"/>
      <c r="AI835" s="244"/>
      <c r="AJ835" s="243"/>
      <c r="AK835" s="243"/>
      <c r="AL835" s="239"/>
      <c r="AM835" s="239"/>
      <c r="AN835" s="239"/>
    </row>
    <row r="836" spans="31:40">
      <c r="AE836" s="215"/>
      <c r="AF836" s="239"/>
      <c r="AG836" s="239"/>
      <c r="AH836" s="244"/>
      <c r="AI836" s="244"/>
      <c r="AJ836" s="243"/>
      <c r="AK836" s="243"/>
      <c r="AL836" s="239"/>
      <c r="AM836" s="239"/>
      <c r="AN836" s="239"/>
    </row>
    <row r="837" spans="31:40">
      <c r="AE837" s="215"/>
      <c r="AF837" s="239"/>
      <c r="AG837" s="239"/>
      <c r="AH837" s="244"/>
      <c r="AI837" s="244"/>
      <c r="AJ837" s="243"/>
      <c r="AK837" s="243"/>
      <c r="AL837" s="239"/>
      <c r="AM837" s="239"/>
      <c r="AN837" s="239"/>
    </row>
    <row r="838" spans="31:40">
      <c r="AE838" s="215"/>
      <c r="AF838" s="239"/>
      <c r="AG838" s="239"/>
      <c r="AH838" s="244"/>
      <c r="AI838" s="244"/>
      <c r="AJ838" s="243"/>
      <c r="AK838" s="243"/>
      <c r="AL838" s="239"/>
      <c r="AM838" s="239"/>
      <c r="AN838" s="239"/>
    </row>
    <row r="839" spans="31:40">
      <c r="AE839" s="215"/>
      <c r="AF839" s="239"/>
      <c r="AG839" s="239"/>
      <c r="AH839" s="244"/>
      <c r="AI839" s="244"/>
      <c r="AJ839" s="243"/>
      <c r="AK839" s="243"/>
      <c r="AL839" s="239"/>
      <c r="AM839" s="239"/>
      <c r="AN839" s="239"/>
    </row>
    <row r="840" spans="31:40">
      <c r="AE840" s="215"/>
      <c r="AF840" s="239"/>
      <c r="AG840" s="239"/>
      <c r="AH840" s="244"/>
      <c r="AI840" s="244"/>
      <c r="AJ840" s="243"/>
      <c r="AK840" s="243"/>
      <c r="AL840" s="239"/>
      <c r="AM840" s="239"/>
      <c r="AN840" s="239"/>
    </row>
    <row r="841" spans="31:40">
      <c r="AE841" s="215"/>
      <c r="AF841" s="239"/>
      <c r="AG841" s="239"/>
      <c r="AH841" s="244"/>
      <c r="AI841" s="244"/>
      <c r="AJ841" s="243"/>
      <c r="AK841" s="243"/>
      <c r="AL841" s="239"/>
      <c r="AM841" s="239"/>
      <c r="AN841" s="239"/>
    </row>
    <row r="842" spans="31:40">
      <c r="AE842" s="215"/>
      <c r="AF842" s="239"/>
      <c r="AG842" s="239"/>
      <c r="AH842" s="244"/>
      <c r="AI842" s="244"/>
      <c r="AJ842" s="243"/>
      <c r="AK842" s="243"/>
      <c r="AL842" s="239"/>
      <c r="AM842" s="239"/>
      <c r="AN842" s="239"/>
    </row>
    <row r="843" spans="31:40">
      <c r="AE843" s="215"/>
      <c r="AF843" s="239"/>
      <c r="AG843" s="239"/>
      <c r="AH843" s="244"/>
      <c r="AI843" s="244"/>
      <c r="AJ843" s="243"/>
      <c r="AK843" s="243"/>
      <c r="AL843" s="239"/>
      <c r="AM843" s="239"/>
      <c r="AN843" s="239"/>
    </row>
    <row r="844" spans="31:40">
      <c r="AE844" s="215"/>
      <c r="AF844" s="239"/>
      <c r="AG844" s="239"/>
      <c r="AH844" s="244"/>
      <c r="AI844" s="244"/>
      <c r="AJ844" s="243"/>
      <c r="AK844" s="243"/>
      <c r="AL844" s="239"/>
      <c r="AM844" s="239"/>
      <c r="AN844" s="239"/>
    </row>
    <row r="845" spans="31:40">
      <c r="AE845" s="215"/>
      <c r="AF845" s="239"/>
      <c r="AG845" s="239"/>
      <c r="AH845" s="244"/>
      <c r="AI845" s="244"/>
      <c r="AJ845" s="243"/>
      <c r="AK845" s="243"/>
      <c r="AL845" s="239"/>
      <c r="AM845" s="239"/>
      <c r="AN845" s="239"/>
    </row>
    <row r="846" spans="31:40">
      <c r="AE846" s="215"/>
      <c r="AF846" s="239"/>
      <c r="AG846" s="239"/>
      <c r="AH846" s="244"/>
      <c r="AI846" s="244"/>
      <c r="AJ846" s="243"/>
      <c r="AK846" s="243"/>
      <c r="AL846" s="239"/>
      <c r="AM846" s="239"/>
      <c r="AN846" s="239"/>
    </row>
    <row r="847" spans="31:40">
      <c r="AE847" s="215"/>
      <c r="AF847" s="239"/>
      <c r="AG847" s="239"/>
      <c r="AH847" s="244"/>
      <c r="AI847" s="244"/>
      <c r="AJ847" s="243"/>
      <c r="AK847" s="243"/>
      <c r="AL847" s="239"/>
      <c r="AM847" s="239"/>
      <c r="AN847" s="239"/>
    </row>
    <row r="848" spans="31:40">
      <c r="AE848" s="215"/>
      <c r="AF848" s="239"/>
      <c r="AG848" s="239"/>
      <c r="AH848" s="244"/>
      <c r="AI848" s="244"/>
      <c r="AJ848" s="243"/>
      <c r="AK848" s="243"/>
      <c r="AL848" s="239"/>
      <c r="AM848" s="239"/>
      <c r="AN848" s="239"/>
    </row>
    <row r="849" spans="31:40">
      <c r="AE849" s="215"/>
      <c r="AF849" s="239"/>
      <c r="AG849" s="239"/>
      <c r="AH849" s="244"/>
      <c r="AI849" s="244"/>
      <c r="AJ849" s="243"/>
      <c r="AK849" s="243"/>
      <c r="AL849" s="239"/>
      <c r="AM849" s="239"/>
      <c r="AN849" s="239"/>
    </row>
    <row r="850" spans="31:40">
      <c r="AE850" s="215"/>
      <c r="AF850" s="239"/>
      <c r="AG850" s="239"/>
      <c r="AH850" s="244"/>
      <c r="AI850" s="244"/>
      <c r="AJ850" s="243"/>
      <c r="AK850" s="243"/>
      <c r="AL850" s="239"/>
      <c r="AM850" s="239"/>
      <c r="AN850" s="239"/>
    </row>
    <row r="851" spans="31:40">
      <c r="AE851" s="215"/>
      <c r="AF851" s="239"/>
      <c r="AG851" s="239"/>
      <c r="AH851" s="244"/>
      <c r="AI851" s="244"/>
      <c r="AJ851" s="243"/>
      <c r="AK851" s="243"/>
      <c r="AL851" s="239"/>
      <c r="AM851" s="239"/>
      <c r="AN851" s="239"/>
    </row>
    <row r="852" spans="31:40">
      <c r="AE852" s="215"/>
      <c r="AF852" s="239"/>
      <c r="AG852" s="239"/>
      <c r="AH852" s="244"/>
      <c r="AI852" s="244"/>
      <c r="AJ852" s="243"/>
      <c r="AK852" s="243"/>
      <c r="AL852" s="239"/>
      <c r="AM852" s="239"/>
      <c r="AN852" s="239"/>
    </row>
    <row r="853" spans="31:40">
      <c r="AE853" s="215"/>
      <c r="AF853" s="239"/>
      <c r="AG853" s="239"/>
      <c r="AH853" s="244"/>
      <c r="AI853" s="244"/>
      <c r="AJ853" s="243"/>
      <c r="AK853" s="243"/>
      <c r="AL853" s="239"/>
      <c r="AM853" s="239"/>
      <c r="AN853" s="239"/>
    </row>
    <row r="854" spans="31:40">
      <c r="AE854" s="215"/>
      <c r="AF854" s="239"/>
      <c r="AG854" s="239"/>
      <c r="AH854" s="244"/>
      <c r="AI854" s="244"/>
      <c r="AJ854" s="243"/>
      <c r="AK854" s="243"/>
      <c r="AL854" s="239"/>
      <c r="AM854" s="239"/>
      <c r="AN854" s="239"/>
    </row>
    <row r="855" spans="31:40">
      <c r="AE855" s="215"/>
      <c r="AF855" s="239"/>
      <c r="AG855" s="239"/>
      <c r="AH855" s="244"/>
      <c r="AI855" s="244"/>
      <c r="AJ855" s="243"/>
      <c r="AK855" s="243"/>
      <c r="AL855" s="239"/>
      <c r="AM855" s="239"/>
      <c r="AN855" s="239"/>
    </row>
    <row r="856" spans="31:40">
      <c r="AE856" s="215"/>
      <c r="AF856" s="239"/>
      <c r="AG856" s="239"/>
      <c r="AH856" s="244"/>
      <c r="AI856" s="244"/>
      <c r="AJ856" s="243"/>
      <c r="AK856" s="243"/>
      <c r="AL856" s="239"/>
      <c r="AM856" s="239"/>
      <c r="AN856" s="239"/>
    </row>
    <row r="857" spans="31:40">
      <c r="AE857" s="215"/>
      <c r="AF857" s="239"/>
      <c r="AG857" s="239"/>
      <c r="AH857" s="244"/>
      <c r="AI857" s="244"/>
      <c r="AJ857" s="243"/>
      <c r="AK857" s="243"/>
      <c r="AL857" s="239"/>
      <c r="AM857" s="239"/>
      <c r="AN857" s="239"/>
    </row>
    <row r="858" spans="31:40">
      <c r="AE858" s="215"/>
      <c r="AF858" s="239"/>
      <c r="AG858" s="239"/>
      <c r="AH858" s="244"/>
      <c r="AI858" s="244"/>
      <c r="AJ858" s="243"/>
      <c r="AK858" s="243"/>
      <c r="AL858" s="239"/>
      <c r="AM858" s="239"/>
      <c r="AN858" s="239"/>
    </row>
    <row r="859" spans="31:40">
      <c r="AE859" s="215"/>
      <c r="AF859" s="239"/>
      <c r="AG859" s="239"/>
      <c r="AH859" s="244"/>
      <c r="AI859" s="244"/>
      <c r="AJ859" s="243"/>
      <c r="AK859" s="243"/>
      <c r="AL859" s="239"/>
      <c r="AM859" s="239"/>
      <c r="AN859" s="239"/>
    </row>
    <row r="860" spans="31:40">
      <c r="AE860" s="215"/>
      <c r="AF860" s="239"/>
      <c r="AG860" s="239"/>
      <c r="AH860" s="244"/>
      <c r="AI860" s="244"/>
      <c r="AJ860" s="243"/>
      <c r="AK860" s="243"/>
      <c r="AL860" s="239"/>
      <c r="AM860" s="239"/>
      <c r="AN860" s="239"/>
    </row>
    <row r="861" spans="31:40">
      <c r="AE861" s="215"/>
      <c r="AF861" s="239"/>
      <c r="AG861" s="239"/>
      <c r="AH861" s="244"/>
      <c r="AI861" s="244"/>
      <c r="AJ861" s="243"/>
      <c r="AK861" s="243"/>
      <c r="AL861" s="239"/>
      <c r="AM861" s="239"/>
      <c r="AN861" s="239"/>
    </row>
    <row r="862" spans="31:40">
      <c r="AE862" s="215"/>
      <c r="AF862" s="239"/>
      <c r="AG862" s="239"/>
      <c r="AH862" s="244"/>
      <c r="AI862" s="244"/>
      <c r="AJ862" s="243"/>
      <c r="AK862" s="243"/>
      <c r="AL862" s="239"/>
      <c r="AM862" s="239"/>
      <c r="AN862" s="239"/>
    </row>
    <row r="863" spans="31:40">
      <c r="AE863" s="215"/>
      <c r="AF863" s="239"/>
      <c r="AG863" s="239"/>
      <c r="AH863" s="244"/>
      <c r="AI863" s="244"/>
      <c r="AJ863" s="243"/>
      <c r="AK863" s="243"/>
      <c r="AL863" s="239"/>
      <c r="AM863" s="239"/>
      <c r="AN863" s="239"/>
    </row>
    <row r="864" spans="31:40">
      <c r="AE864" s="215"/>
      <c r="AF864" s="239"/>
      <c r="AG864" s="239"/>
      <c r="AH864" s="244"/>
      <c r="AI864" s="244"/>
      <c r="AJ864" s="243"/>
      <c r="AK864" s="243"/>
      <c r="AL864" s="239"/>
      <c r="AM864" s="239"/>
      <c r="AN864" s="239"/>
    </row>
    <row r="865" spans="31:40">
      <c r="AE865" s="215"/>
      <c r="AF865" s="239"/>
      <c r="AG865" s="239"/>
      <c r="AH865" s="244"/>
      <c r="AI865" s="244"/>
      <c r="AJ865" s="243"/>
      <c r="AK865" s="243"/>
      <c r="AL865" s="239"/>
      <c r="AM865" s="239"/>
      <c r="AN865" s="239"/>
    </row>
    <row r="866" spans="31:40">
      <c r="AE866" s="215"/>
      <c r="AF866" s="239"/>
      <c r="AG866" s="239"/>
      <c r="AH866" s="244"/>
      <c r="AI866" s="244"/>
      <c r="AJ866" s="243"/>
      <c r="AK866" s="243"/>
      <c r="AL866" s="239"/>
      <c r="AM866" s="239"/>
      <c r="AN866" s="239"/>
    </row>
    <row r="867" spans="31:40">
      <c r="AE867" s="215"/>
      <c r="AF867" s="239"/>
      <c r="AG867" s="239"/>
      <c r="AH867" s="244"/>
      <c r="AI867" s="244"/>
      <c r="AJ867" s="243"/>
      <c r="AK867" s="243"/>
      <c r="AL867" s="239"/>
      <c r="AM867" s="239"/>
      <c r="AN867" s="239"/>
    </row>
    <row r="868" spans="31:40">
      <c r="AE868" s="215"/>
      <c r="AF868" s="239"/>
      <c r="AG868" s="239"/>
      <c r="AH868" s="244"/>
      <c r="AI868" s="244"/>
      <c r="AJ868" s="243"/>
      <c r="AK868" s="243"/>
      <c r="AL868" s="239"/>
      <c r="AM868" s="239"/>
      <c r="AN868" s="239"/>
    </row>
    <row r="869" spans="31:40">
      <c r="AE869" s="215"/>
      <c r="AF869" s="239"/>
      <c r="AG869" s="239"/>
      <c r="AH869" s="244"/>
      <c r="AI869" s="244"/>
      <c r="AJ869" s="243"/>
      <c r="AK869" s="243"/>
      <c r="AL869" s="239"/>
      <c r="AM869" s="239"/>
      <c r="AN869" s="239"/>
    </row>
    <row r="870" spans="31:40">
      <c r="AE870" s="215"/>
      <c r="AF870" s="239"/>
      <c r="AG870" s="239"/>
      <c r="AH870" s="244"/>
      <c r="AI870" s="244"/>
      <c r="AJ870" s="243"/>
      <c r="AK870" s="243"/>
      <c r="AL870" s="239"/>
      <c r="AM870" s="239"/>
      <c r="AN870" s="239"/>
    </row>
    <row r="871" spans="31:40">
      <c r="AE871" s="215"/>
      <c r="AF871" s="239"/>
      <c r="AG871" s="239"/>
      <c r="AH871" s="244"/>
      <c r="AI871" s="244"/>
      <c r="AJ871" s="243"/>
      <c r="AK871" s="243"/>
      <c r="AL871" s="239"/>
      <c r="AM871" s="239"/>
      <c r="AN871" s="239"/>
    </row>
    <row r="872" spans="31:40">
      <c r="AE872" s="215"/>
      <c r="AF872" s="239"/>
      <c r="AG872" s="239"/>
      <c r="AH872" s="244"/>
      <c r="AI872" s="244"/>
      <c r="AJ872" s="243"/>
      <c r="AK872" s="243"/>
      <c r="AL872" s="239"/>
      <c r="AM872" s="239"/>
      <c r="AN872" s="239"/>
    </row>
    <row r="873" spans="31:40">
      <c r="AE873" s="215"/>
      <c r="AF873" s="239"/>
      <c r="AG873" s="239"/>
      <c r="AH873" s="244"/>
      <c r="AI873" s="244"/>
      <c r="AJ873" s="243"/>
      <c r="AK873" s="243"/>
      <c r="AL873" s="239"/>
      <c r="AM873" s="239"/>
      <c r="AN873" s="239"/>
    </row>
    <row r="874" spans="31:40">
      <c r="AE874" s="215"/>
      <c r="AF874" s="239"/>
      <c r="AG874" s="239"/>
      <c r="AH874" s="244"/>
      <c r="AI874" s="244"/>
      <c r="AJ874" s="243"/>
      <c r="AK874" s="243"/>
      <c r="AL874" s="239"/>
      <c r="AM874" s="239"/>
      <c r="AN874" s="239"/>
    </row>
    <row r="875" spans="31:40">
      <c r="AE875" s="215"/>
      <c r="AF875" s="239"/>
      <c r="AG875" s="239"/>
      <c r="AH875" s="244"/>
      <c r="AI875" s="244"/>
      <c r="AJ875" s="243"/>
      <c r="AK875" s="243"/>
      <c r="AL875" s="239"/>
      <c r="AM875" s="239"/>
      <c r="AN875" s="239"/>
    </row>
    <row r="876" spans="31:40">
      <c r="AE876" s="215"/>
      <c r="AF876" s="239"/>
      <c r="AG876" s="239"/>
      <c r="AH876" s="244"/>
      <c r="AI876" s="244"/>
      <c r="AJ876" s="243"/>
      <c r="AK876" s="243"/>
      <c r="AL876" s="239"/>
      <c r="AM876" s="239"/>
      <c r="AN876" s="239"/>
    </row>
    <row r="877" spans="31:40">
      <c r="AE877" s="215"/>
      <c r="AF877" s="239"/>
      <c r="AG877" s="239"/>
      <c r="AH877" s="244"/>
      <c r="AI877" s="244"/>
      <c r="AJ877" s="243"/>
      <c r="AK877" s="243"/>
      <c r="AL877" s="239"/>
      <c r="AM877" s="239"/>
      <c r="AN877" s="239"/>
    </row>
    <row r="878" spans="31:40">
      <c r="AE878" s="215"/>
      <c r="AF878" s="239"/>
      <c r="AG878" s="239"/>
      <c r="AH878" s="244"/>
      <c r="AI878" s="244"/>
      <c r="AJ878" s="243"/>
      <c r="AK878" s="243"/>
      <c r="AL878" s="239"/>
      <c r="AM878" s="239"/>
      <c r="AN878" s="239"/>
    </row>
    <row r="879" spans="31:40">
      <c r="AE879" s="215"/>
      <c r="AF879" s="239"/>
      <c r="AG879" s="239"/>
      <c r="AH879" s="244"/>
      <c r="AI879" s="244"/>
      <c r="AJ879" s="243"/>
      <c r="AK879" s="243"/>
      <c r="AL879" s="239"/>
      <c r="AM879" s="239"/>
      <c r="AN879" s="239"/>
    </row>
    <row r="880" spans="31:40">
      <c r="AE880" s="215"/>
      <c r="AF880" s="239"/>
      <c r="AG880" s="239"/>
      <c r="AH880" s="244"/>
      <c r="AI880" s="244"/>
      <c r="AJ880" s="243"/>
      <c r="AK880" s="243"/>
      <c r="AL880" s="239"/>
      <c r="AM880" s="239"/>
      <c r="AN880" s="239"/>
    </row>
    <row r="881" spans="31:40">
      <c r="AE881" s="215"/>
      <c r="AF881" s="239"/>
      <c r="AG881" s="239"/>
      <c r="AH881" s="244"/>
      <c r="AI881" s="244"/>
      <c r="AJ881" s="243"/>
      <c r="AK881" s="243"/>
      <c r="AL881" s="239"/>
      <c r="AM881" s="239"/>
      <c r="AN881" s="239"/>
    </row>
    <row r="882" spans="31:40">
      <c r="AE882" s="215"/>
      <c r="AF882" s="239"/>
      <c r="AG882" s="239"/>
      <c r="AH882" s="244"/>
      <c r="AI882" s="244"/>
      <c r="AJ882" s="243"/>
      <c r="AK882" s="243"/>
      <c r="AL882" s="239"/>
      <c r="AM882" s="239"/>
      <c r="AN882" s="239"/>
    </row>
    <row r="883" spans="31:40">
      <c r="AE883" s="215"/>
      <c r="AF883" s="239"/>
      <c r="AG883" s="239"/>
      <c r="AH883" s="244"/>
      <c r="AI883" s="244"/>
      <c r="AJ883" s="243"/>
      <c r="AK883" s="243"/>
      <c r="AL883" s="239"/>
      <c r="AM883" s="239"/>
      <c r="AN883" s="239"/>
    </row>
    <row r="884" spans="31:40">
      <c r="AE884" s="215"/>
      <c r="AF884" s="239"/>
      <c r="AG884" s="239"/>
      <c r="AH884" s="244"/>
      <c r="AI884" s="244"/>
      <c r="AJ884" s="243"/>
      <c r="AK884" s="243"/>
      <c r="AL884" s="239"/>
      <c r="AM884" s="239"/>
      <c r="AN884" s="239"/>
    </row>
    <row r="885" spans="31:40">
      <c r="AE885" s="215"/>
      <c r="AF885" s="239"/>
      <c r="AG885" s="239"/>
      <c r="AH885" s="244"/>
      <c r="AI885" s="244"/>
      <c r="AJ885" s="243"/>
      <c r="AK885" s="243"/>
      <c r="AL885" s="239"/>
      <c r="AM885" s="239"/>
      <c r="AN885" s="239"/>
    </row>
    <row r="886" spans="31:40">
      <c r="AE886" s="215"/>
      <c r="AF886" s="239"/>
      <c r="AG886" s="239"/>
      <c r="AH886" s="244"/>
      <c r="AI886" s="244"/>
      <c r="AJ886" s="243"/>
      <c r="AK886" s="243"/>
      <c r="AL886" s="239"/>
      <c r="AM886" s="239"/>
      <c r="AN886" s="239"/>
    </row>
    <row r="887" spans="31:40">
      <c r="AE887" s="215"/>
      <c r="AF887" s="239"/>
      <c r="AG887" s="239"/>
      <c r="AH887" s="244"/>
      <c r="AI887" s="244"/>
      <c r="AJ887" s="243"/>
      <c r="AK887" s="243"/>
      <c r="AL887" s="239"/>
      <c r="AM887" s="239"/>
      <c r="AN887" s="239"/>
    </row>
    <row r="888" spans="31:40">
      <c r="AE888" s="215"/>
      <c r="AF888" s="239"/>
      <c r="AG888" s="239"/>
      <c r="AH888" s="244"/>
      <c r="AI888" s="244"/>
      <c r="AJ888" s="243"/>
      <c r="AK888" s="243"/>
      <c r="AL888" s="239"/>
      <c r="AM888" s="239"/>
      <c r="AN888" s="239"/>
    </row>
    <row r="889" spans="31:40">
      <c r="AE889" s="215"/>
      <c r="AF889" s="239"/>
      <c r="AG889" s="239"/>
      <c r="AH889" s="244"/>
      <c r="AI889" s="244"/>
      <c r="AJ889" s="243"/>
      <c r="AK889" s="243"/>
      <c r="AL889" s="239"/>
      <c r="AM889" s="239"/>
      <c r="AN889" s="239"/>
    </row>
    <row r="890" spans="31:40">
      <c r="AE890" s="215"/>
      <c r="AF890" s="239"/>
      <c r="AG890" s="239"/>
      <c r="AH890" s="244"/>
      <c r="AI890" s="244"/>
      <c r="AJ890" s="243"/>
      <c r="AK890" s="243"/>
      <c r="AL890" s="239"/>
      <c r="AM890" s="239"/>
      <c r="AN890" s="239"/>
    </row>
    <row r="891" spans="31:40">
      <c r="AE891" s="215"/>
      <c r="AF891" s="239"/>
      <c r="AG891" s="239"/>
      <c r="AH891" s="244"/>
      <c r="AI891" s="244"/>
      <c r="AJ891" s="243"/>
      <c r="AK891" s="243"/>
      <c r="AL891" s="239"/>
      <c r="AM891" s="239"/>
      <c r="AN891" s="239"/>
    </row>
    <row r="892" spans="31:40">
      <c r="AE892" s="215"/>
      <c r="AF892" s="239"/>
      <c r="AG892" s="239"/>
      <c r="AH892" s="244"/>
      <c r="AI892" s="244"/>
      <c r="AJ892" s="243"/>
      <c r="AK892" s="243"/>
      <c r="AL892" s="239"/>
      <c r="AM892" s="239"/>
      <c r="AN892" s="239"/>
    </row>
    <row r="893" spans="31:40">
      <c r="AE893" s="215"/>
      <c r="AF893" s="239"/>
      <c r="AG893" s="239"/>
      <c r="AH893" s="244"/>
      <c r="AI893" s="244"/>
      <c r="AJ893" s="243"/>
      <c r="AK893" s="243"/>
      <c r="AL893" s="239"/>
      <c r="AM893" s="239"/>
      <c r="AN893" s="239"/>
    </row>
    <row r="894" spans="31:40">
      <c r="AE894" s="215"/>
      <c r="AF894" s="239"/>
      <c r="AG894" s="239"/>
      <c r="AH894" s="244"/>
      <c r="AI894" s="244"/>
      <c r="AJ894" s="243"/>
      <c r="AK894" s="243"/>
      <c r="AL894" s="239"/>
      <c r="AM894" s="239"/>
      <c r="AN894" s="239"/>
    </row>
    <row r="895" spans="31:40">
      <c r="AE895" s="215"/>
      <c r="AF895" s="239"/>
      <c r="AG895" s="239"/>
      <c r="AH895" s="244"/>
      <c r="AI895" s="244"/>
      <c r="AJ895" s="243"/>
      <c r="AK895" s="243"/>
      <c r="AL895" s="239"/>
      <c r="AM895" s="239"/>
      <c r="AN895" s="239"/>
    </row>
    <row r="896" spans="31:40">
      <c r="AE896" s="215"/>
      <c r="AF896" s="239"/>
      <c r="AG896" s="239"/>
      <c r="AH896" s="244"/>
      <c r="AI896" s="244"/>
      <c r="AJ896" s="243"/>
      <c r="AK896" s="243"/>
      <c r="AL896" s="239"/>
      <c r="AM896" s="239"/>
      <c r="AN896" s="239"/>
    </row>
    <row r="897" spans="31:40">
      <c r="AE897" s="215"/>
      <c r="AF897" s="239"/>
      <c r="AG897" s="239"/>
      <c r="AH897" s="244"/>
      <c r="AI897" s="244"/>
      <c r="AJ897" s="243"/>
      <c r="AK897" s="243"/>
      <c r="AL897" s="239"/>
      <c r="AM897" s="239"/>
      <c r="AN897" s="239"/>
    </row>
    <row r="898" spans="31:40">
      <c r="AE898" s="215"/>
      <c r="AF898" s="239"/>
      <c r="AG898" s="239"/>
      <c r="AH898" s="244"/>
      <c r="AI898" s="244"/>
      <c r="AJ898" s="243"/>
      <c r="AK898" s="243"/>
      <c r="AL898" s="239"/>
      <c r="AM898" s="239"/>
      <c r="AN898" s="239"/>
    </row>
    <row r="899" spans="31:40">
      <c r="AE899" s="215"/>
      <c r="AF899" s="239"/>
      <c r="AG899" s="239"/>
      <c r="AH899" s="244"/>
      <c r="AI899" s="244"/>
      <c r="AJ899" s="243"/>
      <c r="AK899" s="243"/>
      <c r="AL899" s="239"/>
      <c r="AM899" s="239"/>
      <c r="AN899" s="239"/>
    </row>
    <row r="900" spans="31:40">
      <c r="AE900" s="215"/>
      <c r="AF900" s="239"/>
      <c r="AG900" s="239"/>
      <c r="AH900" s="244"/>
      <c r="AI900" s="244"/>
      <c r="AJ900" s="243"/>
      <c r="AK900" s="243"/>
      <c r="AL900" s="239"/>
      <c r="AM900" s="239"/>
      <c r="AN900" s="239"/>
    </row>
    <row r="901" spans="31:40">
      <c r="AE901" s="215"/>
      <c r="AF901" s="239"/>
      <c r="AG901" s="239"/>
      <c r="AH901" s="244"/>
      <c r="AI901" s="244"/>
      <c r="AJ901" s="243"/>
      <c r="AK901" s="243"/>
      <c r="AL901" s="239"/>
      <c r="AM901" s="239"/>
      <c r="AN901" s="239"/>
    </row>
    <row r="902" spans="31:40">
      <c r="AE902" s="215"/>
      <c r="AF902" s="239"/>
      <c r="AG902" s="239"/>
      <c r="AH902" s="244"/>
      <c r="AI902" s="244"/>
      <c r="AJ902" s="243"/>
      <c r="AK902" s="243"/>
      <c r="AL902" s="239"/>
      <c r="AM902" s="239"/>
      <c r="AN902" s="239"/>
    </row>
    <row r="903" spans="31:40">
      <c r="AE903" s="215"/>
      <c r="AF903" s="239"/>
      <c r="AG903" s="239"/>
      <c r="AH903" s="244"/>
      <c r="AI903" s="244"/>
      <c r="AJ903" s="243"/>
      <c r="AK903" s="243"/>
      <c r="AL903" s="239"/>
      <c r="AM903" s="239"/>
      <c r="AN903" s="239"/>
    </row>
    <row r="904" spans="31:40">
      <c r="AE904" s="215"/>
      <c r="AF904" s="239"/>
      <c r="AG904" s="239"/>
      <c r="AH904" s="244"/>
      <c r="AI904" s="244"/>
      <c r="AJ904" s="243"/>
      <c r="AK904" s="243"/>
      <c r="AL904" s="239"/>
      <c r="AM904" s="239"/>
      <c r="AN904" s="239"/>
    </row>
    <row r="905" spans="31:40">
      <c r="AE905" s="215"/>
      <c r="AF905" s="239"/>
      <c r="AG905" s="239"/>
      <c r="AH905" s="244"/>
      <c r="AI905" s="244"/>
      <c r="AJ905" s="243"/>
      <c r="AK905" s="243"/>
      <c r="AL905" s="239"/>
      <c r="AM905" s="239"/>
      <c r="AN905" s="239"/>
    </row>
    <row r="906" spans="31:40">
      <c r="AE906" s="215"/>
      <c r="AF906" s="239"/>
      <c r="AG906" s="239"/>
      <c r="AH906" s="244"/>
      <c r="AI906" s="244"/>
      <c r="AJ906" s="243"/>
      <c r="AK906" s="243"/>
      <c r="AL906" s="239"/>
      <c r="AM906" s="239"/>
      <c r="AN906" s="239"/>
    </row>
    <row r="907" spans="31:40">
      <c r="AE907" s="215"/>
      <c r="AF907" s="239"/>
      <c r="AG907" s="239"/>
      <c r="AH907" s="244"/>
      <c r="AI907" s="244"/>
      <c r="AJ907" s="243"/>
      <c r="AK907" s="243"/>
      <c r="AL907" s="239"/>
      <c r="AM907" s="239"/>
      <c r="AN907" s="239"/>
    </row>
    <row r="908" spans="31:40">
      <c r="AE908" s="215"/>
      <c r="AF908" s="239"/>
      <c r="AG908" s="239"/>
      <c r="AH908" s="244"/>
      <c r="AI908" s="244"/>
      <c r="AJ908" s="243"/>
      <c r="AK908" s="243"/>
      <c r="AL908" s="239"/>
      <c r="AM908" s="239"/>
      <c r="AN908" s="239"/>
    </row>
    <row r="909" spans="31:40">
      <c r="AE909" s="215"/>
      <c r="AF909" s="239"/>
      <c r="AG909" s="239"/>
      <c r="AH909" s="244"/>
      <c r="AI909" s="244"/>
      <c r="AJ909" s="243"/>
      <c r="AK909" s="243"/>
      <c r="AL909" s="239"/>
      <c r="AM909" s="239"/>
      <c r="AN909" s="239"/>
    </row>
    <row r="910" spans="31:40">
      <c r="AE910" s="215"/>
      <c r="AF910" s="239"/>
      <c r="AG910" s="239"/>
      <c r="AH910" s="244"/>
      <c r="AI910" s="244"/>
      <c r="AJ910" s="243"/>
      <c r="AK910" s="243"/>
      <c r="AL910" s="239"/>
      <c r="AM910" s="239"/>
      <c r="AN910" s="239"/>
    </row>
    <row r="911" spans="31:40">
      <c r="AE911" s="215"/>
      <c r="AF911" s="239"/>
      <c r="AG911" s="239"/>
      <c r="AH911" s="244"/>
      <c r="AI911" s="244"/>
      <c r="AJ911" s="243"/>
      <c r="AK911" s="243"/>
      <c r="AL911" s="239"/>
      <c r="AM911" s="239"/>
      <c r="AN911" s="239"/>
    </row>
    <row r="912" spans="31:40">
      <c r="AE912" s="215"/>
      <c r="AF912" s="239"/>
      <c r="AG912" s="239"/>
      <c r="AH912" s="244"/>
      <c r="AI912" s="244"/>
      <c r="AJ912" s="243"/>
      <c r="AK912" s="243"/>
      <c r="AL912" s="239"/>
      <c r="AM912" s="239"/>
      <c r="AN912" s="239"/>
    </row>
    <row r="913" spans="31:40">
      <c r="AE913" s="215"/>
      <c r="AF913" s="239"/>
      <c r="AG913" s="239"/>
      <c r="AH913" s="244"/>
      <c r="AI913" s="244"/>
      <c r="AJ913" s="243"/>
      <c r="AK913" s="243"/>
      <c r="AL913" s="239"/>
      <c r="AM913" s="239"/>
      <c r="AN913" s="239"/>
    </row>
    <row r="914" spans="31:40">
      <c r="AE914" s="215"/>
      <c r="AF914" s="239"/>
      <c r="AG914" s="239"/>
      <c r="AH914" s="244"/>
      <c r="AI914" s="244"/>
      <c r="AJ914" s="243"/>
      <c r="AK914" s="243"/>
      <c r="AL914" s="239"/>
      <c r="AM914" s="239"/>
      <c r="AN914" s="239"/>
    </row>
    <row r="915" spans="31:40">
      <c r="AE915" s="215"/>
      <c r="AF915" s="239"/>
      <c r="AG915" s="239"/>
      <c r="AH915" s="244"/>
      <c r="AI915" s="244"/>
      <c r="AJ915" s="243"/>
      <c r="AK915" s="243"/>
      <c r="AL915" s="239"/>
      <c r="AM915" s="239"/>
      <c r="AN915" s="239"/>
    </row>
    <row r="916" spans="31:40">
      <c r="AE916" s="215"/>
      <c r="AF916" s="239"/>
      <c r="AG916" s="239"/>
      <c r="AH916" s="244"/>
      <c r="AI916" s="244"/>
      <c r="AJ916" s="243"/>
      <c r="AK916" s="243"/>
      <c r="AL916" s="239"/>
      <c r="AM916" s="239"/>
      <c r="AN916" s="239"/>
    </row>
    <row r="917" spans="31:40">
      <c r="AE917" s="215"/>
      <c r="AF917" s="239"/>
      <c r="AG917" s="239"/>
      <c r="AH917" s="244"/>
      <c r="AI917" s="244"/>
      <c r="AJ917" s="243"/>
      <c r="AK917" s="243"/>
      <c r="AL917" s="239"/>
      <c r="AM917" s="239"/>
      <c r="AN917" s="239"/>
    </row>
    <row r="918" spans="31:40">
      <c r="AE918" s="215"/>
      <c r="AF918" s="239"/>
      <c r="AG918" s="239"/>
      <c r="AH918" s="244"/>
      <c r="AI918" s="244"/>
      <c r="AJ918" s="243"/>
      <c r="AK918" s="243"/>
      <c r="AL918" s="239"/>
      <c r="AM918" s="239"/>
      <c r="AN918" s="239"/>
    </row>
    <row r="919" spans="31:40">
      <c r="AE919" s="215"/>
      <c r="AF919" s="239"/>
      <c r="AG919" s="239"/>
      <c r="AH919" s="244"/>
      <c r="AI919" s="244"/>
      <c r="AJ919" s="243"/>
      <c r="AK919" s="243"/>
      <c r="AL919" s="239"/>
      <c r="AM919" s="239"/>
      <c r="AN919" s="239"/>
    </row>
    <row r="920" spans="31:40">
      <c r="AE920" s="215"/>
      <c r="AF920" s="239"/>
      <c r="AG920" s="239"/>
      <c r="AH920" s="244"/>
      <c r="AI920" s="244"/>
      <c r="AJ920" s="243"/>
      <c r="AK920" s="243"/>
      <c r="AL920" s="239"/>
      <c r="AM920" s="239"/>
      <c r="AN920" s="239"/>
    </row>
    <row r="921" spans="31:40">
      <c r="AE921" s="215"/>
      <c r="AF921" s="239"/>
      <c r="AG921" s="239"/>
      <c r="AH921" s="244"/>
      <c r="AI921" s="244"/>
      <c r="AJ921" s="243"/>
      <c r="AK921" s="243"/>
      <c r="AL921" s="239"/>
      <c r="AM921" s="239"/>
      <c r="AN921" s="239"/>
    </row>
    <row r="922" spans="31:40">
      <c r="AE922" s="215"/>
      <c r="AF922" s="239"/>
      <c r="AG922" s="239"/>
      <c r="AH922" s="244"/>
      <c r="AI922" s="244"/>
      <c r="AJ922" s="243"/>
      <c r="AK922" s="243"/>
      <c r="AL922" s="239"/>
      <c r="AM922" s="239"/>
      <c r="AN922" s="239"/>
    </row>
    <row r="923" spans="31:40">
      <c r="AE923" s="215"/>
      <c r="AF923" s="239"/>
      <c r="AG923" s="239"/>
      <c r="AH923" s="244"/>
      <c r="AI923" s="244"/>
      <c r="AJ923" s="243"/>
      <c r="AK923" s="243"/>
      <c r="AL923" s="239"/>
      <c r="AM923" s="239"/>
      <c r="AN923" s="239"/>
    </row>
    <row r="924" spans="31:40">
      <c r="AE924" s="215"/>
      <c r="AF924" s="239"/>
      <c r="AG924" s="239"/>
      <c r="AH924" s="244"/>
      <c r="AI924" s="244"/>
      <c r="AJ924" s="243"/>
      <c r="AK924" s="243"/>
      <c r="AL924" s="239"/>
      <c r="AM924" s="239"/>
      <c r="AN924" s="239"/>
    </row>
    <row r="925" spans="31:40">
      <c r="AE925" s="215"/>
      <c r="AF925" s="239"/>
      <c r="AG925" s="239"/>
      <c r="AH925" s="244"/>
      <c r="AI925" s="244"/>
      <c r="AJ925" s="243"/>
      <c r="AK925" s="243"/>
      <c r="AL925" s="239"/>
      <c r="AM925" s="239"/>
      <c r="AN925" s="239"/>
    </row>
    <row r="926" spans="31:40">
      <c r="AE926" s="215"/>
      <c r="AF926" s="239"/>
      <c r="AG926" s="239"/>
      <c r="AH926" s="244"/>
      <c r="AI926" s="244"/>
      <c r="AJ926" s="243"/>
      <c r="AK926" s="243"/>
      <c r="AL926" s="239"/>
      <c r="AM926" s="239"/>
      <c r="AN926" s="239"/>
    </row>
    <row r="927" spans="31:40">
      <c r="AE927" s="215"/>
      <c r="AF927" s="239"/>
      <c r="AG927" s="239"/>
      <c r="AH927" s="244"/>
      <c r="AI927" s="244"/>
      <c r="AJ927" s="243"/>
      <c r="AK927" s="243"/>
      <c r="AL927" s="239"/>
      <c r="AM927" s="239"/>
      <c r="AN927" s="239"/>
    </row>
    <row r="928" spans="31:40">
      <c r="AE928" s="215"/>
      <c r="AF928" s="239"/>
      <c r="AG928" s="239"/>
      <c r="AH928" s="244"/>
      <c r="AI928" s="244"/>
      <c r="AJ928" s="243"/>
      <c r="AK928" s="243"/>
      <c r="AL928" s="239"/>
      <c r="AM928" s="239"/>
      <c r="AN928" s="239"/>
    </row>
    <row r="929" spans="31:40">
      <c r="AE929" s="215"/>
      <c r="AF929" s="239"/>
      <c r="AG929" s="239"/>
      <c r="AH929" s="244"/>
      <c r="AI929" s="244"/>
      <c r="AJ929" s="243"/>
      <c r="AK929" s="243"/>
      <c r="AL929" s="239"/>
      <c r="AM929" s="239"/>
      <c r="AN929" s="239"/>
    </row>
    <row r="930" spans="31:40">
      <c r="AE930" s="215"/>
      <c r="AF930" s="239"/>
      <c r="AG930" s="239"/>
      <c r="AH930" s="244"/>
      <c r="AI930" s="244"/>
      <c r="AJ930" s="243"/>
      <c r="AK930" s="243"/>
      <c r="AL930" s="239"/>
      <c r="AM930" s="239"/>
      <c r="AN930" s="239"/>
    </row>
    <row r="931" spans="31:40">
      <c r="AE931" s="215"/>
      <c r="AF931" s="239"/>
      <c r="AG931" s="239"/>
      <c r="AH931" s="244"/>
      <c r="AI931" s="244"/>
      <c r="AJ931" s="243"/>
      <c r="AK931" s="243"/>
      <c r="AL931" s="239"/>
      <c r="AM931" s="239"/>
      <c r="AN931" s="239"/>
    </row>
    <row r="932" spans="31:40">
      <c r="AE932" s="215"/>
      <c r="AF932" s="239"/>
      <c r="AG932" s="239"/>
      <c r="AH932" s="244"/>
      <c r="AI932" s="244"/>
      <c r="AJ932" s="243"/>
      <c r="AK932" s="243"/>
      <c r="AL932" s="239"/>
      <c r="AM932" s="239"/>
      <c r="AN932" s="239"/>
    </row>
    <row r="933" spans="31:40">
      <c r="AE933" s="215"/>
      <c r="AF933" s="239"/>
      <c r="AG933" s="239"/>
      <c r="AH933" s="244"/>
      <c r="AI933" s="244"/>
      <c r="AJ933" s="243"/>
      <c r="AK933" s="243"/>
      <c r="AL933" s="239"/>
      <c r="AM933" s="239"/>
      <c r="AN933" s="239"/>
    </row>
    <row r="934" spans="31:40">
      <c r="AE934" s="215"/>
      <c r="AF934" s="239"/>
      <c r="AG934" s="239"/>
      <c r="AH934" s="244"/>
      <c r="AI934" s="244"/>
      <c r="AJ934" s="243"/>
      <c r="AK934" s="243"/>
      <c r="AL934" s="239"/>
      <c r="AM934" s="239"/>
      <c r="AN934" s="239"/>
    </row>
    <row r="935" spans="31:40">
      <c r="AE935" s="215"/>
      <c r="AF935" s="239"/>
      <c r="AG935" s="239"/>
      <c r="AH935" s="244"/>
      <c r="AI935" s="244"/>
      <c r="AJ935" s="243"/>
      <c r="AK935" s="243"/>
      <c r="AL935" s="239"/>
      <c r="AM935" s="239"/>
      <c r="AN935" s="239"/>
    </row>
    <row r="936" spans="31:40">
      <c r="AE936" s="215"/>
      <c r="AF936" s="239"/>
      <c r="AG936" s="239"/>
      <c r="AH936" s="244"/>
      <c r="AI936" s="244"/>
      <c r="AJ936" s="243"/>
      <c r="AK936" s="243"/>
      <c r="AL936" s="239"/>
      <c r="AM936" s="239"/>
      <c r="AN936" s="239"/>
    </row>
    <row r="937" spans="31:40">
      <c r="AE937" s="215"/>
      <c r="AF937" s="239"/>
      <c r="AG937" s="239"/>
      <c r="AH937" s="244"/>
      <c r="AI937" s="244"/>
      <c r="AJ937" s="243"/>
      <c r="AK937" s="243"/>
      <c r="AL937" s="239"/>
      <c r="AM937" s="239"/>
      <c r="AN937" s="239"/>
    </row>
    <row r="938" spans="31:40">
      <c r="AE938" s="215"/>
      <c r="AF938" s="239"/>
      <c r="AG938" s="239"/>
      <c r="AH938" s="244"/>
      <c r="AI938" s="244"/>
      <c r="AJ938" s="243"/>
      <c r="AK938" s="243"/>
      <c r="AL938" s="239"/>
      <c r="AM938" s="239"/>
      <c r="AN938" s="239"/>
    </row>
    <row r="939" spans="31:40">
      <c r="AE939" s="215"/>
      <c r="AF939" s="239"/>
      <c r="AG939" s="239"/>
      <c r="AH939" s="244"/>
      <c r="AI939" s="244"/>
      <c r="AJ939" s="243"/>
      <c r="AK939" s="243"/>
      <c r="AL939" s="239"/>
      <c r="AM939" s="239"/>
      <c r="AN939" s="239"/>
    </row>
    <row r="940" spans="31:40">
      <c r="AE940" s="215"/>
      <c r="AF940" s="239"/>
      <c r="AG940" s="239"/>
      <c r="AH940" s="244"/>
      <c r="AI940" s="244"/>
      <c r="AJ940" s="243"/>
      <c r="AK940" s="243"/>
      <c r="AL940" s="239"/>
      <c r="AM940" s="239"/>
      <c r="AN940" s="239"/>
    </row>
    <row r="941" spans="31:40">
      <c r="AE941" s="215"/>
      <c r="AF941" s="239"/>
      <c r="AG941" s="239"/>
      <c r="AH941" s="244"/>
      <c r="AI941" s="244"/>
      <c r="AJ941" s="243"/>
      <c r="AK941" s="243"/>
      <c r="AL941" s="239"/>
      <c r="AM941" s="239"/>
      <c r="AN941" s="239"/>
    </row>
    <row r="942" spans="31:40">
      <c r="AE942" s="215"/>
      <c r="AF942" s="239"/>
      <c r="AG942" s="239"/>
      <c r="AH942" s="244"/>
      <c r="AI942" s="244"/>
      <c r="AJ942" s="243"/>
      <c r="AK942" s="243"/>
      <c r="AL942" s="239"/>
      <c r="AM942" s="239"/>
      <c r="AN942" s="239"/>
    </row>
    <row r="943" spans="31:40">
      <c r="AE943" s="215"/>
      <c r="AF943" s="239"/>
      <c r="AG943" s="239"/>
      <c r="AH943" s="244"/>
      <c r="AI943" s="244"/>
      <c r="AJ943" s="243"/>
      <c r="AK943" s="243"/>
      <c r="AL943" s="239"/>
      <c r="AM943" s="239"/>
      <c r="AN943" s="239"/>
    </row>
    <row r="944" spans="31:40">
      <c r="AE944" s="215"/>
      <c r="AF944" s="239"/>
      <c r="AG944" s="239"/>
      <c r="AH944" s="244"/>
      <c r="AI944" s="244"/>
      <c r="AJ944" s="243"/>
      <c r="AK944" s="243"/>
      <c r="AL944" s="239"/>
      <c r="AM944" s="239"/>
      <c r="AN944" s="239"/>
    </row>
    <row r="945" spans="31:40">
      <c r="AE945" s="215"/>
      <c r="AF945" s="239"/>
      <c r="AG945" s="239"/>
      <c r="AH945" s="244"/>
      <c r="AI945" s="244"/>
      <c r="AJ945" s="243"/>
      <c r="AK945" s="243"/>
      <c r="AL945" s="239"/>
      <c r="AM945" s="239"/>
      <c r="AN945" s="239"/>
    </row>
    <row r="946" spans="31:40">
      <c r="AE946" s="215"/>
      <c r="AF946" s="239"/>
      <c r="AG946" s="239"/>
      <c r="AH946" s="244"/>
      <c r="AI946" s="244"/>
      <c r="AJ946" s="243"/>
      <c r="AK946" s="243"/>
      <c r="AL946" s="239"/>
      <c r="AM946" s="239"/>
      <c r="AN946" s="239"/>
    </row>
    <row r="947" spans="31:40">
      <c r="AE947" s="215"/>
      <c r="AF947" s="239"/>
      <c r="AG947" s="239"/>
      <c r="AH947" s="244"/>
      <c r="AI947" s="244"/>
      <c r="AJ947" s="243"/>
      <c r="AK947" s="243"/>
      <c r="AL947" s="239"/>
      <c r="AM947" s="239"/>
      <c r="AN947" s="239"/>
    </row>
    <row r="948" spans="31:40">
      <c r="AE948" s="215"/>
      <c r="AF948" s="239"/>
      <c r="AG948" s="239"/>
      <c r="AH948" s="244"/>
      <c r="AI948" s="244"/>
      <c r="AJ948" s="243"/>
      <c r="AK948" s="243"/>
      <c r="AL948" s="239"/>
      <c r="AM948" s="239"/>
      <c r="AN948" s="239"/>
    </row>
    <row r="949" spans="31:40">
      <c r="AE949" s="215"/>
      <c r="AF949" s="239"/>
      <c r="AG949" s="239"/>
      <c r="AH949" s="244"/>
      <c r="AI949" s="244"/>
      <c r="AJ949" s="243"/>
      <c r="AK949" s="243"/>
      <c r="AL949" s="239"/>
      <c r="AM949" s="239"/>
      <c r="AN949" s="239"/>
    </row>
    <row r="950" spans="31:40">
      <c r="AE950" s="215"/>
      <c r="AF950" s="239"/>
      <c r="AG950" s="239"/>
      <c r="AH950" s="244"/>
      <c r="AI950" s="244"/>
      <c r="AJ950" s="243"/>
      <c r="AK950" s="243"/>
      <c r="AL950" s="239"/>
      <c r="AM950" s="239"/>
      <c r="AN950" s="239"/>
    </row>
    <row r="951" spans="31:40">
      <c r="AE951" s="215"/>
      <c r="AF951" s="239"/>
      <c r="AG951" s="239"/>
      <c r="AH951" s="244"/>
      <c r="AI951" s="244"/>
      <c r="AJ951" s="243"/>
      <c r="AK951" s="243"/>
      <c r="AL951" s="239"/>
      <c r="AM951" s="239"/>
      <c r="AN951" s="239"/>
    </row>
    <row r="952" spans="31:40">
      <c r="AE952" s="215"/>
      <c r="AF952" s="239"/>
      <c r="AG952" s="239"/>
      <c r="AH952" s="244"/>
      <c r="AI952" s="244"/>
      <c r="AJ952" s="243"/>
      <c r="AK952" s="243"/>
      <c r="AL952" s="239"/>
      <c r="AM952" s="239"/>
      <c r="AN952" s="239"/>
    </row>
    <row r="953" spans="31:40">
      <c r="AE953" s="215"/>
      <c r="AF953" s="239"/>
      <c r="AG953" s="239"/>
      <c r="AH953" s="244"/>
      <c r="AI953" s="244"/>
      <c r="AJ953" s="243"/>
      <c r="AK953" s="243"/>
      <c r="AL953" s="239"/>
      <c r="AM953" s="239"/>
      <c r="AN953" s="239"/>
    </row>
    <row r="954" spans="31:40">
      <c r="AE954" s="215"/>
      <c r="AF954" s="239"/>
      <c r="AG954" s="239"/>
      <c r="AH954" s="244"/>
      <c r="AI954" s="244"/>
      <c r="AJ954" s="243"/>
      <c r="AK954" s="243"/>
      <c r="AL954" s="239"/>
      <c r="AM954" s="239"/>
      <c r="AN954" s="239"/>
    </row>
    <row r="955" spans="31:40">
      <c r="AE955" s="215"/>
      <c r="AF955" s="239"/>
      <c r="AG955" s="239"/>
      <c r="AH955" s="244"/>
      <c r="AI955" s="244"/>
      <c r="AJ955" s="243"/>
      <c r="AK955" s="243"/>
      <c r="AL955" s="239"/>
      <c r="AM955" s="239"/>
      <c r="AN955" s="239"/>
    </row>
    <row r="956" spans="31:40">
      <c r="AE956" s="215"/>
      <c r="AF956" s="239"/>
      <c r="AG956" s="239"/>
      <c r="AH956" s="244"/>
      <c r="AI956" s="244"/>
      <c r="AJ956" s="243"/>
      <c r="AK956" s="243"/>
      <c r="AL956" s="239"/>
      <c r="AM956" s="239"/>
      <c r="AN956" s="239"/>
    </row>
    <row r="957" spans="31:40">
      <c r="AE957" s="215"/>
      <c r="AF957" s="239"/>
      <c r="AG957" s="239"/>
      <c r="AH957" s="244"/>
      <c r="AI957" s="244"/>
      <c r="AJ957" s="243"/>
      <c r="AK957" s="243"/>
      <c r="AL957" s="239"/>
      <c r="AM957" s="239"/>
      <c r="AN957" s="239"/>
    </row>
    <row r="958" spans="31:40">
      <c r="AE958" s="215"/>
      <c r="AF958" s="239"/>
      <c r="AG958" s="239"/>
      <c r="AH958" s="244"/>
      <c r="AI958" s="244"/>
      <c r="AJ958" s="243"/>
      <c r="AK958" s="243"/>
      <c r="AL958" s="239"/>
      <c r="AM958" s="239"/>
      <c r="AN958" s="239"/>
    </row>
    <row r="959" spans="31:40">
      <c r="AE959" s="215"/>
      <c r="AF959" s="239"/>
      <c r="AG959" s="239"/>
      <c r="AH959" s="244"/>
      <c r="AI959" s="244"/>
      <c r="AJ959" s="243"/>
      <c r="AK959" s="243"/>
      <c r="AL959" s="239"/>
      <c r="AM959" s="239"/>
      <c r="AN959" s="239"/>
    </row>
    <row r="960" spans="31:40">
      <c r="AE960" s="215"/>
      <c r="AF960" s="239"/>
      <c r="AG960" s="239"/>
      <c r="AH960" s="244"/>
      <c r="AI960" s="244"/>
      <c r="AJ960" s="243"/>
      <c r="AK960" s="243"/>
      <c r="AL960" s="239"/>
      <c r="AM960" s="239"/>
      <c r="AN960" s="239"/>
    </row>
    <row r="961" spans="31:40">
      <c r="AE961" s="215"/>
      <c r="AF961" s="239"/>
      <c r="AG961" s="239"/>
      <c r="AH961" s="244"/>
      <c r="AI961" s="244"/>
      <c r="AJ961" s="243"/>
      <c r="AK961" s="243"/>
      <c r="AL961" s="239"/>
      <c r="AM961" s="239"/>
      <c r="AN961" s="239"/>
    </row>
    <row r="962" spans="31:40">
      <c r="AE962" s="215"/>
      <c r="AF962" s="239"/>
      <c r="AG962" s="239"/>
      <c r="AH962" s="244"/>
      <c r="AI962" s="244"/>
      <c r="AJ962" s="243"/>
      <c r="AK962" s="243"/>
      <c r="AL962" s="239"/>
      <c r="AM962" s="239"/>
      <c r="AN962" s="239"/>
    </row>
    <row r="963" spans="31:40">
      <c r="AE963" s="215"/>
      <c r="AF963" s="239"/>
      <c r="AG963" s="239"/>
      <c r="AH963" s="244"/>
      <c r="AI963" s="244"/>
      <c r="AJ963" s="243"/>
      <c r="AK963" s="243"/>
      <c r="AL963" s="239"/>
      <c r="AM963" s="239"/>
      <c r="AN963" s="239"/>
    </row>
    <row r="964" spans="31:40">
      <c r="AE964" s="215"/>
      <c r="AF964" s="239"/>
      <c r="AG964" s="239"/>
      <c r="AH964" s="244"/>
      <c r="AI964" s="244"/>
      <c r="AJ964" s="243"/>
      <c r="AK964" s="243"/>
      <c r="AL964" s="239"/>
      <c r="AM964" s="239"/>
      <c r="AN964" s="239"/>
    </row>
    <row r="965" spans="31:40">
      <c r="AE965" s="215"/>
      <c r="AF965" s="239"/>
      <c r="AG965" s="239"/>
      <c r="AH965" s="244"/>
      <c r="AI965" s="244"/>
      <c r="AJ965" s="243"/>
      <c r="AK965" s="243"/>
      <c r="AL965" s="239"/>
      <c r="AM965" s="239"/>
      <c r="AN965" s="239"/>
    </row>
    <row r="966" spans="31:40">
      <c r="AE966" s="215"/>
      <c r="AF966" s="239"/>
      <c r="AG966" s="239"/>
      <c r="AH966" s="244"/>
      <c r="AI966" s="244"/>
      <c r="AJ966" s="243"/>
      <c r="AK966" s="243"/>
      <c r="AL966" s="239"/>
      <c r="AM966" s="239"/>
      <c r="AN966" s="239"/>
    </row>
    <row r="967" spans="31:40">
      <c r="AE967" s="215"/>
      <c r="AF967" s="239"/>
      <c r="AG967" s="239"/>
      <c r="AH967" s="244"/>
      <c r="AI967" s="244"/>
      <c r="AJ967" s="243"/>
      <c r="AK967" s="243"/>
      <c r="AL967" s="239"/>
      <c r="AM967" s="239"/>
      <c r="AN967" s="239"/>
    </row>
    <row r="968" spans="31:40">
      <c r="AE968" s="215"/>
      <c r="AF968" s="239"/>
      <c r="AG968" s="239"/>
      <c r="AH968" s="244"/>
      <c r="AI968" s="244"/>
      <c r="AJ968" s="243"/>
      <c r="AK968" s="243"/>
      <c r="AL968" s="239"/>
      <c r="AM968" s="239"/>
      <c r="AN968" s="239"/>
    </row>
    <row r="969" spans="31:40">
      <c r="AE969" s="215"/>
      <c r="AF969" s="239"/>
      <c r="AG969" s="239"/>
      <c r="AH969" s="244"/>
      <c r="AI969" s="244"/>
      <c r="AJ969" s="243"/>
      <c r="AK969" s="243"/>
      <c r="AL969" s="239"/>
      <c r="AM969" s="239"/>
      <c r="AN969" s="239"/>
    </row>
    <row r="970" spans="31:40">
      <c r="AE970" s="215"/>
      <c r="AF970" s="239"/>
      <c r="AG970" s="239"/>
      <c r="AH970" s="244"/>
      <c r="AI970" s="244"/>
      <c r="AJ970" s="243"/>
      <c r="AK970" s="243"/>
      <c r="AL970" s="239"/>
      <c r="AM970" s="239"/>
      <c r="AN970" s="239"/>
    </row>
    <row r="971" spans="31:40">
      <c r="AE971" s="215"/>
      <c r="AF971" s="239"/>
      <c r="AG971" s="239"/>
      <c r="AH971" s="244"/>
      <c r="AI971" s="244"/>
      <c r="AJ971" s="243"/>
      <c r="AK971" s="243"/>
      <c r="AL971" s="239"/>
      <c r="AM971" s="239"/>
      <c r="AN971" s="239"/>
    </row>
    <row r="972" spans="31:40">
      <c r="AE972" s="215"/>
      <c r="AF972" s="239"/>
      <c r="AG972" s="239"/>
      <c r="AH972" s="244"/>
      <c r="AI972" s="244"/>
      <c r="AJ972" s="243"/>
      <c r="AK972" s="243"/>
      <c r="AL972" s="239"/>
      <c r="AM972" s="239"/>
      <c r="AN972" s="239"/>
    </row>
    <row r="973" spans="31:40">
      <c r="AE973" s="215"/>
      <c r="AF973" s="239"/>
      <c r="AG973" s="239"/>
      <c r="AH973" s="244"/>
      <c r="AI973" s="244"/>
      <c r="AJ973" s="243"/>
      <c r="AK973" s="243"/>
      <c r="AL973" s="239"/>
      <c r="AM973" s="239"/>
      <c r="AN973" s="239"/>
    </row>
    <row r="974" spans="31:40">
      <c r="AE974" s="215"/>
      <c r="AF974" s="239"/>
      <c r="AG974" s="239"/>
      <c r="AH974" s="244"/>
      <c r="AI974" s="244"/>
      <c r="AJ974" s="243"/>
      <c r="AK974" s="243"/>
      <c r="AL974" s="239"/>
      <c r="AM974" s="239"/>
      <c r="AN974" s="239"/>
    </row>
    <row r="975" spans="31:40">
      <c r="AE975" s="215"/>
      <c r="AF975" s="239"/>
      <c r="AG975" s="239"/>
      <c r="AH975" s="244"/>
      <c r="AI975" s="244"/>
      <c r="AJ975" s="243"/>
      <c r="AK975" s="243"/>
      <c r="AL975" s="239"/>
      <c r="AM975" s="239"/>
      <c r="AN975" s="239"/>
    </row>
    <row r="976" spans="31:40">
      <c r="AE976" s="215"/>
      <c r="AF976" s="239"/>
      <c r="AG976" s="239"/>
      <c r="AH976" s="244"/>
      <c r="AI976" s="244"/>
      <c r="AJ976" s="243"/>
      <c r="AK976" s="243"/>
      <c r="AL976" s="239"/>
      <c r="AM976" s="239"/>
      <c r="AN976" s="239"/>
    </row>
    <row r="977" spans="31:40">
      <c r="AE977" s="215"/>
      <c r="AF977" s="239"/>
      <c r="AG977" s="239"/>
      <c r="AH977" s="244"/>
      <c r="AI977" s="244"/>
      <c r="AJ977" s="243"/>
      <c r="AK977" s="243"/>
      <c r="AL977" s="239"/>
      <c r="AM977" s="239"/>
      <c r="AN977" s="239"/>
    </row>
    <row r="978" spans="31:40">
      <c r="AE978" s="215"/>
      <c r="AF978" s="239"/>
      <c r="AG978" s="239"/>
      <c r="AH978" s="244"/>
      <c r="AI978" s="244"/>
      <c r="AJ978" s="243"/>
      <c r="AK978" s="243"/>
      <c r="AL978" s="239"/>
      <c r="AM978" s="239"/>
      <c r="AN978" s="239"/>
    </row>
    <row r="979" spans="31:40">
      <c r="AE979" s="215"/>
      <c r="AF979" s="239"/>
      <c r="AG979" s="239"/>
      <c r="AH979" s="244"/>
      <c r="AI979" s="244"/>
      <c r="AJ979" s="243"/>
      <c r="AK979" s="243"/>
      <c r="AL979" s="239"/>
      <c r="AM979" s="239"/>
      <c r="AN979" s="239"/>
    </row>
    <row r="980" spans="31:40">
      <c r="AE980" s="215"/>
      <c r="AF980" s="239"/>
      <c r="AG980" s="239"/>
      <c r="AH980" s="244"/>
      <c r="AI980" s="244"/>
      <c r="AJ980" s="243"/>
      <c r="AK980" s="243"/>
      <c r="AL980" s="239"/>
      <c r="AM980" s="239"/>
      <c r="AN980" s="239"/>
    </row>
    <row r="981" spans="31:40">
      <c r="AE981" s="215"/>
      <c r="AF981" s="239"/>
      <c r="AG981" s="239"/>
      <c r="AH981" s="244"/>
      <c r="AI981" s="244"/>
      <c r="AJ981" s="243"/>
      <c r="AK981" s="243"/>
      <c r="AL981" s="239"/>
      <c r="AM981" s="239"/>
      <c r="AN981" s="239"/>
    </row>
    <row r="982" spans="31:40">
      <c r="AE982" s="215"/>
      <c r="AF982" s="239"/>
      <c r="AG982" s="239"/>
      <c r="AH982" s="244"/>
      <c r="AI982" s="244"/>
      <c r="AJ982" s="243"/>
      <c r="AK982" s="243"/>
      <c r="AL982" s="239"/>
      <c r="AM982" s="239"/>
      <c r="AN982" s="239"/>
    </row>
    <row r="983" spans="31:40">
      <c r="AE983" s="215"/>
      <c r="AF983" s="239"/>
      <c r="AG983" s="239"/>
      <c r="AH983" s="244"/>
      <c r="AI983" s="244"/>
      <c r="AJ983" s="243"/>
      <c r="AK983" s="243"/>
      <c r="AL983" s="239"/>
      <c r="AM983" s="239"/>
      <c r="AN983" s="239"/>
    </row>
    <row r="984" spans="31:40">
      <c r="AE984" s="215"/>
      <c r="AF984" s="239"/>
      <c r="AG984" s="239"/>
      <c r="AH984" s="244"/>
      <c r="AI984" s="244"/>
      <c r="AJ984" s="243"/>
      <c r="AK984" s="243"/>
      <c r="AL984" s="239"/>
      <c r="AM984" s="239"/>
      <c r="AN984" s="239"/>
    </row>
    <row r="985" spans="31:40">
      <c r="AE985" s="215"/>
      <c r="AF985" s="239"/>
      <c r="AG985" s="239"/>
      <c r="AH985" s="244"/>
      <c r="AI985" s="244"/>
      <c r="AJ985" s="243"/>
      <c r="AK985" s="243"/>
      <c r="AL985" s="239"/>
      <c r="AM985" s="239"/>
      <c r="AN985" s="239"/>
    </row>
    <row r="986" spans="31:40">
      <c r="AE986" s="215"/>
      <c r="AF986" s="239"/>
      <c r="AG986" s="239"/>
      <c r="AH986" s="244"/>
      <c r="AI986" s="244"/>
      <c r="AJ986" s="243"/>
      <c r="AK986" s="243"/>
      <c r="AL986" s="239"/>
      <c r="AM986" s="239"/>
      <c r="AN986" s="239"/>
    </row>
    <row r="987" spans="31:40">
      <c r="AE987" s="215"/>
      <c r="AF987" s="239"/>
      <c r="AG987" s="239"/>
      <c r="AH987" s="244"/>
      <c r="AI987" s="244"/>
      <c r="AJ987" s="243"/>
      <c r="AK987" s="243"/>
      <c r="AL987" s="239"/>
      <c r="AM987" s="239"/>
      <c r="AN987" s="239"/>
    </row>
    <row r="988" spans="31:40">
      <c r="AE988" s="215"/>
      <c r="AF988" s="239"/>
      <c r="AG988" s="239"/>
      <c r="AH988" s="244"/>
      <c r="AI988" s="244"/>
      <c r="AJ988" s="243"/>
      <c r="AK988" s="243"/>
      <c r="AL988" s="239"/>
      <c r="AM988" s="239"/>
      <c r="AN988" s="239"/>
    </row>
    <row r="989" spans="31:40">
      <c r="AE989" s="215"/>
      <c r="AF989" s="239"/>
      <c r="AG989" s="239"/>
      <c r="AH989" s="244"/>
      <c r="AI989" s="244"/>
      <c r="AJ989" s="243"/>
      <c r="AK989" s="243"/>
      <c r="AL989" s="239"/>
      <c r="AM989" s="239"/>
      <c r="AN989" s="239"/>
    </row>
    <row r="990" spans="31:40">
      <c r="AE990" s="215"/>
      <c r="AF990" s="239"/>
      <c r="AG990" s="239"/>
      <c r="AH990" s="244"/>
      <c r="AI990" s="244"/>
      <c r="AJ990" s="243"/>
      <c r="AK990" s="243"/>
      <c r="AL990" s="239"/>
      <c r="AM990" s="239"/>
      <c r="AN990" s="239"/>
    </row>
    <row r="991" spans="31:40">
      <c r="AE991" s="215"/>
      <c r="AF991" s="239"/>
      <c r="AG991" s="239"/>
      <c r="AH991" s="244"/>
      <c r="AI991" s="244"/>
      <c r="AJ991" s="243"/>
      <c r="AK991" s="243"/>
      <c r="AL991" s="239"/>
      <c r="AM991" s="239"/>
      <c r="AN991" s="239"/>
    </row>
    <row r="992" spans="31:40">
      <c r="AE992" s="215"/>
      <c r="AF992" s="239"/>
      <c r="AG992" s="239"/>
      <c r="AH992" s="244"/>
      <c r="AI992" s="244"/>
      <c r="AJ992" s="243"/>
      <c r="AK992" s="243"/>
      <c r="AL992" s="239"/>
      <c r="AM992" s="239"/>
      <c r="AN992" s="239"/>
    </row>
    <row r="993" spans="31:40">
      <c r="AE993" s="215"/>
      <c r="AF993" s="239"/>
      <c r="AG993" s="239"/>
      <c r="AH993" s="244"/>
      <c r="AI993" s="244"/>
      <c r="AJ993" s="243"/>
      <c r="AK993" s="243"/>
      <c r="AL993" s="239"/>
      <c r="AM993" s="239"/>
      <c r="AN993" s="239"/>
    </row>
    <row r="994" spans="31:40">
      <c r="AE994" s="215"/>
      <c r="AF994" s="239"/>
      <c r="AG994" s="239"/>
      <c r="AH994" s="244"/>
      <c r="AI994" s="244"/>
      <c r="AJ994" s="243"/>
      <c r="AK994" s="243"/>
      <c r="AL994" s="239"/>
      <c r="AM994" s="239"/>
      <c r="AN994" s="239"/>
    </row>
    <row r="995" spans="31:40">
      <c r="AE995" s="215"/>
      <c r="AF995" s="239"/>
      <c r="AG995" s="239"/>
      <c r="AH995" s="244"/>
      <c r="AI995" s="244"/>
      <c r="AJ995" s="243"/>
      <c r="AK995" s="243"/>
      <c r="AL995" s="239"/>
      <c r="AM995" s="239"/>
      <c r="AN995" s="239"/>
    </row>
    <row r="996" spans="31:40">
      <c r="AE996" s="215"/>
      <c r="AF996" s="239"/>
      <c r="AG996" s="239"/>
      <c r="AH996" s="244"/>
      <c r="AI996" s="244"/>
      <c r="AJ996" s="243"/>
      <c r="AK996" s="243"/>
      <c r="AL996" s="239"/>
      <c r="AM996" s="239"/>
      <c r="AN996" s="239"/>
    </row>
    <row r="997" spans="31:40">
      <c r="AE997" s="215"/>
      <c r="AF997" s="239"/>
      <c r="AG997" s="239"/>
      <c r="AH997" s="244"/>
      <c r="AI997" s="244"/>
      <c r="AJ997" s="243"/>
      <c r="AK997" s="243"/>
      <c r="AL997" s="239"/>
      <c r="AM997" s="239"/>
      <c r="AN997" s="239"/>
    </row>
    <row r="998" spans="31:40">
      <c r="AE998" s="215"/>
      <c r="AF998" s="239"/>
      <c r="AG998" s="239"/>
      <c r="AH998" s="244"/>
      <c r="AI998" s="244"/>
      <c r="AJ998" s="243"/>
      <c r="AK998" s="243"/>
      <c r="AL998" s="239"/>
      <c r="AM998" s="239"/>
      <c r="AN998" s="239"/>
    </row>
    <row r="999" spans="31:40">
      <c r="AE999" s="215"/>
      <c r="AF999" s="239"/>
      <c r="AG999" s="239"/>
      <c r="AH999" s="244"/>
      <c r="AI999" s="244"/>
      <c r="AJ999" s="243"/>
      <c r="AK999" s="243"/>
      <c r="AL999" s="239"/>
      <c r="AM999" s="239"/>
      <c r="AN999" s="239"/>
    </row>
    <row r="1000" spans="31:40">
      <c r="AE1000" s="215"/>
      <c r="AF1000" s="239"/>
      <c r="AG1000" s="239"/>
      <c r="AH1000" s="244"/>
      <c r="AI1000" s="244"/>
      <c r="AJ1000" s="243"/>
      <c r="AK1000" s="243"/>
      <c r="AL1000" s="239"/>
      <c r="AM1000" s="239"/>
      <c r="AN1000" s="239"/>
    </row>
    <row r="1001" spans="31:40">
      <c r="AE1001" s="215"/>
      <c r="AF1001" s="239"/>
      <c r="AG1001" s="239"/>
      <c r="AH1001" s="244"/>
      <c r="AI1001" s="244"/>
      <c r="AJ1001" s="243"/>
      <c r="AK1001" s="243"/>
      <c r="AL1001" s="239"/>
      <c r="AM1001" s="239"/>
      <c r="AN1001" s="239"/>
    </row>
    <row r="1002" spans="31:40">
      <c r="AE1002" s="215"/>
      <c r="AF1002" s="239"/>
      <c r="AG1002" s="239"/>
      <c r="AH1002" s="244"/>
      <c r="AI1002" s="244"/>
      <c r="AJ1002" s="243"/>
      <c r="AK1002" s="243"/>
      <c r="AL1002" s="239"/>
      <c r="AM1002" s="239"/>
      <c r="AN1002" s="239"/>
    </row>
    <row r="1003" spans="31:40">
      <c r="AE1003" s="215"/>
      <c r="AF1003" s="239"/>
      <c r="AG1003" s="239"/>
      <c r="AH1003" s="244"/>
      <c r="AI1003" s="244"/>
      <c r="AJ1003" s="243"/>
      <c r="AK1003" s="243"/>
      <c r="AL1003" s="239"/>
      <c r="AM1003" s="239"/>
      <c r="AN1003" s="239"/>
    </row>
    <row r="1004" spans="31:40">
      <c r="AE1004" s="215"/>
      <c r="AF1004" s="239"/>
      <c r="AG1004" s="239"/>
      <c r="AH1004" s="244"/>
      <c r="AI1004" s="244"/>
      <c r="AJ1004" s="243"/>
      <c r="AK1004" s="243"/>
      <c r="AL1004" s="239"/>
      <c r="AM1004" s="239"/>
      <c r="AN1004" s="239"/>
    </row>
    <row r="1005" spans="31:40">
      <c r="AE1005" s="215"/>
      <c r="AF1005" s="239"/>
      <c r="AG1005" s="239"/>
      <c r="AH1005" s="244"/>
      <c r="AI1005" s="244"/>
      <c r="AJ1005" s="243"/>
      <c r="AK1005" s="243"/>
      <c r="AL1005" s="239"/>
      <c r="AM1005" s="239"/>
      <c r="AN1005" s="239"/>
    </row>
    <row r="1006" spans="31:40">
      <c r="AE1006" s="215"/>
      <c r="AF1006" s="239"/>
      <c r="AG1006" s="239"/>
      <c r="AH1006" s="244"/>
      <c r="AI1006" s="244"/>
      <c r="AJ1006" s="243"/>
      <c r="AK1006" s="243"/>
      <c r="AL1006" s="239"/>
      <c r="AM1006" s="239"/>
      <c r="AN1006" s="239"/>
    </row>
    <row r="1007" spans="31:40">
      <c r="AE1007" s="215"/>
      <c r="AF1007" s="239"/>
      <c r="AG1007" s="239"/>
      <c r="AH1007" s="244"/>
      <c r="AI1007" s="244"/>
      <c r="AJ1007" s="243"/>
      <c r="AK1007" s="243"/>
      <c r="AL1007" s="239"/>
      <c r="AM1007" s="239"/>
      <c r="AN1007" s="239"/>
    </row>
    <row r="1008" spans="31:40">
      <c r="AE1008" s="215"/>
      <c r="AF1008" s="239"/>
      <c r="AG1008" s="239"/>
      <c r="AH1008" s="244"/>
      <c r="AI1008" s="244"/>
      <c r="AJ1008" s="243"/>
      <c r="AK1008" s="243"/>
      <c r="AL1008" s="239"/>
      <c r="AM1008" s="239"/>
      <c r="AN1008" s="239"/>
    </row>
    <row r="1009" spans="31:40">
      <c r="AE1009" s="215"/>
      <c r="AF1009" s="239"/>
      <c r="AG1009" s="239"/>
      <c r="AH1009" s="244"/>
      <c r="AI1009" s="244"/>
      <c r="AJ1009" s="243"/>
      <c r="AK1009" s="243"/>
      <c r="AL1009" s="239"/>
      <c r="AM1009" s="239"/>
      <c r="AN1009" s="239"/>
    </row>
    <row r="1010" spans="31:40">
      <c r="AE1010" s="215"/>
      <c r="AF1010" s="239"/>
      <c r="AG1010" s="239"/>
      <c r="AH1010" s="244"/>
      <c r="AI1010" s="244"/>
      <c r="AJ1010" s="243"/>
      <c r="AK1010" s="243"/>
      <c r="AL1010" s="239"/>
      <c r="AM1010" s="239"/>
      <c r="AN1010" s="239"/>
    </row>
    <row r="1011" spans="31:40">
      <c r="AE1011" s="215"/>
      <c r="AF1011" s="239"/>
      <c r="AG1011" s="239"/>
      <c r="AH1011" s="244"/>
      <c r="AI1011" s="244"/>
      <c r="AJ1011" s="243"/>
      <c r="AK1011" s="243"/>
      <c r="AL1011" s="239"/>
      <c r="AM1011" s="239"/>
      <c r="AN1011" s="239"/>
    </row>
    <row r="1012" spans="31:40">
      <c r="AE1012" s="215"/>
      <c r="AF1012" s="239"/>
      <c r="AG1012" s="239"/>
      <c r="AH1012" s="244"/>
      <c r="AI1012" s="244"/>
      <c r="AJ1012" s="243"/>
      <c r="AK1012" s="243"/>
      <c r="AL1012" s="239"/>
      <c r="AM1012" s="239"/>
      <c r="AN1012" s="239"/>
    </row>
    <row r="1013" spans="31:40">
      <c r="AE1013" s="215"/>
      <c r="AF1013" s="239"/>
      <c r="AG1013" s="239"/>
      <c r="AH1013" s="244"/>
      <c r="AI1013" s="244"/>
      <c r="AJ1013" s="243"/>
      <c r="AK1013" s="243"/>
      <c r="AL1013" s="239"/>
      <c r="AM1013" s="239"/>
      <c r="AN1013" s="239"/>
    </row>
    <row r="1014" spans="31:40">
      <c r="AE1014" s="215"/>
      <c r="AF1014" s="239"/>
      <c r="AG1014" s="239"/>
      <c r="AH1014" s="244"/>
      <c r="AI1014" s="244"/>
      <c r="AJ1014" s="243"/>
      <c r="AK1014" s="243"/>
      <c r="AL1014" s="239"/>
      <c r="AM1014" s="239"/>
      <c r="AN1014" s="239"/>
    </row>
    <row r="1015" spans="31:40">
      <c r="AE1015" s="215"/>
      <c r="AF1015" s="239"/>
      <c r="AG1015" s="239"/>
      <c r="AH1015" s="244"/>
      <c r="AI1015" s="244"/>
      <c r="AJ1015" s="243"/>
      <c r="AK1015" s="243"/>
      <c r="AL1015" s="239"/>
      <c r="AM1015" s="239"/>
      <c r="AN1015" s="239"/>
    </row>
    <row r="1016" spans="31:40">
      <c r="AE1016" s="215"/>
      <c r="AF1016" s="239"/>
      <c r="AG1016" s="239"/>
      <c r="AH1016" s="239"/>
      <c r="AI1016" s="239"/>
      <c r="AJ1016" s="243"/>
      <c r="AK1016" s="243"/>
      <c r="AL1016" s="239"/>
      <c r="AM1016" s="239"/>
      <c r="AN1016" s="239"/>
    </row>
    <row r="1017" spans="31:40">
      <c r="AE1017" s="215"/>
      <c r="AF1017" s="239"/>
      <c r="AG1017" s="239"/>
      <c r="AH1017" s="244"/>
      <c r="AI1017" s="244"/>
      <c r="AJ1017" s="243"/>
      <c r="AK1017" s="243"/>
      <c r="AL1017" s="239"/>
      <c r="AM1017" s="239"/>
      <c r="AN1017" s="239"/>
    </row>
    <row r="1018" spans="31:40">
      <c r="AF1018" s="239"/>
      <c r="AG1018" s="23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9F72-134C-084F-A992-0909E1EC5555}">
  <sheetPr codeName="Feuil6"/>
  <dimension ref="A1:AS1018"/>
  <sheetViews>
    <sheetView zoomScale="112" workbookViewId="0">
      <selection activeCell="E15" sqref="E15"/>
    </sheetView>
  </sheetViews>
  <sheetFormatPr baseColWidth="10" defaultRowHeight="16"/>
  <cols>
    <col min="1" max="1" width="27.1640625" style="242" customWidth="1"/>
    <col min="2" max="2" width="11.6640625" style="242" bestFit="1" customWidth="1"/>
    <col min="3" max="3" width="14.5" style="242" customWidth="1"/>
    <col min="4" max="4" width="17.5" style="242" customWidth="1"/>
    <col min="5" max="5" width="16.6640625" style="242" bestFit="1" customWidth="1"/>
    <col min="6" max="6" width="16.6640625" style="242" customWidth="1"/>
    <col min="7" max="7" width="18" style="242" customWidth="1"/>
    <col min="8" max="8" width="17.5" style="242" bestFit="1" customWidth="1"/>
    <col min="9" max="9" width="13.83203125" style="242" customWidth="1"/>
    <col min="10" max="10" width="14" style="242" customWidth="1"/>
    <col min="11" max="11" width="17.1640625" style="242" customWidth="1"/>
    <col min="12" max="12" width="23.1640625" style="242" bestFit="1" customWidth="1"/>
    <col min="13" max="13" width="17" style="242" bestFit="1" customWidth="1"/>
    <col min="14" max="14" width="25.6640625" style="242" customWidth="1"/>
    <col min="15" max="15" width="20.33203125" style="242" customWidth="1"/>
    <col min="16" max="16" width="21.1640625" style="242" customWidth="1"/>
    <col min="17" max="17" width="18.83203125" style="242" customWidth="1"/>
    <col min="18" max="18" width="21.6640625" style="242" bestFit="1" customWidth="1"/>
    <col min="19" max="22" width="21.6640625" style="250" customWidth="1"/>
    <col min="23" max="23" width="17.6640625" style="242" customWidth="1"/>
    <col min="24" max="24" width="19.6640625" style="62" bestFit="1" customWidth="1"/>
    <col min="25" max="27" width="10.83203125" style="62"/>
    <col min="28" max="28" width="3.5" style="62" bestFit="1" customWidth="1"/>
    <col min="29" max="29" width="3.1640625" style="62" bestFit="1" customWidth="1"/>
    <col min="30" max="30" width="2.1640625" style="62" bestFit="1" customWidth="1"/>
    <col min="31" max="31" width="7.1640625" style="62" bestFit="1" customWidth="1"/>
    <col min="32" max="32" width="5.1640625" style="62" bestFit="1" customWidth="1"/>
    <col min="33" max="34" width="12.33203125" style="62" bestFit="1" customWidth="1"/>
    <col min="35" max="35" width="8.1640625" style="62" bestFit="1" customWidth="1"/>
    <col min="36" max="36" width="7.83203125" style="62" bestFit="1" customWidth="1"/>
    <col min="37" max="37" width="9.1640625" style="62" bestFit="1" customWidth="1"/>
    <col min="38" max="40" width="12.33203125" style="62" bestFit="1" customWidth="1"/>
    <col min="41" max="41" width="8.33203125" style="62" bestFit="1" customWidth="1"/>
    <col min="42" max="45" width="10.83203125" style="62"/>
    <col min="46" max="16384" width="10.83203125" style="242"/>
  </cols>
  <sheetData>
    <row r="1" spans="1:44">
      <c r="A1" s="247" t="s">
        <v>807</v>
      </c>
      <c r="B1" s="247" t="s">
        <v>737</v>
      </c>
      <c r="L1" s="250"/>
      <c r="M1" s="250"/>
      <c r="N1" s="250"/>
      <c r="O1" s="250"/>
      <c r="AB1" s="215"/>
      <c r="AC1" s="239"/>
      <c r="AD1" s="239"/>
      <c r="AE1" s="239"/>
      <c r="AF1" s="239"/>
      <c r="AG1" s="243"/>
      <c r="AI1" s="239"/>
      <c r="AJ1" s="239"/>
      <c r="AK1" s="239"/>
      <c r="AO1" s="240"/>
    </row>
    <row r="2" spans="1:44">
      <c r="A2" s="14" t="s">
        <v>863</v>
      </c>
      <c r="B2" s="267">
        <f>'Fractal shoot'!B2*'Fractal shoot'!B13</f>
        <v>2.8000000000000003</v>
      </c>
      <c r="D2" s="242" t="s">
        <v>688</v>
      </c>
      <c r="F2" s="242" t="s">
        <v>690</v>
      </c>
      <c r="G2" s="62">
        <f>J3*LOG(G5)/LOG(B14/B7*10)</f>
        <v>2.3911387877502781</v>
      </c>
      <c r="H2" s="62"/>
      <c r="I2" s="242" t="s">
        <v>723</v>
      </c>
      <c r="J2" s="242">
        <f>(G4/2+B10)^2-2*G4*(-B3)</f>
        <v>1.7649011126360161E-3</v>
      </c>
      <c r="L2" s="250" t="s">
        <v>771</v>
      </c>
      <c r="M2" s="4">
        <f>O2*sureau_ini.txt!CS32*1000</f>
        <v>9.2171084645507868</v>
      </c>
      <c r="N2" s="250" t="s">
        <v>773</v>
      </c>
      <c r="O2" s="250">
        <f>T121</f>
        <v>2.3042771161376967E-2</v>
      </c>
      <c r="AB2" s="215"/>
      <c r="AC2" s="239"/>
      <c r="AD2" s="239"/>
      <c r="AE2" s="239"/>
      <c r="AF2" s="239"/>
      <c r="AG2" s="243"/>
      <c r="AI2" s="239"/>
      <c r="AJ2" s="239"/>
      <c r="AK2" s="239"/>
      <c r="AO2" s="240"/>
    </row>
    <row r="3" spans="1:44">
      <c r="A3" s="14" t="s">
        <v>864</v>
      </c>
      <c r="B3" s="267">
        <f>'Fractal shoot'!B3*'Fractal shoot'!B13</f>
        <v>0.8</v>
      </c>
      <c r="D3" s="242" t="s">
        <v>687</v>
      </c>
      <c r="F3" s="242" t="s">
        <v>689</v>
      </c>
      <c r="G3" s="62">
        <f>J3*LOG(G5)/LOG(B8/B6*10)</f>
        <v>2.2216234714568408</v>
      </c>
      <c r="H3" s="62"/>
      <c r="I3" s="242" t="s">
        <v>724</v>
      </c>
      <c r="J3" s="242">
        <f>(-(G4/2+B10)+SQRT(J2))/G4</f>
        <v>17.431481281446423</v>
      </c>
      <c r="L3" s="250" t="s">
        <v>772</v>
      </c>
      <c r="M3" s="4">
        <f>O2*sureau_ini.txt!CT32*1000</f>
        <v>3.4564156742065451</v>
      </c>
      <c r="N3" s="250" t="s">
        <v>808</v>
      </c>
      <c r="O3" s="250">
        <f>R121</f>
        <v>3.6532491294152904E-2</v>
      </c>
      <c r="AB3" s="215"/>
      <c r="AC3" s="239"/>
      <c r="AD3" s="239"/>
      <c r="AE3" s="239"/>
      <c r="AF3" s="239"/>
      <c r="AG3" s="243"/>
      <c r="AI3" s="239"/>
      <c r="AJ3" s="239"/>
      <c r="AK3" s="239"/>
      <c r="AO3" s="240"/>
    </row>
    <row r="4" spans="1:44">
      <c r="A4" s="14" t="s">
        <v>865</v>
      </c>
      <c r="B4" s="267">
        <f>'Fractal shoot'!B4/3</f>
        <v>6</v>
      </c>
      <c r="D4" s="242" t="s">
        <v>668</v>
      </c>
      <c r="F4" s="242" t="s">
        <v>669</v>
      </c>
      <c r="G4" s="62">
        <f>2*(B2-B10*101)/(101*100)</f>
        <v>-4.4554455445544562E-4</v>
      </c>
      <c r="H4" s="62"/>
      <c r="J4" s="62"/>
      <c r="L4" s="250" t="s">
        <v>774</v>
      </c>
      <c r="M4" s="4">
        <f>Q121</f>
        <v>21.386396995059897</v>
      </c>
      <c r="N4" s="250"/>
      <c r="O4" s="250"/>
      <c r="AB4" s="215"/>
      <c r="AC4" s="239"/>
      <c r="AD4" s="239"/>
      <c r="AE4" s="239"/>
      <c r="AF4" s="239"/>
      <c r="AG4" s="243"/>
      <c r="AI4" s="239"/>
      <c r="AJ4" s="239"/>
      <c r="AK4" s="239"/>
      <c r="AO4" s="240"/>
    </row>
    <row r="5" spans="1:44">
      <c r="A5" s="14" t="s">
        <v>866</v>
      </c>
      <c r="B5" s="267">
        <f>B10*100*3.1416*B6/10</f>
        <v>1.5708</v>
      </c>
      <c r="D5" s="242" t="s">
        <v>667</v>
      </c>
      <c r="F5" s="242" t="s">
        <v>666</v>
      </c>
      <c r="G5" s="62">
        <f>B15^(1/J3)</f>
        <v>1.8317217170783615</v>
      </c>
      <c r="H5" s="62"/>
      <c r="L5" s="250" t="s">
        <v>804</v>
      </c>
      <c r="M5" s="4">
        <f>MAX(U21:U121)</f>
        <v>4162.9614819262424</v>
      </c>
      <c r="N5" s="250"/>
      <c r="O5" s="250"/>
      <c r="AB5" s="215"/>
      <c r="AC5" s="239"/>
      <c r="AD5" s="239"/>
      <c r="AE5" s="239"/>
      <c r="AF5" s="239"/>
      <c r="AG5" s="243"/>
      <c r="AI5" s="239"/>
      <c r="AJ5" s="239"/>
      <c r="AK5" s="239"/>
      <c r="AO5" s="240"/>
    </row>
    <row r="6" spans="1:44">
      <c r="A6" s="14" t="s">
        <v>679</v>
      </c>
      <c r="B6" s="267">
        <f>sureau_ini.txt!CR32*1000</f>
        <v>1</v>
      </c>
      <c r="L6" s="242" t="s">
        <v>810</v>
      </c>
      <c r="M6" s="242">
        <f>SUM(V21:V121)/SUM(B21:B121)/100</f>
        <v>8.5608478174381986E-4</v>
      </c>
      <c r="N6" s="250"/>
      <c r="O6" s="250"/>
      <c r="AB6" s="215"/>
      <c r="AC6" s="239"/>
      <c r="AD6" s="239"/>
      <c r="AE6" s="239"/>
      <c r="AF6" s="239"/>
      <c r="AG6" s="243"/>
      <c r="AI6" s="239"/>
      <c r="AJ6" s="239"/>
      <c r="AK6" s="239"/>
      <c r="AO6" s="240"/>
    </row>
    <row r="7" spans="1:44">
      <c r="A7" s="14" t="s">
        <v>867</v>
      </c>
      <c r="B7" s="267">
        <f>B6</f>
        <v>1</v>
      </c>
      <c r="L7" s="250" t="s">
        <v>813</v>
      </c>
      <c r="M7" s="4">
        <f>3*M5/sureau_ini.txt!EF32^2</f>
        <v>1387.6538273087474</v>
      </c>
      <c r="N7" s="250"/>
      <c r="O7" s="250"/>
      <c r="AB7" s="215"/>
      <c r="AC7" s="239"/>
      <c r="AD7" s="239"/>
      <c r="AE7" s="239"/>
      <c r="AF7" s="239"/>
      <c r="AG7" s="243"/>
      <c r="AI7" s="239"/>
      <c r="AJ7" s="239"/>
      <c r="AK7" s="239"/>
      <c r="AO7" s="240"/>
    </row>
    <row r="8" spans="1:44">
      <c r="A8" s="14" t="s">
        <v>869</v>
      </c>
      <c r="B8" s="267">
        <f>'Fractal shoot'!B8/SQRT(3)</f>
        <v>11.547005383792516</v>
      </c>
      <c r="D8" s="242" t="s">
        <v>744</v>
      </c>
      <c r="E8" s="90">
        <f>Y21</f>
        <v>7.4707305190442749E-4</v>
      </c>
      <c r="L8" s="242" t="s">
        <v>812</v>
      </c>
      <c r="M8" s="242">
        <f>3*M5/sureau_ini.txt!EF30</f>
        <v>3343.7441621897533</v>
      </c>
      <c r="AB8" s="215"/>
      <c r="AC8" s="239"/>
      <c r="AD8" s="239"/>
      <c r="AE8" s="239"/>
      <c r="AF8" s="239"/>
      <c r="AG8" s="243"/>
      <c r="AI8" s="239"/>
      <c r="AJ8" s="239"/>
      <c r="AK8" s="239"/>
      <c r="AO8" s="240"/>
    </row>
    <row r="9" spans="1:44">
      <c r="A9" s="14" t="s">
        <v>722</v>
      </c>
      <c r="B9" s="268">
        <f>B8*sureau_ini.txt!CP32</f>
        <v>3.4641016151377548</v>
      </c>
      <c r="D9" s="242" t="s">
        <v>745</v>
      </c>
      <c r="E9" s="90">
        <f>1/E8</f>
        <v>1338.5571831975667</v>
      </c>
      <c r="AB9" s="215"/>
      <c r="AC9" s="239"/>
      <c r="AD9" s="239"/>
      <c r="AE9" s="239"/>
      <c r="AF9" s="239"/>
      <c r="AG9" s="243"/>
      <c r="AI9" s="239"/>
      <c r="AJ9" s="239"/>
      <c r="AK9" s="239"/>
      <c r="AO9" s="240"/>
    </row>
    <row r="10" spans="1:44">
      <c r="A10" s="14" t="s">
        <v>868</v>
      </c>
      <c r="B10" s="267">
        <f>'Fractal shoot'!B10</f>
        <v>0.05</v>
      </c>
      <c r="D10" s="242" t="s">
        <v>733</v>
      </c>
      <c r="E10" s="90">
        <f>Z21</f>
        <v>-8.9648766228531303E-3</v>
      </c>
      <c r="AB10" s="215"/>
      <c r="AC10" s="239"/>
      <c r="AD10" s="239"/>
      <c r="AE10" s="239"/>
      <c r="AF10" s="239"/>
      <c r="AG10" s="243"/>
      <c r="AI10" s="239"/>
      <c r="AJ10" s="239"/>
      <c r="AK10" s="239"/>
      <c r="AO10" s="240"/>
    </row>
    <row r="11" spans="1:44">
      <c r="A11" s="14" t="s">
        <v>870</v>
      </c>
      <c r="B11" s="269">
        <f>sureau_ini.txt!EV32</f>
        <v>20000</v>
      </c>
      <c r="D11" s="242" t="s">
        <v>741</v>
      </c>
      <c r="E11" s="90">
        <f>3*O3</f>
        <v>0.10959747388245872</v>
      </c>
      <c r="G11" s="242" t="s">
        <v>740</v>
      </c>
      <c r="H11" s="242">
        <f>E11/'Fractal shoot'!E14</f>
        <v>0.53434397544606216</v>
      </c>
      <c r="AE11" s="215"/>
      <c r="AF11" s="239"/>
      <c r="AG11" s="239"/>
      <c r="AH11" s="239"/>
      <c r="AI11" s="239"/>
      <c r="AJ11" s="243"/>
      <c r="AL11" s="239"/>
      <c r="AM11" s="239"/>
      <c r="AN11" s="239"/>
      <c r="AR11" s="240"/>
    </row>
    <row r="12" spans="1:44">
      <c r="A12" s="14" t="s">
        <v>734</v>
      </c>
      <c r="B12" s="267">
        <f>'Fractal shoot'!B12</f>
        <v>1</v>
      </c>
      <c r="D12" s="242" t="s">
        <v>742</v>
      </c>
      <c r="E12" s="90">
        <f>3*M4</f>
        <v>64.159190985179691</v>
      </c>
      <c r="AE12" s="215"/>
      <c r="AF12" s="239"/>
      <c r="AG12" s="239"/>
      <c r="AH12" s="239"/>
      <c r="AI12" s="239"/>
      <c r="AJ12" s="243"/>
      <c r="AL12" s="239"/>
      <c r="AM12" s="239"/>
      <c r="AN12" s="239"/>
      <c r="AR12" s="240"/>
    </row>
    <row r="13" spans="1:44">
      <c r="A13" s="63" t="s">
        <v>729</v>
      </c>
      <c r="B13" s="1">
        <f>1/B11</f>
        <v>5.0000000000000002E-5</v>
      </c>
      <c r="D13" s="14" t="s">
        <v>849</v>
      </c>
      <c r="E13" s="14">
        <f>M5/Soil_Width/Soil_Width</f>
        <v>462.55127576958245</v>
      </c>
      <c r="G13" s="242">
        <f>Soil_Width</f>
        <v>3</v>
      </c>
      <c r="AE13" s="215"/>
      <c r="AF13" s="239"/>
      <c r="AG13" s="239"/>
      <c r="AH13" s="239"/>
      <c r="AI13" s="239"/>
      <c r="AJ13" s="243"/>
      <c r="AL13" s="239"/>
      <c r="AM13" s="239"/>
      <c r="AN13" s="239"/>
      <c r="AR13" s="240"/>
    </row>
    <row r="14" spans="1:44">
      <c r="A14" s="242" t="s">
        <v>721</v>
      </c>
      <c r="B14" s="250">
        <f>SQRT(B9*(2*B8-B9))</f>
        <v>8.2462112512353212</v>
      </c>
      <c r="D14" s="14" t="s">
        <v>850</v>
      </c>
      <c r="E14" s="14">
        <f>M5/sureau_ini.txt!EF30</f>
        <v>1114.5813873965844</v>
      </c>
      <c r="F14" s="242">
        <f>E14*3</f>
        <v>3343.7441621897533</v>
      </c>
      <c r="AE14" s="215"/>
      <c r="AF14" s="239"/>
      <c r="AG14" s="239"/>
      <c r="AH14" s="239"/>
      <c r="AI14" s="239"/>
      <c r="AJ14" s="243"/>
      <c r="AL14" s="239"/>
      <c r="AM14" s="239"/>
      <c r="AN14" s="239"/>
      <c r="AR14" s="240"/>
    </row>
    <row r="15" spans="1:44">
      <c r="A15" s="242" t="s">
        <v>871</v>
      </c>
      <c r="B15" s="250">
        <f>B4/B5*10000</f>
        <v>38197.097020626432</v>
      </c>
      <c r="D15" s="276" t="s">
        <v>851</v>
      </c>
      <c r="E15" s="90">
        <f>sureau_ini.txt!F25</f>
        <v>974.40009280075151</v>
      </c>
      <c r="AE15" s="215"/>
      <c r="AF15" s="239"/>
      <c r="AG15" s="239"/>
      <c r="AH15" s="239"/>
      <c r="AI15" s="239"/>
      <c r="AJ15" s="243"/>
      <c r="AL15" s="239"/>
      <c r="AM15" s="239"/>
      <c r="AN15" s="239"/>
      <c r="AR15" s="240"/>
    </row>
    <row r="16" spans="1:44">
      <c r="A16" s="242" t="s">
        <v>678</v>
      </c>
      <c r="B16" s="1">
        <f>(3.1416/4*(B6/1000)^2)/B5</f>
        <v>4.9999999999999998E-7</v>
      </c>
      <c r="AE16" s="215"/>
      <c r="AF16" s="239"/>
      <c r="AG16" s="239"/>
      <c r="AH16" s="239"/>
      <c r="AI16" s="239"/>
      <c r="AJ16" s="243"/>
      <c r="AL16" s="239"/>
      <c r="AM16" s="239"/>
      <c r="AN16" s="239"/>
      <c r="AR16" s="240"/>
    </row>
    <row r="17" spans="1:45" s="271" customFormat="1">
      <c r="B17" s="1"/>
      <c r="X17" s="62"/>
      <c r="Y17" s="62"/>
      <c r="Z17" s="62"/>
      <c r="AA17" s="62"/>
      <c r="AB17" s="62"/>
      <c r="AC17" s="62"/>
      <c r="AD17" s="62"/>
      <c r="AE17" s="215"/>
      <c r="AF17" s="239"/>
      <c r="AG17" s="239"/>
      <c r="AH17" s="239"/>
      <c r="AI17" s="239"/>
      <c r="AJ17" s="243"/>
      <c r="AK17" s="62"/>
      <c r="AL17" s="239"/>
      <c r="AM17" s="239"/>
      <c r="AN17" s="239"/>
      <c r="AO17" s="62"/>
      <c r="AP17" s="62"/>
      <c r="AQ17" s="62"/>
      <c r="AR17" s="240"/>
      <c r="AS17" s="62"/>
    </row>
    <row r="18" spans="1:45" s="271" customFormat="1">
      <c r="B18" s="1"/>
      <c r="X18" s="62"/>
      <c r="Y18" s="62"/>
      <c r="Z18" s="62"/>
      <c r="AA18" s="62"/>
      <c r="AB18" s="62"/>
      <c r="AC18" s="62"/>
      <c r="AD18" s="62"/>
      <c r="AE18" s="215"/>
      <c r="AF18" s="239"/>
      <c r="AG18" s="239"/>
      <c r="AH18" s="239"/>
      <c r="AI18" s="239"/>
      <c r="AJ18" s="243"/>
      <c r="AK18" s="62"/>
      <c r="AL18" s="239"/>
      <c r="AM18" s="239"/>
      <c r="AN18" s="239"/>
      <c r="AO18" s="62"/>
      <c r="AP18" s="62"/>
      <c r="AQ18" s="62"/>
      <c r="AR18" s="240"/>
      <c r="AS18" s="62"/>
    </row>
    <row r="19" spans="1:45">
      <c r="B19" s="1"/>
      <c r="AE19" s="215"/>
      <c r="AF19" s="239"/>
      <c r="AG19" s="239"/>
      <c r="AH19" s="239"/>
      <c r="AI19" s="239"/>
      <c r="AJ19" s="243"/>
      <c r="AL19" s="239"/>
      <c r="AM19" s="239"/>
      <c r="AN19" s="239"/>
      <c r="AR19" s="240"/>
    </row>
    <row r="20" spans="1:45">
      <c r="A20" s="242" t="s">
        <v>743</v>
      </c>
      <c r="B20" s="250" t="s">
        <v>673</v>
      </c>
      <c r="C20" s="255" t="s">
        <v>692</v>
      </c>
      <c r="D20" s="250" t="s">
        <v>670</v>
      </c>
      <c r="E20" s="255" t="s">
        <v>682</v>
      </c>
      <c r="F20" s="250" t="s">
        <v>719</v>
      </c>
      <c r="G20" s="255" t="s">
        <v>675</v>
      </c>
      <c r="H20" s="250" t="s">
        <v>683</v>
      </c>
      <c r="I20" s="250" t="s">
        <v>676</v>
      </c>
      <c r="J20" s="250" t="s">
        <v>684</v>
      </c>
      <c r="K20" s="250" t="s">
        <v>685</v>
      </c>
      <c r="L20" s="250" t="s">
        <v>686</v>
      </c>
      <c r="M20" s="250" t="s">
        <v>728</v>
      </c>
      <c r="N20" s="250" t="s">
        <v>674</v>
      </c>
      <c r="O20" s="60" t="s">
        <v>718</v>
      </c>
      <c r="P20" s="250" t="s">
        <v>677</v>
      </c>
      <c r="Q20" s="60" t="s">
        <v>775</v>
      </c>
      <c r="R20" s="250" t="s">
        <v>776</v>
      </c>
      <c r="S20" s="60" t="s">
        <v>760</v>
      </c>
      <c r="T20" s="60" t="s">
        <v>761</v>
      </c>
      <c r="U20" s="60" t="s">
        <v>803</v>
      </c>
      <c r="V20" s="60" t="s">
        <v>809</v>
      </c>
      <c r="W20" s="256" t="s">
        <v>730</v>
      </c>
      <c r="X20" s="256" t="s">
        <v>731</v>
      </c>
      <c r="Y20" s="238" t="s">
        <v>732</v>
      </c>
      <c r="Z20" s="215" t="s">
        <v>733</v>
      </c>
      <c r="AG20" s="239"/>
      <c r="AH20" s="239"/>
      <c r="AI20" s="239"/>
      <c r="AM20" s="240"/>
      <c r="AS20" s="242"/>
    </row>
    <row r="21" spans="1:45">
      <c r="A21" s="242">
        <v>0</v>
      </c>
      <c r="B21" s="242">
        <f>MAX($B$15,1)</f>
        <v>38197.097020626432</v>
      </c>
      <c r="C21" s="242">
        <f t="shared" ref="C21:C84" si="0">$B$10+A21*$G$4</f>
        <v>0.05</v>
      </c>
      <c r="D21" s="242">
        <f t="shared" ref="D21:D84" si="1">(A21+1)*($B$10+$G$4*A21/2)</f>
        <v>0.05</v>
      </c>
      <c r="E21" s="242">
        <f>B6/10</f>
        <v>0.1</v>
      </c>
      <c r="F21" s="242">
        <f>B7/10</f>
        <v>0.1</v>
      </c>
      <c r="G21" s="242">
        <f>F21*F21*3.1416/4</f>
        <v>7.8540000000000016E-3</v>
      </c>
      <c r="H21" s="242">
        <f t="shared" ref="H21:H84" si="2">E21*E21*3.1416/4</f>
        <v>7.8540000000000016E-3</v>
      </c>
      <c r="I21" s="242">
        <f t="shared" ref="I21:I84" si="3">G21*B21</f>
        <v>300.00000000000006</v>
      </c>
      <c r="J21" s="242">
        <f t="shared" ref="J21:J84" si="4">H21*B21</f>
        <v>300.00000000000006</v>
      </c>
      <c r="K21" s="242">
        <f t="shared" ref="K21:K84" si="5">H21-G21</f>
        <v>0</v>
      </c>
      <c r="L21" s="242">
        <f>SQRT(4*K21/3.1416)</f>
        <v>0</v>
      </c>
      <c r="M21" s="242">
        <f t="shared" ref="M21:M84" si="6">(E21-L21)/2</f>
        <v>0.05</v>
      </c>
      <c r="N21" s="242">
        <f t="shared" ref="N21:N84" si="7">E21*3.1416</f>
        <v>0.31415999999999999</v>
      </c>
      <c r="O21" s="242">
        <f t="shared" ref="O21:O84" si="8">C21*3.1416*E21*B21/100</f>
        <v>6</v>
      </c>
      <c r="P21" s="242">
        <f t="shared" ref="P21:P84" si="9">C21*E21/100*E21/100*3.1416/4*B21</f>
        <v>1.5000000000000002E-3</v>
      </c>
      <c r="Q21" s="242">
        <f>O21</f>
        <v>6</v>
      </c>
      <c r="R21" s="242">
        <f>P21</f>
        <v>1.5000000000000002E-3</v>
      </c>
      <c r="S21" s="250">
        <f>G21/10000*C21*B21</f>
        <v>1.5000000000000002E-3</v>
      </c>
      <c r="T21" s="250">
        <f>S21</f>
        <v>1.5000000000000002E-3</v>
      </c>
      <c r="U21" s="250">
        <f>C21*B21</f>
        <v>1909.8548510313217</v>
      </c>
      <c r="V21" s="250">
        <f>E21/2*B21</f>
        <v>1909.8548510313217</v>
      </c>
      <c r="W21" s="1">
        <f>C21/(G21/10000)*$B$13*($F$21/F21)^($B$12)</f>
        <v>3.1830914183855357</v>
      </c>
      <c r="X21" s="240">
        <f t="shared" ref="X21:X52" si="10">W21/B21</f>
        <v>8.3333333333333331E-5</v>
      </c>
      <c r="Y21" s="240">
        <f t="shared" ref="Y21:Y84" si="11">Y22+X21</f>
        <v>7.4707305190442749E-4</v>
      </c>
      <c r="Z21" s="248">
        <f>-Y21*$B$4*2</f>
        <v>-8.9648766228531303E-3</v>
      </c>
      <c r="AA21" s="240"/>
      <c r="AB21" s="239"/>
      <c r="AC21" s="239"/>
      <c r="AD21" s="239"/>
      <c r="AE21" s="243"/>
      <c r="AG21" s="239"/>
      <c r="AH21" s="239"/>
      <c r="AI21" s="239"/>
      <c r="AM21" s="240"/>
    </row>
    <row r="22" spans="1:45">
      <c r="A22" s="242">
        <f>A21+1</f>
        <v>1</v>
      </c>
      <c r="B22" s="242">
        <f t="shared" ref="B22:B85" si="12">MAX(B21/$G$5,1)</f>
        <v>20853.111400323236</v>
      </c>
      <c r="C22" s="242">
        <f t="shared" si="0"/>
        <v>4.9554455445544557E-2</v>
      </c>
      <c r="D22" s="242">
        <f t="shared" si="1"/>
        <v>9.955445544554456E-2</v>
      </c>
      <c r="E22" s="242">
        <f t="shared" ref="E22:E85" si="13">IF(A22&lt;$J$3,($B$6/10)*$G$5^(A22/$G$3),($B$6/10)*$G$5^($J$3/$G$3))</f>
        <v>0.13131630441411868</v>
      </c>
      <c r="F22" s="242">
        <f t="shared" ref="F22:F85" si="14">IF(A22&lt;$J$3,($B$7/10)*$G$5^(A22/$G$2),($B$7/10)*$G$5^($J$3/$G$2))</f>
        <v>0.12880439210404288</v>
      </c>
      <c r="G22" s="242">
        <f t="shared" ref="G22:G85" si="15">F22*F22*3.1416/4</f>
        <v>1.3030234797424354E-2</v>
      </c>
      <c r="H22" s="242">
        <f t="shared" si="2"/>
        <v>1.3543415455632458E-2</v>
      </c>
      <c r="I22" s="242">
        <f t="shared" si="3"/>
        <v>271.72093780305835</v>
      </c>
      <c r="J22" s="242">
        <f t="shared" si="4"/>
        <v>282.42235123716313</v>
      </c>
      <c r="K22" s="242">
        <f t="shared" si="5"/>
        <v>5.1318065820810457E-4</v>
      </c>
      <c r="L22" s="242">
        <f t="shared" ref="L22:L85" si="16">SQRT(4*K22/3.1416)</f>
        <v>2.5561697511891957E-2</v>
      </c>
      <c r="M22" s="242">
        <f t="shared" si="6"/>
        <v>5.2877303451113362E-2</v>
      </c>
      <c r="N22" s="242">
        <f t="shared" si="7"/>
        <v>0.41254330194739525</v>
      </c>
      <c r="O22" s="242">
        <f t="shared" si="8"/>
        <v>4.2630763586134588</v>
      </c>
      <c r="P22" s="242">
        <f t="shared" si="9"/>
        <v>1.3995285821207938E-3</v>
      </c>
      <c r="Q22" s="242">
        <f t="shared" ref="Q22:Q85" si="17">Q21+O22</f>
        <v>10.263076358613459</v>
      </c>
      <c r="R22" s="242">
        <f t="shared" ref="R22:R85" si="18">P22+R21</f>
        <v>2.899528582120794E-3</v>
      </c>
      <c r="S22" s="250">
        <f t="shared" ref="S22:S85" si="19">G22/10000*C22*B22</f>
        <v>1.3464983105983235E-3</v>
      </c>
      <c r="T22" s="250">
        <f>T21+S22</f>
        <v>2.8464983105983238E-3</v>
      </c>
      <c r="U22" s="250">
        <f>U21+C22*B22</f>
        <v>2943.2194308196167</v>
      </c>
      <c r="V22" s="263">
        <f t="shared" ref="V22:V85" si="20">E22/2*B22</f>
        <v>1369.1767623131873</v>
      </c>
      <c r="W22" s="1">
        <f t="shared" ref="W22:W85" si="21">C22/(G22/10000)*$B$13*($F$21/F22)^($B$12)</f>
        <v>1.4762836113482143</v>
      </c>
      <c r="X22" s="240">
        <f t="shared" si="10"/>
        <v>7.0794404873573497E-5</v>
      </c>
      <c r="Y22" s="240">
        <f t="shared" si="11"/>
        <v>6.6373971857109412E-4</v>
      </c>
      <c r="Z22" s="248">
        <f t="shared" ref="Z22:Z85" si="22">-Y22*$B$4*2</f>
        <v>-7.9648766228531294E-3</v>
      </c>
      <c r="AA22" s="239"/>
      <c r="AB22" s="239"/>
      <c r="AC22" s="239"/>
      <c r="AD22" s="239"/>
      <c r="AE22" s="243"/>
      <c r="AG22" s="239"/>
      <c r="AH22" s="239"/>
      <c r="AI22" s="239"/>
      <c r="AM22" s="240"/>
    </row>
    <row r="23" spans="1:45">
      <c r="A23" s="242">
        <f t="shared" ref="A23:A86" si="23">A22+1</f>
        <v>2</v>
      </c>
      <c r="B23" s="242">
        <f t="shared" si="12"/>
        <v>11384.432037844936</v>
      </c>
      <c r="C23" s="242">
        <f t="shared" si="0"/>
        <v>4.9108910891089111E-2</v>
      </c>
      <c r="D23" s="242">
        <f t="shared" si="1"/>
        <v>0.14866336633663368</v>
      </c>
      <c r="E23" s="242">
        <f t="shared" si="13"/>
        <v>0.17243971804981487</v>
      </c>
      <c r="F23" s="242">
        <f t="shared" si="14"/>
        <v>0.16590571425292019</v>
      </c>
      <c r="G23" s="242">
        <f t="shared" si="15"/>
        <v>2.161790410949942E-2</v>
      </c>
      <c r="H23" s="242">
        <f t="shared" si="2"/>
        <v>2.3354227426007661E-2</v>
      </c>
      <c r="I23" s="242">
        <f t="shared" si="3"/>
        <v>246.10756013524488</v>
      </c>
      <c r="J23" s="242">
        <f t="shared" si="4"/>
        <v>265.8746149277585</v>
      </c>
      <c r="K23" s="242">
        <f t="shared" si="5"/>
        <v>1.7363233165082412E-3</v>
      </c>
      <c r="L23" s="242">
        <f t="shared" si="16"/>
        <v>4.7018616944015254E-2</v>
      </c>
      <c r="M23" s="242">
        <f t="shared" si="6"/>
        <v>6.2710550552899813E-2</v>
      </c>
      <c r="N23" s="242">
        <f t="shared" si="7"/>
        <v>0.54173661822529839</v>
      </c>
      <c r="O23" s="242">
        <f t="shared" si="8"/>
        <v>3.0287251499490471</v>
      </c>
      <c r="P23" s="242">
        <f t="shared" si="9"/>
        <v>1.3056812772689924E-3</v>
      </c>
      <c r="Q23" s="242">
        <f t="shared" si="17"/>
        <v>13.291801508562505</v>
      </c>
      <c r="R23" s="242">
        <f t="shared" si="18"/>
        <v>4.2052098593897864E-3</v>
      </c>
      <c r="S23" s="250">
        <f t="shared" si="19"/>
        <v>1.2086074240305095E-3</v>
      </c>
      <c r="T23" s="250">
        <f t="shared" ref="T23:T86" si="24">T22+S23</f>
        <v>4.0551057346288333E-3</v>
      </c>
      <c r="U23" s="263">
        <f t="shared" ref="U23:U86" si="25">U22+C23*B23</f>
        <v>3502.2964893118037</v>
      </c>
      <c r="V23" s="263">
        <f t="shared" si="20"/>
        <v>981.56412538162999</v>
      </c>
      <c r="W23" s="1">
        <f t="shared" si="21"/>
        <v>0.68462913399430625</v>
      </c>
      <c r="X23" s="240">
        <f t="shared" si="10"/>
        <v>6.0137311349254277E-5</v>
      </c>
      <c r="Y23" s="240">
        <f t="shared" si="11"/>
        <v>5.9294531369752065E-4</v>
      </c>
      <c r="Z23" s="248">
        <f t="shared" si="22"/>
        <v>-7.1153437643702473E-3</v>
      </c>
      <c r="AA23" s="239"/>
      <c r="AB23" s="239"/>
      <c r="AC23" s="239"/>
      <c r="AD23" s="239"/>
      <c r="AE23" s="243"/>
      <c r="AG23" s="239"/>
      <c r="AH23" s="239"/>
      <c r="AI23" s="239"/>
      <c r="AM23" s="240"/>
    </row>
    <row r="24" spans="1:45">
      <c r="A24" s="242">
        <f t="shared" si="23"/>
        <v>3</v>
      </c>
      <c r="B24" s="242">
        <f t="shared" si="12"/>
        <v>6215.1537166919479</v>
      </c>
      <c r="C24" s="242">
        <f t="shared" si="0"/>
        <v>4.8663366336633665E-2</v>
      </c>
      <c r="D24" s="242">
        <f t="shared" si="1"/>
        <v>0.19732673267326734</v>
      </c>
      <c r="E24" s="242">
        <f t="shared" si="13"/>
        <v>0.22644146508514285</v>
      </c>
      <c r="F24" s="242">
        <f t="shared" si="14"/>
        <v>0.21369384670934422</v>
      </c>
      <c r="G24" s="242">
        <f t="shared" si="15"/>
        <v>3.5865338219376382E-2</v>
      </c>
      <c r="H24" s="242">
        <f t="shared" si="2"/>
        <v>4.0271963926120147E-2</v>
      </c>
      <c r="I24" s="242">
        <f t="shared" si="3"/>
        <v>222.90859013457089</v>
      </c>
      <c r="J24" s="242">
        <f t="shared" si="4"/>
        <v>250.29644627390968</v>
      </c>
      <c r="K24" s="242">
        <f t="shared" si="5"/>
        <v>4.406625706743765E-3</v>
      </c>
      <c r="L24" s="242">
        <f t="shared" si="16"/>
        <v>7.4904452394161922E-2</v>
      </c>
      <c r="M24" s="242">
        <f t="shared" si="6"/>
        <v>7.5768506345490455E-2</v>
      </c>
      <c r="N24" s="242">
        <f t="shared" si="7"/>
        <v>0.71138850671148479</v>
      </c>
      <c r="O24" s="242">
        <f t="shared" si="8"/>
        <v>2.1515966880367934</v>
      </c>
      <c r="P24" s="242">
        <f t="shared" si="9"/>
        <v>1.2180267657784815E-3</v>
      </c>
      <c r="Q24" s="242">
        <f t="shared" si="17"/>
        <v>15.443398196599299</v>
      </c>
      <c r="R24" s="242">
        <f t="shared" si="18"/>
        <v>5.4232366251682675E-3</v>
      </c>
      <c r="S24" s="250">
        <f t="shared" si="19"/>
        <v>1.0847482381301148E-3</v>
      </c>
      <c r="T24" s="250">
        <f t="shared" si="24"/>
        <v>5.1398539727589478E-3</v>
      </c>
      <c r="U24" s="263">
        <f t="shared" si="25"/>
        <v>3804.7467914656745</v>
      </c>
      <c r="V24" s="263">
        <f t="shared" si="20"/>
        <v>703.68425666854773</v>
      </c>
      <c r="W24" s="1">
        <f t="shared" si="21"/>
        <v>0.3174718371216681</v>
      </c>
      <c r="X24" s="240">
        <f t="shared" si="10"/>
        <v>5.1080287245195334E-5</v>
      </c>
      <c r="Y24" s="240">
        <f t="shared" si="11"/>
        <v>5.328080023482664E-4</v>
      </c>
      <c r="Z24" s="248">
        <f t="shared" si="22"/>
        <v>-6.3936960281791968E-3</v>
      </c>
      <c r="AA24" s="239"/>
      <c r="AB24" s="239"/>
      <c r="AC24" s="239"/>
      <c r="AD24" s="239"/>
      <c r="AE24" s="243"/>
      <c r="AG24" s="239"/>
      <c r="AH24" s="239"/>
      <c r="AI24" s="239"/>
      <c r="AM24" s="240"/>
    </row>
    <row r="25" spans="1:45">
      <c r="A25" s="242">
        <f t="shared" si="23"/>
        <v>4</v>
      </c>
      <c r="B25" s="242">
        <f t="shared" si="12"/>
        <v>3393.0665661404405</v>
      </c>
      <c r="C25" s="242">
        <f t="shared" si="0"/>
        <v>4.8217821782178219E-2</v>
      </c>
      <c r="D25" s="242">
        <f t="shared" si="1"/>
        <v>0.24554455445544554</v>
      </c>
      <c r="E25" s="242">
        <f t="shared" si="13"/>
        <v>0.29735456361099649</v>
      </c>
      <c r="F25" s="242">
        <f t="shared" si="14"/>
        <v>0.275247060217716</v>
      </c>
      <c r="G25" s="242">
        <f t="shared" si="15"/>
        <v>5.9502645542081956E-2</v>
      </c>
      <c r="H25" s="242">
        <f t="shared" si="2"/>
        <v>6.9444861047324752E-2</v>
      </c>
      <c r="I25" s="242">
        <f t="shared" si="3"/>
        <v>201.89643718574382</v>
      </c>
      <c r="J25" s="242">
        <f t="shared" si="4"/>
        <v>235.63103620994622</v>
      </c>
      <c r="K25" s="242">
        <f t="shared" si="5"/>
        <v>9.9422155052427963E-3</v>
      </c>
      <c r="L25" s="242">
        <f t="shared" si="16"/>
        <v>0.11251129872946621</v>
      </c>
      <c r="M25" s="242">
        <f t="shared" si="6"/>
        <v>9.242163244076515E-2</v>
      </c>
      <c r="N25" s="242">
        <f t="shared" si="7"/>
        <v>0.9341690970403066</v>
      </c>
      <c r="O25" s="242">
        <f t="shared" si="8"/>
        <v>1.5283592990601746</v>
      </c>
      <c r="P25" s="242">
        <f t="shared" si="9"/>
        <v>1.1361615310321168E-3</v>
      </c>
      <c r="Q25" s="242">
        <f t="shared" si="17"/>
        <v>16.971757495659475</v>
      </c>
      <c r="R25" s="242">
        <f t="shared" si="18"/>
        <v>6.5593981562003844E-3</v>
      </c>
      <c r="S25" s="250">
        <f t="shared" si="19"/>
        <v>9.7350064266789338E-4</v>
      </c>
      <c r="T25" s="250">
        <f t="shared" si="24"/>
        <v>6.1133546154268411E-3</v>
      </c>
      <c r="U25" s="263">
        <f t="shared" si="25"/>
        <v>3968.3530704469017</v>
      </c>
      <c r="V25" s="263">
        <f t="shared" si="20"/>
        <v>504.47191403887655</v>
      </c>
      <c r="W25" s="1">
        <f t="shared" si="21"/>
        <v>0.14720366646760855</v>
      </c>
      <c r="X25" s="240">
        <f t="shared" si="10"/>
        <v>4.3383665954732618E-5</v>
      </c>
      <c r="Y25" s="240">
        <f t="shared" si="11"/>
        <v>4.817277151030711E-4</v>
      </c>
      <c r="Z25" s="248">
        <f t="shared" si="22"/>
        <v>-5.7807325812368532E-3</v>
      </c>
      <c r="AA25" s="239"/>
      <c r="AB25" s="239"/>
      <c r="AC25" s="239"/>
      <c r="AD25" s="239"/>
      <c r="AE25" s="243"/>
      <c r="AG25" s="239"/>
      <c r="AH25" s="239"/>
      <c r="AI25" s="239"/>
      <c r="AM25" s="240"/>
    </row>
    <row r="26" spans="1:45">
      <c r="A26" s="242">
        <f t="shared" si="23"/>
        <v>5</v>
      </c>
      <c r="B26" s="242">
        <f t="shared" si="12"/>
        <v>1852.3919515200487</v>
      </c>
      <c r="C26" s="242">
        <f t="shared" si="0"/>
        <v>4.7772277227722773E-2</v>
      </c>
      <c r="D26" s="242">
        <f t="shared" si="1"/>
        <v>0.29331683168316836</v>
      </c>
      <c r="E26" s="242">
        <f t="shared" si="13"/>
        <v>0.39047502394069028</v>
      </c>
      <c r="F26" s="242">
        <f t="shared" si="14"/>
        <v>0.35453030269767782</v>
      </c>
      <c r="G26" s="242">
        <f t="shared" si="15"/>
        <v>9.8718289085974409E-2</v>
      </c>
      <c r="H26" s="242">
        <f t="shared" si="2"/>
        <v>0.11975052259009246</v>
      </c>
      <c r="I26" s="242">
        <f t="shared" si="3"/>
        <v>182.86496417068847</v>
      </c>
      <c r="J26" s="242">
        <f t="shared" si="4"/>
        <v>221.82490423620703</v>
      </c>
      <c r="K26" s="242">
        <f t="shared" si="5"/>
        <v>2.103223350411805E-2</v>
      </c>
      <c r="L26" s="242">
        <f t="shared" si="16"/>
        <v>0.16364293076871841</v>
      </c>
      <c r="M26" s="242">
        <f t="shared" si="6"/>
        <v>0.11341604658598593</v>
      </c>
      <c r="N26" s="242">
        <f t="shared" si="7"/>
        <v>1.2267163352120725</v>
      </c>
      <c r="O26" s="242">
        <f t="shared" si="8"/>
        <v>1.0855578637771968</v>
      </c>
      <c r="P26" s="242">
        <f t="shared" si="9"/>
        <v>1.0597080821185137E-3</v>
      </c>
      <c r="Q26" s="242">
        <f t="shared" si="17"/>
        <v>18.057315359436672</v>
      </c>
      <c r="R26" s="242">
        <f t="shared" si="18"/>
        <v>7.6191062383188981E-3</v>
      </c>
      <c r="S26" s="250">
        <f t="shared" si="19"/>
        <v>8.7358757635997211E-4</v>
      </c>
      <c r="T26" s="250">
        <f t="shared" si="24"/>
        <v>6.9869421917868133E-3</v>
      </c>
      <c r="U26" s="263">
        <f t="shared" si="25"/>
        <v>4056.8460522893197</v>
      </c>
      <c r="V26" s="263">
        <f t="shared" si="20"/>
        <v>361.6563958086665</v>
      </c>
      <c r="W26" s="1">
        <f t="shared" si="21"/>
        <v>6.8248791700523906E-2</v>
      </c>
      <c r="X26" s="240">
        <f t="shared" si="10"/>
        <v>3.6843601941003816E-5</v>
      </c>
      <c r="Y26" s="240">
        <f t="shared" si="11"/>
        <v>4.3834404914833846E-4</v>
      </c>
      <c r="Z26" s="248">
        <f t="shared" si="22"/>
        <v>-5.2601285897800618E-3</v>
      </c>
      <c r="AA26" s="239"/>
      <c r="AB26" s="239"/>
      <c r="AC26" s="239"/>
      <c r="AD26" s="239"/>
      <c r="AE26" s="243"/>
      <c r="AG26" s="239"/>
      <c r="AH26" s="239"/>
      <c r="AI26" s="239"/>
      <c r="AM26" s="240"/>
    </row>
    <row r="27" spans="1:45">
      <c r="A27" s="242">
        <f t="shared" si="23"/>
        <v>6</v>
      </c>
      <c r="B27" s="242">
        <f t="shared" si="12"/>
        <v>1011.2845932048328</v>
      </c>
      <c r="C27" s="242">
        <f t="shared" si="0"/>
        <v>4.7326732673267327E-2</v>
      </c>
      <c r="D27" s="242">
        <f t="shared" si="1"/>
        <v>0.34064356435643567</v>
      </c>
      <c r="E27" s="242">
        <f t="shared" si="13"/>
        <v>0.51275737109905961</v>
      </c>
      <c r="F27" s="242">
        <f t="shared" si="14"/>
        <v>0.45665060121436707</v>
      </c>
      <c r="G27" s="242">
        <f t="shared" si="15"/>
        <v>0.16377928260634847</v>
      </c>
      <c r="H27" s="242">
        <f t="shared" si="2"/>
        <v>0.20649746351753528</v>
      </c>
      <c r="I27" s="242">
        <f t="shared" si="3"/>
        <v>165.62746518594048</v>
      </c>
      <c r="J27" s="242">
        <f t="shared" si="4"/>
        <v>208.82770339116047</v>
      </c>
      <c r="K27" s="242">
        <f t="shared" si="5"/>
        <v>4.2718180911186815E-2</v>
      </c>
      <c r="L27" s="242">
        <f t="shared" si="16"/>
        <v>0.23321738791731594</v>
      </c>
      <c r="M27" s="242">
        <f t="shared" si="6"/>
        <v>0.13976999159087183</v>
      </c>
      <c r="N27" s="242">
        <f t="shared" si="7"/>
        <v>1.6108785570448056</v>
      </c>
      <c r="O27" s="242">
        <f t="shared" si="8"/>
        <v>0.770979293538541</v>
      </c>
      <c r="P27" s="242">
        <f t="shared" si="9"/>
        <v>9.883132893165811E-4</v>
      </c>
      <c r="Q27" s="242">
        <f t="shared" si="17"/>
        <v>18.828294652975213</v>
      </c>
      <c r="R27" s="242">
        <f t="shared" si="18"/>
        <v>8.6074195276354785E-3</v>
      </c>
      <c r="S27" s="250">
        <f t="shared" si="19"/>
        <v>7.8386067682058964E-4</v>
      </c>
      <c r="T27" s="250">
        <f t="shared" si="24"/>
        <v>7.7708028686074033E-3</v>
      </c>
      <c r="U27" s="263">
        <f t="shared" si="25"/>
        <v>4104.7068478885185</v>
      </c>
      <c r="V27" s="263">
        <f t="shared" si="20"/>
        <v>259.27181472234599</v>
      </c>
      <c r="W27" s="1">
        <f t="shared" si="21"/>
        <v>3.1639785381462893E-2</v>
      </c>
      <c r="X27" s="240">
        <f t="shared" si="10"/>
        <v>3.1286727390154496E-5</v>
      </c>
      <c r="Y27" s="240">
        <f t="shared" si="11"/>
        <v>4.0150044720733464E-4</v>
      </c>
      <c r="Z27" s="248">
        <f t="shared" si="22"/>
        <v>-4.8180053664880155E-3</v>
      </c>
      <c r="AA27" s="239"/>
      <c r="AB27" s="239"/>
      <c r="AC27" s="239"/>
      <c r="AD27" s="239"/>
      <c r="AE27" s="243"/>
      <c r="AG27" s="239"/>
      <c r="AH27" s="239"/>
      <c r="AI27" s="239"/>
      <c r="AM27" s="240"/>
    </row>
    <row r="28" spans="1:45">
      <c r="A28" s="242">
        <f t="shared" si="23"/>
        <v>7</v>
      </c>
      <c r="B28" s="242">
        <f t="shared" si="12"/>
        <v>552.09510471812018</v>
      </c>
      <c r="C28" s="242">
        <f t="shared" si="0"/>
        <v>4.6881188118811881E-2</v>
      </c>
      <c r="D28" s="242">
        <f t="shared" si="1"/>
        <v>0.38752475247524754</v>
      </c>
      <c r="E28" s="242">
        <f t="shared" si="13"/>
        <v>0.67333403033827333</v>
      </c>
      <c r="F28" s="242">
        <f t="shared" si="14"/>
        <v>0.58818603093362232</v>
      </c>
      <c r="G28" s="242">
        <f t="shared" si="15"/>
        <v>0.27171918860637095</v>
      </c>
      <c r="H28" s="242">
        <f t="shared" si="2"/>
        <v>0.35608364386965713</v>
      </c>
      <c r="I28" s="242">
        <f t="shared" si="3"/>
        <v>150.01483388755702</v>
      </c>
      <c r="J28" s="242">
        <f t="shared" si="4"/>
        <v>196.59203665062816</v>
      </c>
      <c r="K28" s="242">
        <f t="shared" si="5"/>
        <v>8.4364455263286176E-2</v>
      </c>
      <c r="L28" s="242">
        <f t="shared" si="16"/>
        <v>0.32774366420441248</v>
      </c>
      <c r="M28" s="242">
        <f t="shared" si="6"/>
        <v>0.17279518306693042</v>
      </c>
      <c r="N28" s="242">
        <f t="shared" si="7"/>
        <v>2.1153461897107193</v>
      </c>
      <c r="O28" s="242">
        <f t="shared" si="8"/>
        <v>0.54751239875686897</v>
      </c>
      <c r="P28" s="242">
        <f t="shared" si="9"/>
        <v>9.216468252878458E-4</v>
      </c>
      <c r="Q28" s="242">
        <f t="shared" si="17"/>
        <v>19.375807051732082</v>
      </c>
      <c r="R28" s="242">
        <f t="shared" si="18"/>
        <v>9.5290663529233252E-3</v>
      </c>
      <c r="S28" s="250">
        <f t="shared" si="19"/>
        <v>7.0328736480948755E-4</v>
      </c>
      <c r="T28" s="250">
        <f t="shared" si="24"/>
        <v>8.4740902334168901E-3</v>
      </c>
      <c r="U28" s="263">
        <f t="shared" si="25"/>
        <v>4130.5897223522834</v>
      </c>
      <c r="V28" s="263">
        <f t="shared" si="20"/>
        <v>185.87221099494147</v>
      </c>
      <c r="W28" s="1">
        <f t="shared" si="21"/>
        <v>1.4666740187317343E-2</v>
      </c>
      <c r="X28" s="240">
        <f t="shared" si="10"/>
        <v>2.65656044800572E-5</v>
      </c>
      <c r="Y28" s="240">
        <f t="shared" si="11"/>
        <v>3.7021371981718013E-4</v>
      </c>
      <c r="Z28" s="248">
        <f t="shared" si="22"/>
        <v>-4.4425646378061616E-3</v>
      </c>
      <c r="AA28" s="239"/>
      <c r="AB28" s="239"/>
      <c r="AC28" s="239"/>
      <c r="AD28" s="239"/>
      <c r="AE28" s="243"/>
      <c r="AG28" s="239"/>
      <c r="AH28" s="239"/>
      <c r="AI28" s="239"/>
      <c r="AM28" s="240"/>
    </row>
    <row r="29" spans="1:45">
      <c r="A29" s="242">
        <f t="shared" si="23"/>
        <v>8</v>
      </c>
      <c r="B29" s="242">
        <f t="shared" si="12"/>
        <v>301.40774090876897</v>
      </c>
      <c r="C29" s="242">
        <f t="shared" si="0"/>
        <v>4.6435643564356435E-2</v>
      </c>
      <c r="D29" s="242">
        <f t="shared" si="1"/>
        <v>0.43396039603960396</v>
      </c>
      <c r="E29" s="242">
        <f t="shared" si="13"/>
        <v>0.88419736500286139</v>
      </c>
      <c r="F29" s="242">
        <f t="shared" si="14"/>
        <v>0.75760944158494981</v>
      </c>
      <c r="G29" s="242">
        <f t="shared" si="15"/>
        <v>0.45079766061963911</v>
      </c>
      <c r="H29" s="242">
        <f t="shared" si="2"/>
        <v>0.61402963151034373</v>
      </c>
      <c r="I29" s="242">
        <f t="shared" si="3"/>
        <v>135.87390449432334</v>
      </c>
      <c r="J29" s="242">
        <f t="shared" si="4"/>
        <v>185.07328408457656</v>
      </c>
      <c r="K29" s="242">
        <f t="shared" si="5"/>
        <v>0.16323197089070463</v>
      </c>
      <c r="L29" s="242">
        <f t="shared" si="16"/>
        <v>0.45588695342084951</v>
      </c>
      <c r="M29" s="242">
        <f t="shared" si="6"/>
        <v>0.21415520579100594</v>
      </c>
      <c r="N29" s="242">
        <f t="shared" si="7"/>
        <v>2.7777944418929894</v>
      </c>
      <c r="O29" s="242">
        <f t="shared" si="8"/>
        <v>0.38878184410823108</v>
      </c>
      <c r="P29" s="242">
        <f t="shared" si="9"/>
        <v>8.5939970530362795E-4</v>
      </c>
      <c r="Q29" s="242">
        <f t="shared" si="17"/>
        <v>19.764588895840312</v>
      </c>
      <c r="R29" s="242">
        <f t="shared" si="18"/>
        <v>1.0388466058226953E-2</v>
      </c>
      <c r="S29" s="250">
        <f t="shared" si="19"/>
        <v>6.3093921987958065E-4</v>
      </c>
      <c r="T29" s="250">
        <f t="shared" si="24"/>
        <v>9.1050294532964704E-3</v>
      </c>
      <c r="U29" s="263">
        <f t="shared" si="25"/>
        <v>4144.5857847766611</v>
      </c>
      <c r="V29" s="263">
        <f t="shared" si="20"/>
        <v>133.25196515149935</v>
      </c>
      <c r="W29" s="1">
        <f t="shared" si="21"/>
        <v>6.7982078907307432E-3</v>
      </c>
      <c r="X29" s="240">
        <f t="shared" si="10"/>
        <v>2.2554854995540561E-5</v>
      </c>
      <c r="Y29" s="240">
        <f t="shared" si="11"/>
        <v>3.4364811533712294E-4</v>
      </c>
      <c r="Z29" s="248">
        <f t="shared" si="22"/>
        <v>-4.1237773840454755E-3</v>
      </c>
      <c r="AA29" s="239"/>
      <c r="AB29" s="239"/>
      <c r="AC29" s="239"/>
      <c r="AD29" s="239"/>
      <c r="AE29" s="243"/>
      <c r="AG29" s="239"/>
      <c r="AH29" s="239"/>
      <c r="AI29" s="239"/>
      <c r="AM29" s="240"/>
    </row>
    <row r="30" spans="1:45">
      <c r="A30" s="242">
        <f t="shared" si="23"/>
        <v>9</v>
      </c>
      <c r="B30" s="242">
        <f t="shared" si="12"/>
        <v>164.54887120600463</v>
      </c>
      <c r="C30" s="242">
        <f t="shared" si="0"/>
        <v>4.5990099009900989E-2</v>
      </c>
      <c r="D30" s="242">
        <f t="shared" si="1"/>
        <v>0.47995049504950493</v>
      </c>
      <c r="E30" s="242">
        <f t="shared" si="13"/>
        <v>1.1610953034487737</v>
      </c>
      <c r="F30" s="242">
        <f t="shared" si="14"/>
        <v>0.97583423575632811</v>
      </c>
      <c r="G30" s="242">
        <f t="shared" si="15"/>
        <v>0.74789907868646721</v>
      </c>
      <c r="H30" s="242">
        <f t="shared" si="2"/>
        <v>1.0588309653187542</v>
      </c>
      <c r="I30" s="242">
        <f t="shared" si="3"/>
        <v>123.06594917386901</v>
      </c>
      <c r="J30" s="242">
        <f t="shared" si="4"/>
        <v>174.22944014116524</v>
      </c>
      <c r="K30" s="242">
        <f t="shared" si="5"/>
        <v>0.31093188663228699</v>
      </c>
      <c r="L30" s="242">
        <f t="shared" si="16"/>
        <v>0.62919778131892901</v>
      </c>
      <c r="M30" s="242">
        <f t="shared" si="6"/>
        <v>0.26594876106492232</v>
      </c>
      <c r="N30" s="242">
        <f t="shared" si="7"/>
        <v>3.6476970053146673</v>
      </c>
      <c r="O30" s="242">
        <f t="shared" si="8"/>
        <v>0.27604380721311994</v>
      </c>
      <c r="P30" s="242">
        <f t="shared" si="9"/>
        <v>8.0128292025318057E-4</v>
      </c>
      <c r="Q30" s="242">
        <f t="shared" si="17"/>
        <v>20.040632703053433</v>
      </c>
      <c r="R30" s="242">
        <f t="shared" si="18"/>
        <v>1.1189748978480135E-2</v>
      </c>
      <c r="S30" s="250">
        <f t="shared" si="19"/>
        <v>5.659815187253679E-4</v>
      </c>
      <c r="T30" s="250">
        <f t="shared" si="24"/>
        <v>9.6710109720218387E-3</v>
      </c>
      <c r="U30" s="263">
        <f t="shared" si="25"/>
        <v>4152.153403655393</v>
      </c>
      <c r="V30" s="263">
        <f t="shared" si="20"/>
        <v>95.528460772544562</v>
      </c>
      <c r="W30" s="1">
        <f t="shared" si="21"/>
        <v>3.1507598309127981E-3</v>
      </c>
      <c r="X30" s="240">
        <f t="shared" si="10"/>
        <v>1.914786657495966E-5</v>
      </c>
      <c r="Y30" s="240">
        <f t="shared" si="11"/>
        <v>3.2109326034158238E-4</v>
      </c>
      <c r="Z30" s="248">
        <f t="shared" si="22"/>
        <v>-3.8531191240989884E-3</v>
      </c>
      <c r="AA30" s="239"/>
      <c r="AB30" s="239"/>
      <c r="AC30" s="239"/>
      <c r="AD30" s="239"/>
      <c r="AE30" s="243"/>
      <c r="AG30" s="239"/>
      <c r="AH30" s="239"/>
      <c r="AI30" s="239"/>
      <c r="AM30" s="240"/>
    </row>
    <row r="31" spans="1:45">
      <c r="A31" s="242">
        <f t="shared" si="23"/>
        <v>10</v>
      </c>
      <c r="B31" s="242">
        <f t="shared" si="12"/>
        <v>89.832898563032757</v>
      </c>
      <c r="C31" s="242">
        <f t="shared" si="0"/>
        <v>4.5544554455445543E-2</v>
      </c>
      <c r="D31" s="242">
        <f t="shared" si="1"/>
        <v>0.52549504950495052</v>
      </c>
      <c r="E31" s="242">
        <f t="shared" si="13"/>
        <v>1.5247074432148267</v>
      </c>
      <c r="F31" s="242">
        <f t="shared" si="14"/>
        <v>1.2569173553090707</v>
      </c>
      <c r="G31" s="242">
        <f t="shared" si="15"/>
        <v>1.2408073083857927</v>
      </c>
      <c r="H31" s="242">
        <f t="shared" si="2"/>
        <v>1.8258451312197925</v>
      </c>
      <c r="I31" s="242">
        <f t="shared" si="3"/>
        <v>111.46531707049061</v>
      </c>
      <c r="J31" s="242">
        <f t="shared" si="4"/>
        <v>164.02096046467486</v>
      </c>
      <c r="K31" s="242">
        <f t="shared" si="5"/>
        <v>0.58503782283399985</v>
      </c>
      <c r="L31" s="242">
        <f t="shared" si="16"/>
        <v>0.86307099900155659</v>
      </c>
      <c r="M31" s="242">
        <f t="shared" si="6"/>
        <v>0.33081822210663503</v>
      </c>
      <c r="N31" s="242">
        <f t="shared" si="7"/>
        <v>4.7900209036036996</v>
      </c>
      <c r="O31" s="242">
        <f t="shared" si="8"/>
        <v>0.19597888365959334</v>
      </c>
      <c r="P31" s="242">
        <f t="shared" si="9"/>
        <v>7.470261565717866E-4</v>
      </c>
      <c r="Q31" s="242">
        <f t="shared" si="17"/>
        <v>20.236611586713025</v>
      </c>
      <c r="R31" s="242">
        <f t="shared" si="18"/>
        <v>1.1936775135051921E-2</v>
      </c>
      <c r="S31" s="250">
        <f t="shared" si="19"/>
        <v>5.0766382032104633E-4</v>
      </c>
      <c r="T31" s="250">
        <f t="shared" si="24"/>
        <v>1.0178674792342884E-2</v>
      </c>
      <c r="U31" s="263">
        <f t="shared" si="25"/>
        <v>4156.2448029958878</v>
      </c>
      <c r="V31" s="263">
        <f t="shared" si="20"/>
        <v>68.484444542309276</v>
      </c>
      <c r="W31" s="1">
        <f t="shared" si="21"/>
        <v>1.4601430192007928E-3</v>
      </c>
      <c r="X31" s="240">
        <f t="shared" si="10"/>
        <v>1.6253989825077935E-5</v>
      </c>
      <c r="Y31" s="240">
        <f t="shared" si="11"/>
        <v>3.0194539376662274E-4</v>
      </c>
      <c r="Z31" s="248">
        <f t="shared" si="22"/>
        <v>-3.6233447251994731E-3</v>
      </c>
      <c r="AA31" s="239"/>
      <c r="AB31" s="239"/>
      <c r="AC31" s="239"/>
      <c r="AD31" s="239"/>
      <c r="AE31" s="243"/>
      <c r="AG31" s="239"/>
      <c r="AH31" s="239"/>
      <c r="AI31" s="239"/>
      <c r="AM31" s="240"/>
    </row>
    <row r="32" spans="1:45">
      <c r="A32" s="242">
        <f t="shared" si="23"/>
        <v>11</v>
      </c>
      <c r="B32" s="242">
        <f t="shared" si="12"/>
        <v>49.042874649277131</v>
      </c>
      <c r="C32" s="242">
        <f t="shared" si="0"/>
        <v>4.5099009900990097E-2</v>
      </c>
      <c r="D32" s="242">
        <f t="shared" si="1"/>
        <v>0.57059405940594066</v>
      </c>
      <c r="E32" s="242">
        <f t="shared" si="13"/>
        <v>2.0021894675567071</v>
      </c>
      <c r="F32" s="242">
        <f t="shared" si="14"/>
        <v>1.6189647587560607</v>
      </c>
      <c r="G32" s="242">
        <f t="shared" si="15"/>
        <v>2.0585702274798825</v>
      </c>
      <c r="H32" s="242">
        <f t="shared" si="2"/>
        <v>3.1484821963016807</v>
      </c>
      <c r="I32" s="242">
        <f t="shared" si="3"/>
        <v>100.95820162302978</v>
      </c>
      <c r="J32" s="242">
        <f t="shared" si="4"/>
        <v>154.41061768870409</v>
      </c>
      <c r="K32" s="242">
        <f t="shared" si="5"/>
        <v>1.0899119688217982</v>
      </c>
      <c r="L32" s="242">
        <f t="shared" si="16"/>
        <v>1.1780134862984124</v>
      </c>
      <c r="M32" s="242">
        <f t="shared" si="6"/>
        <v>0.41208799062914736</v>
      </c>
      <c r="N32" s="242">
        <f t="shared" si="7"/>
        <v>6.2900784312761511</v>
      </c>
      <c r="O32" s="242">
        <f t="shared" si="8"/>
        <v>0.13912301685332149</v>
      </c>
      <c r="P32" s="242">
        <f t="shared" si="9"/>
        <v>6.9637659759608629E-4</v>
      </c>
      <c r="Q32" s="242">
        <f t="shared" si="17"/>
        <v>20.375734603566347</v>
      </c>
      <c r="R32" s="242">
        <f t="shared" si="18"/>
        <v>1.2633151732648007E-2</v>
      </c>
      <c r="S32" s="250">
        <f t="shared" si="19"/>
        <v>4.5531149345831741E-4</v>
      </c>
      <c r="T32" s="250">
        <f t="shared" si="24"/>
        <v>1.0633986285801202E-2</v>
      </c>
      <c r="U32" s="263">
        <f t="shared" si="25"/>
        <v>4158.4565880852688</v>
      </c>
      <c r="V32" s="263">
        <f t="shared" si="20"/>
        <v>49.096563540743254</v>
      </c>
      <c r="W32" s="1">
        <f t="shared" si="21"/>
        <v>6.7660301579523232E-4</v>
      </c>
      <c r="X32" s="240">
        <f t="shared" si="10"/>
        <v>1.3796153276777897E-5</v>
      </c>
      <c r="Y32" s="240">
        <f t="shared" si="11"/>
        <v>2.8569140394154479E-4</v>
      </c>
      <c r="Z32" s="248">
        <f t="shared" si="22"/>
        <v>-3.4282968472985377E-3</v>
      </c>
      <c r="AA32" s="239"/>
      <c r="AB32" s="239"/>
      <c r="AC32" s="239"/>
      <c r="AD32" s="239"/>
      <c r="AE32" s="243"/>
      <c r="AG32" s="239"/>
      <c r="AH32" s="239"/>
      <c r="AI32" s="239"/>
      <c r="AM32" s="240"/>
    </row>
    <row r="33" spans="1:39">
      <c r="A33" s="242">
        <f t="shared" si="23"/>
        <v>12</v>
      </c>
      <c r="B33" s="242">
        <f t="shared" si="12"/>
        <v>26.774195114911695</v>
      </c>
      <c r="C33" s="242">
        <f t="shared" si="0"/>
        <v>4.4653465346534651E-2</v>
      </c>
      <c r="D33" s="242">
        <f t="shared" si="1"/>
        <v>0.61524752475247524</v>
      </c>
      <c r="E33" s="242">
        <f t="shared" si="13"/>
        <v>2.6292012161641876</v>
      </c>
      <c r="F33" s="242">
        <f t="shared" si="14"/>
        <v>2.0852977158944284</v>
      </c>
      <c r="G33" s="242">
        <f t="shared" si="15"/>
        <v>3.4152856392984638</v>
      </c>
      <c r="H33" s="242">
        <f t="shared" si="2"/>
        <v>5.4292338221512368</v>
      </c>
      <c r="I33" s="242">
        <f t="shared" si="3"/>
        <v>91.441524079733</v>
      </c>
      <c r="J33" s="242">
        <f t="shared" si="4"/>
        <v>145.363365678755</v>
      </c>
      <c r="K33" s="242">
        <f t="shared" si="5"/>
        <v>2.013948182852773</v>
      </c>
      <c r="L33" s="242">
        <f t="shared" si="16"/>
        <v>1.6013221010042678</v>
      </c>
      <c r="M33" s="242">
        <f t="shared" si="6"/>
        <v>0.5139395575799599</v>
      </c>
      <c r="N33" s="242">
        <f t="shared" si="7"/>
        <v>8.2598985407014123</v>
      </c>
      <c r="O33" s="242">
        <f t="shared" si="8"/>
        <v>9.8752092035949909E-2</v>
      </c>
      <c r="P33" s="242">
        <f t="shared" si="9"/>
        <v>6.490978011991931E-4</v>
      </c>
      <c r="Q33" s="242">
        <f t="shared" si="17"/>
        <v>20.474486695602298</v>
      </c>
      <c r="R33" s="242">
        <f t="shared" si="18"/>
        <v>1.32822495338472E-2</v>
      </c>
      <c r="S33" s="250">
        <f t="shared" si="19"/>
        <v>4.0831809267286717E-4</v>
      </c>
      <c r="T33" s="250">
        <f t="shared" si="24"/>
        <v>1.1042304378474069E-2</v>
      </c>
      <c r="U33" s="263">
        <f t="shared" si="25"/>
        <v>4159.6521486790134</v>
      </c>
      <c r="V33" s="263">
        <f t="shared" si="20"/>
        <v>35.197373178971539</v>
      </c>
      <c r="W33" s="1">
        <f t="shared" si="21"/>
        <v>3.134946061169652E-4</v>
      </c>
      <c r="X33" s="240">
        <f t="shared" si="10"/>
        <v>1.1708834001227049E-5</v>
      </c>
      <c r="Y33" s="240">
        <f t="shared" si="11"/>
        <v>2.7189525066476691E-4</v>
      </c>
      <c r="Z33" s="248">
        <f t="shared" si="22"/>
        <v>-3.2627430079772029E-3</v>
      </c>
      <c r="AA33" s="239"/>
      <c r="AB33" s="239"/>
      <c r="AC33" s="239"/>
      <c r="AD33" s="239"/>
      <c r="AE33" s="243"/>
      <c r="AG33" s="239"/>
      <c r="AH33" s="239"/>
      <c r="AI33" s="239"/>
      <c r="AM33" s="240"/>
    </row>
    <row r="34" spans="1:39">
      <c r="A34" s="242">
        <f t="shared" si="23"/>
        <v>13</v>
      </c>
      <c r="B34" s="242">
        <f t="shared" si="12"/>
        <v>14.616955657225681</v>
      </c>
      <c r="C34" s="242">
        <f t="shared" si="0"/>
        <v>4.4207920792079212E-2</v>
      </c>
      <c r="D34" s="242">
        <f t="shared" si="1"/>
        <v>0.65945544554455449</v>
      </c>
      <c r="E34" s="242">
        <f t="shared" si="13"/>
        <v>3.4525698726778766</v>
      </c>
      <c r="F34" s="242">
        <f t="shared" si="14"/>
        <v>2.6859550465173108</v>
      </c>
      <c r="G34" s="242">
        <f t="shared" si="15"/>
        <v>5.6661540336555349</v>
      </c>
      <c r="H34" s="242">
        <f t="shared" si="2"/>
        <v>9.3621554951827886</v>
      </c>
      <c r="I34" s="242">
        <f t="shared" si="3"/>
        <v>82.821922256953385</v>
      </c>
      <c r="J34" s="242">
        <f t="shared" si="4"/>
        <v>136.84621172913856</v>
      </c>
      <c r="K34" s="242">
        <f t="shared" si="5"/>
        <v>3.6960014615272536</v>
      </c>
      <c r="L34" s="242">
        <f t="shared" si="16"/>
        <v>2.1693050070958488</v>
      </c>
      <c r="M34" s="242">
        <f t="shared" si="6"/>
        <v>0.6416324327910139</v>
      </c>
      <c r="N34" s="242">
        <f t="shared" si="7"/>
        <v>10.846593512004818</v>
      </c>
      <c r="O34" s="242">
        <f t="shared" si="8"/>
        <v>7.0089083922007467E-2</v>
      </c>
      <c r="P34" s="242">
        <f t="shared" si="9"/>
        <v>6.0496864888178576E-4</v>
      </c>
      <c r="Q34" s="242">
        <f t="shared" si="17"/>
        <v>20.544575779524305</v>
      </c>
      <c r="R34" s="242">
        <f t="shared" si="18"/>
        <v>1.3887218182728986E-2</v>
      </c>
      <c r="S34" s="250">
        <f t="shared" si="19"/>
        <v>3.6613849789831379E-4</v>
      </c>
      <c r="T34" s="250">
        <f t="shared" si="24"/>
        <v>1.1408442876372382E-2</v>
      </c>
      <c r="U34" s="263">
        <f t="shared" si="25"/>
        <v>4160.2983338969298</v>
      </c>
      <c r="V34" s="263">
        <f t="shared" si="20"/>
        <v>25.233030366202918</v>
      </c>
      <c r="W34" s="1">
        <f t="shared" si="21"/>
        <v>1.4523890881044141E-4</v>
      </c>
      <c r="X34" s="240">
        <f t="shared" si="10"/>
        <v>9.9363309444429106E-6</v>
      </c>
      <c r="Y34" s="240">
        <f t="shared" si="11"/>
        <v>2.6018641666353986E-4</v>
      </c>
      <c r="Z34" s="248">
        <f t="shared" si="22"/>
        <v>-3.1222369999624783E-3</v>
      </c>
      <c r="AA34" s="239"/>
      <c r="AB34" s="239"/>
      <c r="AC34" s="239"/>
      <c r="AD34" s="239"/>
      <c r="AE34" s="243"/>
      <c r="AG34" s="239"/>
      <c r="AH34" s="239"/>
      <c r="AI34" s="239"/>
      <c r="AM34" s="240"/>
    </row>
    <row r="35" spans="1:39">
      <c r="A35" s="242">
        <f t="shared" si="23"/>
        <v>14</v>
      </c>
      <c r="B35" s="242">
        <f t="shared" si="12"/>
        <v>7.9798997418341813</v>
      </c>
      <c r="C35" s="242">
        <f t="shared" si="0"/>
        <v>4.3762376237623767E-2</v>
      </c>
      <c r="D35" s="242">
        <f t="shared" si="1"/>
        <v>0.70321782178217818</v>
      </c>
      <c r="E35" s="242">
        <f t="shared" si="13"/>
        <v>4.5337871641158278</v>
      </c>
      <c r="F35" s="242">
        <f t="shared" si="14"/>
        <v>3.4596280698544812</v>
      </c>
      <c r="G35" s="242">
        <f t="shared" si="15"/>
        <v>9.4004733202068493</v>
      </c>
      <c r="H35" s="242">
        <f t="shared" si="2"/>
        <v>16.144074539278428</v>
      </c>
      <c r="I35" s="242">
        <f t="shared" si="3"/>
        <v>75.01483462103775</v>
      </c>
      <c r="J35" s="242">
        <f t="shared" si="4"/>
        <v>128.8280962481397</v>
      </c>
      <c r="K35" s="242">
        <f t="shared" si="5"/>
        <v>6.7436012190715786</v>
      </c>
      <c r="L35" s="242">
        <f t="shared" si="16"/>
        <v>2.930221777916544</v>
      </c>
      <c r="M35" s="242">
        <f t="shared" si="6"/>
        <v>0.8017826930996419</v>
      </c>
      <c r="N35" s="242">
        <f t="shared" si="7"/>
        <v>14.243345754786285</v>
      </c>
      <c r="O35" s="242">
        <f t="shared" si="8"/>
        <v>4.9740523001258946E-2</v>
      </c>
      <c r="P35" s="242">
        <f t="shared" si="9"/>
        <v>5.637823617987898E-4</v>
      </c>
      <c r="Q35" s="242">
        <f t="shared" si="17"/>
        <v>20.594316302525563</v>
      </c>
      <c r="R35" s="242">
        <f t="shared" si="18"/>
        <v>1.4451000544527776E-2</v>
      </c>
      <c r="S35" s="250">
        <f t="shared" si="19"/>
        <v>3.2828274160889793E-4</v>
      </c>
      <c r="T35" s="250">
        <f t="shared" si="24"/>
        <v>1.1736725617981281E-2</v>
      </c>
      <c r="U35" s="263">
        <f t="shared" si="25"/>
        <v>4160.6475532717704</v>
      </c>
      <c r="V35" s="263">
        <f t="shared" si="20"/>
        <v>18.089583510229509</v>
      </c>
      <c r="W35" s="1">
        <f t="shared" si="21"/>
        <v>6.7280896023659382E-5</v>
      </c>
      <c r="X35" s="240">
        <f t="shared" si="10"/>
        <v>8.431295906005312E-6</v>
      </c>
      <c r="Y35" s="240">
        <f t="shared" si="11"/>
        <v>2.5025008571909695E-4</v>
      </c>
      <c r="Z35" s="248">
        <f t="shared" si="22"/>
        <v>-3.0030010286291632E-3</v>
      </c>
      <c r="AA35" s="239"/>
      <c r="AB35" s="239"/>
      <c r="AC35" s="239"/>
      <c r="AD35" s="239"/>
      <c r="AE35" s="243"/>
      <c r="AG35" s="239"/>
      <c r="AH35" s="239"/>
      <c r="AI35" s="239"/>
      <c r="AM35" s="240"/>
    </row>
    <row r="36" spans="1:39">
      <c r="A36" s="242">
        <f t="shared" si="23"/>
        <v>15</v>
      </c>
      <c r="B36" s="242">
        <f t="shared" si="12"/>
        <v>4.3565022281672272</v>
      </c>
      <c r="C36" s="242">
        <f t="shared" si="0"/>
        <v>4.3316831683168321E-2</v>
      </c>
      <c r="D36" s="242">
        <f t="shared" si="1"/>
        <v>0.74653465346534653</v>
      </c>
      <c r="E36" s="242">
        <f t="shared" si="13"/>
        <v>5.953601753918579</v>
      </c>
      <c r="F36" s="242">
        <f t="shared" si="14"/>
        <v>4.4561529044368973</v>
      </c>
      <c r="G36" s="242">
        <f t="shared" si="15"/>
        <v>15.595922405044384</v>
      </c>
      <c r="H36" s="242">
        <f t="shared" si="2"/>
        <v>27.83879661728367</v>
      </c>
      <c r="I36" s="242">
        <f t="shared" si="3"/>
        <v>67.943670707899045</v>
      </c>
      <c r="J36" s="242">
        <f t="shared" si="4"/>
        <v>121.27977949269058</v>
      </c>
      <c r="K36" s="242">
        <f t="shared" si="5"/>
        <v>12.242874212239286</v>
      </c>
      <c r="L36" s="242">
        <f t="shared" si="16"/>
        <v>3.9481736456925223</v>
      </c>
      <c r="M36" s="242">
        <f t="shared" si="6"/>
        <v>1.0027140541130284</v>
      </c>
      <c r="N36" s="242">
        <f t="shared" si="7"/>
        <v>18.703835270110609</v>
      </c>
      <c r="O36" s="242">
        <f t="shared" si="8"/>
        <v>3.5295983923673731E-2</v>
      </c>
      <c r="P36" s="242">
        <f t="shared" si="9"/>
        <v>5.2534557948566462E-4</v>
      </c>
      <c r="Q36" s="242">
        <f t="shared" si="17"/>
        <v>20.629612286449238</v>
      </c>
      <c r="R36" s="242">
        <f t="shared" si="18"/>
        <v>1.497634612401344E-2</v>
      </c>
      <c r="S36" s="250">
        <f t="shared" si="19"/>
        <v>2.943104547990677E-4</v>
      </c>
      <c r="T36" s="250">
        <f t="shared" si="24"/>
        <v>1.2031036072780348E-2</v>
      </c>
      <c r="U36" s="263">
        <f t="shared" si="25"/>
        <v>4160.8362631455157</v>
      </c>
      <c r="V36" s="263">
        <f t="shared" si="20"/>
        <v>12.968439653283301</v>
      </c>
      <c r="W36" s="1">
        <f t="shared" si="21"/>
        <v>3.1164168061545239E-5</v>
      </c>
      <c r="X36" s="240">
        <f t="shared" si="10"/>
        <v>7.1534837879919899E-6</v>
      </c>
      <c r="Y36" s="240">
        <f t="shared" si="11"/>
        <v>2.4181878981309162E-4</v>
      </c>
      <c r="Z36" s="248">
        <f t="shared" si="22"/>
        <v>-2.9018254777570993E-3</v>
      </c>
      <c r="AA36" s="239"/>
      <c r="AB36" s="239"/>
      <c r="AC36" s="239"/>
      <c r="AD36" s="239"/>
      <c r="AE36" s="243"/>
      <c r="AG36" s="239"/>
      <c r="AH36" s="239"/>
      <c r="AI36" s="239"/>
      <c r="AM36" s="240"/>
    </row>
    <row r="37" spans="1:39">
      <c r="A37" s="242">
        <f t="shared" si="23"/>
        <v>16</v>
      </c>
      <c r="B37" s="242">
        <f t="shared" si="12"/>
        <v>2.378364676003268</v>
      </c>
      <c r="C37" s="242">
        <f t="shared" si="0"/>
        <v>4.2871287128712875E-2</v>
      </c>
      <c r="D37" s="242">
        <f t="shared" si="1"/>
        <v>0.78940594059405944</v>
      </c>
      <c r="E37" s="242">
        <f t="shared" si="13"/>
        <v>7.8180498027800329</v>
      </c>
      <c r="F37" s="242">
        <f t="shared" si="14"/>
        <v>5.7397206597865944</v>
      </c>
      <c r="G37" s="242">
        <f t="shared" si="15"/>
        <v>25.874526460420086</v>
      </c>
      <c r="H37" s="242">
        <f t="shared" si="2"/>
        <v>48.005142395305398</v>
      </c>
      <c r="I37" s="242">
        <f t="shared" si="3"/>
        <v>61.539059741774999</v>
      </c>
      <c r="J37" s="242">
        <f t="shared" si="4"/>
        <v>114.17373493950127</v>
      </c>
      <c r="K37" s="242">
        <f t="shared" si="5"/>
        <v>22.130615934885313</v>
      </c>
      <c r="L37" s="242">
        <f t="shared" si="16"/>
        <v>5.3082491903044504</v>
      </c>
      <c r="M37" s="242">
        <f t="shared" si="6"/>
        <v>1.2549003062377913</v>
      </c>
      <c r="N37" s="242">
        <f t="shared" si="7"/>
        <v>24.561185260413751</v>
      </c>
      <c r="O37" s="242">
        <f t="shared" si="8"/>
        <v>2.5043457622428419E-2</v>
      </c>
      <c r="P37" s="242">
        <f t="shared" si="9"/>
        <v>4.8947749731489162E-4</v>
      </c>
      <c r="Q37" s="242">
        <f t="shared" si="17"/>
        <v>20.654655744071665</v>
      </c>
      <c r="R37" s="242">
        <f t="shared" si="18"/>
        <v>1.5465823621328331E-2</v>
      </c>
      <c r="S37" s="250">
        <f t="shared" si="19"/>
        <v>2.6382586998206515E-4</v>
      </c>
      <c r="T37" s="250">
        <f t="shared" si="24"/>
        <v>1.2294861942762412E-2</v>
      </c>
      <c r="U37" s="263">
        <f t="shared" si="25"/>
        <v>4160.9382267004376</v>
      </c>
      <c r="V37" s="263">
        <f t="shared" si="20"/>
        <v>9.2970867430831721</v>
      </c>
      <c r="W37" s="1">
        <f t="shared" si="21"/>
        <v>1.4433556608143323E-5</v>
      </c>
      <c r="X37" s="240">
        <f t="shared" si="10"/>
        <v>6.0686894460601597E-6</v>
      </c>
      <c r="Y37" s="240">
        <f t="shared" si="11"/>
        <v>2.3466530602509963E-4</v>
      </c>
      <c r="Z37" s="248">
        <f t="shared" si="22"/>
        <v>-2.8159836723011958E-3</v>
      </c>
      <c r="AA37" s="239"/>
      <c r="AB37" s="239"/>
      <c r="AC37" s="239"/>
      <c r="AD37" s="239"/>
      <c r="AE37" s="243"/>
      <c r="AG37" s="239"/>
      <c r="AH37" s="239"/>
      <c r="AI37" s="239"/>
      <c r="AM37" s="240"/>
    </row>
    <row r="38" spans="1:39">
      <c r="A38" s="242">
        <f t="shared" si="23"/>
        <v>17</v>
      </c>
      <c r="B38" s="242">
        <f t="shared" si="12"/>
        <v>1.2984312266586076</v>
      </c>
      <c r="C38" s="242">
        <f t="shared" si="0"/>
        <v>4.2425742574257429E-2</v>
      </c>
      <c r="D38" s="242">
        <f t="shared" si="1"/>
        <v>0.83183168316831679</v>
      </c>
      <c r="E38" s="242">
        <f t="shared" si="13"/>
        <v>10.266374078266029</v>
      </c>
      <c r="F38" s="242">
        <f t="shared" si="14"/>
        <v>7.3930123043082805</v>
      </c>
      <c r="G38" s="242">
        <f t="shared" si="15"/>
        <v>42.927317933720758</v>
      </c>
      <c r="H38" s="242">
        <f t="shared" si="2"/>
        <v>82.779932195876682</v>
      </c>
      <c r="I38" s="242">
        <f t="shared" si="3"/>
        <v>55.738170081845084</v>
      </c>
      <c r="J38" s="242">
        <f t="shared" si="4"/>
        <v>107.48404890380853</v>
      </c>
      <c r="K38" s="242">
        <f t="shared" si="5"/>
        <v>39.852614262155925</v>
      </c>
      <c r="L38" s="242">
        <f t="shared" si="16"/>
        <v>7.1233282799011173</v>
      </c>
      <c r="M38" s="242">
        <f t="shared" si="6"/>
        <v>1.5715228991824559</v>
      </c>
      <c r="N38" s="242">
        <f t="shared" si="7"/>
        <v>32.252840804280559</v>
      </c>
      <c r="O38" s="242">
        <f t="shared" si="8"/>
        <v>1.7767093054930131E-2</v>
      </c>
      <c r="P38" s="242">
        <f t="shared" si="9"/>
        <v>4.5600905896318769E-4</v>
      </c>
      <c r="Q38" s="242">
        <f t="shared" si="17"/>
        <v>20.672422837126597</v>
      </c>
      <c r="R38" s="242">
        <f t="shared" si="18"/>
        <v>1.5921832680291518E-2</v>
      </c>
      <c r="S38" s="250">
        <f t="shared" si="19"/>
        <v>2.3647332554525366E-4</v>
      </c>
      <c r="T38" s="250">
        <f t="shared" si="24"/>
        <v>1.2531335268307665E-2</v>
      </c>
      <c r="U38" s="263">
        <f t="shared" si="25"/>
        <v>4160.9933136094105</v>
      </c>
      <c r="V38" s="263">
        <f t="shared" si="20"/>
        <v>6.6650903438895455</v>
      </c>
      <c r="W38" s="1">
        <f t="shared" si="21"/>
        <v>6.6841205339726767E-6</v>
      </c>
      <c r="X38" s="240">
        <f t="shared" si="10"/>
        <v>5.1478433333536206E-6</v>
      </c>
      <c r="Y38" s="240">
        <f t="shared" si="11"/>
        <v>2.2859661657903947E-4</v>
      </c>
      <c r="Z38" s="248">
        <f t="shared" si="22"/>
        <v>-2.7431593989484734E-3</v>
      </c>
      <c r="AA38" s="239"/>
      <c r="AB38" s="239"/>
      <c r="AC38" s="239"/>
      <c r="AD38" s="239"/>
      <c r="AE38" s="243"/>
      <c r="AG38" s="239"/>
      <c r="AH38" s="239"/>
      <c r="AI38" s="239"/>
      <c r="AM38" s="240"/>
    </row>
    <row r="39" spans="1:39">
      <c r="A39" s="242">
        <f t="shared" si="23"/>
        <v>18</v>
      </c>
      <c r="B39" s="242">
        <f t="shared" si="12"/>
        <v>1</v>
      </c>
      <c r="C39" s="242">
        <f t="shared" si="0"/>
        <v>4.1980198019801983E-2</v>
      </c>
      <c r="D39" s="242">
        <f t="shared" si="1"/>
        <v>0.87381188118811881</v>
      </c>
      <c r="E39" s="242">
        <f t="shared" si="13"/>
        <v>11.547005383792516</v>
      </c>
      <c r="F39" s="242">
        <f t="shared" si="14"/>
        <v>8.2462112512353212</v>
      </c>
      <c r="G39" s="242">
        <f t="shared" si="15"/>
        <v>53.407199999999996</v>
      </c>
      <c r="H39" s="242">
        <f t="shared" si="2"/>
        <v>104.72000000000003</v>
      </c>
      <c r="I39" s="242">
        <f t="shared" si="3"/>
        <v>53.407199999999996</v>
      </c>
      <c r="J39" s="242">
        <f t="shared" si="4"/>
        <v>104.72000000000003</v>
      </c>
      <c r="K39" s="242">
        <f t="shared" si="5"/>
        <v>51.312800000000031</v>
      </c>
      <c r="L39" s="242">
        <f t="shared" si="16"/>
        <v>8.0829037686547629</v>
      </c>
      <c r="M39" s="242">
        <f t="shared" si="6"/>
        <v>1.7320508075688767</v>
      </c>
      <c r="N39" s="242">
        <f t="shared" si="7"/>
        <v>36.27607211372257</v>
      </c>
      <c r="O39" s="242">
        <f t="shared" si="8"/>
        <v>1.5228766907146902E-2</v>
      </c>
      <c r="P39" s="242">
        <f t="shared" si="9"/>
        <v>4.3961663366336645E-4</v>
      </c>
      <c r="Q39" s="242">
        <f t="shared" si="17"/>
        <v>20.687651604033743</v>
      </c>
      <c r="R39" s="242">
        <f t="shared" si="18"/>
        <v>1.6361449313954883E-2</v>
      </c>
      <c r="S39" s="250">
        <f t="shared" si="19"/>
        <v>2.2420448316831681E-4</v>
      </c>
      <c r="T39" s="250">
        <f t="shared" si="24"/>
        <v>1.2755539751475982E-2</v>
      </c>
      <c r="U39" s="263">
        <f t="shared" si="25"/>
        <v>4161.0352938074302</v>
      </c>
      <c r="V39" s="263">
        <f t="shared" si="20"/>
        <v>5.7735026918962582</v>
      </c>
      <c r="W39" s="1">
        <f t="shared" si="21"/>
        <v>4.7660678550278352E-6</v>
      </c>
      <c r="X39" s="240">
        <f t="shared" si="10"/>
        <v>4.7660678550278352E-6</v>
      </c>
      <c r="Y39" s="240">
        <f t="shared" si="11"/>
        <v>2.2344877324568586E-4</v>
      </c>
      <c r="Z39" s="248">
        <f t="shared" si="22"/>
        <v>-2.6813852789482305E-3</v>
      </c>
      <c r="AA39" s="239"/>
      <c r="AB39" s="239"/>
      <c r="AC39" s="239"/>
      <c r="AD39" s="239"/>
      <c r="AE39" s="243"/>
      <c r="AG39" s="239"/>
      <c r="AH39" s="239"/>
      <c r="AI39" s="239"/>
      <c r="AM39" s="240"/>
    </row>
    <row r="40" spans="1:39">
      <c r="A40" s="242">
        <f t="shared" si="23"/>
        <v>19</v>
      </c>
      <c r="B40" s="242">
        <f t="shared" si="12"/>
        <v>1</v>
      </c>
      <c r="C40" s="242">
        <f t="shared" si="0"/>
        <v>4.1534653465346537E-2</v>
      </c>
      <c r="D40" s="242">
        <f t="shared" si="1"/>
        <v>0.91534653465346527</v>
      </c>
      <c r="E40" s="242">
        <f t="shared" si="13"/>
        <v>11.547005383792516</v>
      </c>
      <c r="F40" s="242">
        <f t="shared" si="14"/>
        <v>8.2462112512353212</v>
      </c>
      <c r="G40" s="242">
        <f t="shared" si="15"/>
        <v>53.407199999999996</v>
      </c>
      <c r="H40" s="242">
        <f t="shared" si="2"/>
        <v>104.72000000000003</v>
      </c>
      <c r="I40" s="242">
        <f t="shared" si="3"/>
        <v>53.407199999999996</v>
      </c>
      <c r="J40" s="242">
        <f t="shared" si="4"/>
        <v>104.72000000000003</v>
      </c>
      <c r="K40" s="242">
        <f t="shared" si="5"/>
        <v>51.312800000000031</v>
      </c>
      <c r="L40" s="242">
        <f t="shared" si="16"/>
        <v>8.0829037686547629</v>
      </c>
      <c r="M40" s="242">
        <f t="shared" si="6"/>
        <v>1.7320508075688767</v>
      </c>
      <c r="N40" s="242">
        <f t="shared" si="7"/>
        <v>36.27607211372257</v>
      </c>
      <c r="O40" s="242">
        <f t="shared" si="8"/>
        <v>1.5067140843273881E-2</v>
      </c>
      <c r="P40" s="242">
        <f t="shared" si="9"/>
        <v>4.3495089108910905E-4</v>
      </c>
      <c r="Q40" s="242">
        <f t="shared" si="17"/>
        <v>20.702718744877018</v>
      </c>
      <c r="R40" s="242">
        <f t="shared" si="18"/>
        <v>1.6796400205043992E-2</v>
      </c>
      <c r="S40" s="250">
        <f t="shared" si="19"/>
        <v>2.2182495445544553E-4</v>
      </c>
      <c r="T40" s="250">
        <f t="shared" si="24"/>
        <v>1.2977364705931428E-2</v>
      </c>
      <c r="U40" s="263">
        <f t="shared" si="25"/>
        <v>4161.0768284608957</v>
      </c>
      <c r="V40" s="263">
        <f t="shared" si="20"/>
        <v>5.7735026918962582</v>
      </c>
      <c r="W40" s="1">
        <f t="shared" si="21"/>
        <v>4.7154845876985304E-6</v>
      </c>
      <c r="X40" s="240">
        <f t="shared" si="10"/>
        <v>4.7154845876985304E-6</v>
      </c>
      <c r="Y40" s="240">
        <f t="shared" si="11"/>
        <v>2.1868270539065801E-4</v>
      </c>
      <c r="Z40" s="248">
        <f t="shared" si="22"/>
        <v>-2.6241924646878963E-3</v>
      </c>
      <c r="AA40" s="239"/>
      <c r="AB40" s="239"/>
      <c r="AC40" s="239"/>
      <c r="AD40" s="239"/>
      <c r="AE40" s="243"/>
      <c r="AG40" s="239"/>
      <c r="AH40" s="239"/>
      <c r="AI40" s="239"/>
      <c r="AM40" s="240"/>
    </row>
    <row r="41" spans="1:39">
      <c r="A41" s="242">
        <f t="shared" si="23"/>
        <v>20</v>
      </c>
      <c r="B41" s="242">
        <f t="shared" si="12"/>
        <v>1</v>
      </c>
      <c r="C41" s="242">
        <f t="shared" si="0"/>
        <v>4.1089108910891091E-2</v>
      </c>
      <c r="D41" s="242">
        <f t="shared" si="1"/>
        <v>0.9564356435643564</v>
      </c>
      <c r="E41" s="242">
        <f t="shared" si="13"/>
        <v>11.547005383792516</v>
      </c>
      <c r="F41" s="242">
        <f t="shared" si="14"/>
        <v>8.2462112512353212</v>
      </c>
      <c r="G41" s="242">
        <f t="shared" si="15"/>
        <v>53.407199999999996</v>
      </c>
      <c r="H41" s="242">
        <f t="shared" si="2"/>
        <v>104.72000000000003</v>
      </c>
      <c r="I41" s="242">
        <f t="shared" si="3"/>
        <v>53.407199999999996</v>
      </c>
      <c r="J41" s="242">
        <f t="shared" si="4"/>
        <v>104.72000000000003</v>
      </c>
      <c r="K41" s="242">
        <f t="shared" si="5"/>
        <v>51.312800000000031</v>
      </c>
      <c r="L41" s="242">
        <f t="shared" si="16"/>
        <v>8.0829037686547629</v>
      </c>
      <c r="M41" s="242">
        <f t="shared" si="6"/>
        <v>1.7320508075688767</v>
      </c>
      <c r="N41" s="242">
        <f t="shared" si="7"/>
        <v>36.27607211372257</v>
      </c>
      <c r="O41" s="242">
        <f t="shared" si="8"/>
        <v>1.490551477940086E-2</v>
      </c>
      <c r="P41" s="242">
        <f t="shared" si="9"/>
        <v>4.3028514851485165E-4</v>
      </c>
      <c r="Q41" s="242">
        <f t="shared" si="17"/>
        <v>20.717624259656418</v>
      </c>
      <c r="R41" s="242">
        <f t="shared" si="18"/>
        <v>1.7226685353558844E-2</v>
      </c>
      <c r="S41" s="250">
        <f t="shared" si="19"/>
        <v>2.1944542574257425E-4</v>
      </c>
      <c r="T41" s="250">
        <f t="shared" si="24"/>
        <v>1.3196810131674001E-2</v>
      </c>
      <c r="U41" s="263">
        <f t="shared" si="25"/>
        <v>4161.1179175698062</v>
      </c>
      <c r="V41" s="263">
        <f t="shared" si="20"/>
        <v>5.7735026918962582</v>
      </c>
      <c r="W41" s="1">
        <f t="shared" si="21"/>
        <v>4.6649013203692256E-6</v>
      </c>
      <c r="X41" s="240">
        <f t="shared" si="10"/>
        <v>4.6649013203692256E-6</v>
      </c>
      <c r="Y41" s="240">
        <f t="shared" si="11"/>
        <v>2.1396722080295949E-4</v>
      </c>
      <c r="Z41" s="248">
        <f t="shared" si="22"/>
        <v>-2.5676066496355138E-3</v>
      </c>
      <c r="AA41" s="239"/>
      <c r="AB41" s="239"/>
      <c r="AC41" s="239"/>
      <c r="AD41" s="239"/>
      <c r="AE41" s="243"/>
      <c r="AG41" s="239"/>
      <c r="AH41" s="239"/>
      <c r="AI41" s="239"/>
      <c r="AM41" s="240"/>
    </row>
    <row r="42" spans="1:39">
      <c r="A42" s="242">
        <f t="shared" si="23"/>
        <v>21</v>
      </c>
      <c r="B42" s="242">
        <f t="shared" si="12"/>
        <v>1</v>
      </c>
      <c r="C42" s="242">
        <f t="shared" si="0"/>
        <v>4.0643564356435645E-2</v>
      </c>
      <c r="D42" s="242">
        <f t="shared" si="1"/>
        <v>0.99707920792079208</v>
      </c>
      <c r="E42" s="242">
        <f t="shared" si="13"/>
        <v>11.547005383792516</v>
      </c>
      <c r="F42" s="242">
        <f t="shared" si="14"/>
        <v>8.2462112512353212</v>
      </c>
      <c r="G42" s="242">
        <f t="shared" si="15"/>
        <v>53.407199999999996</v>
      </c>
      <c r="H42" s="242">
        <f t="shared" si="2"/>
        <v>104.72000000000003</v>
      </c>
      <c r="I42" s="242">
        <f t="shared" si="3"/>
        <v>53.407199999999996</v>
      </c>
      <c r="J42" s="242">
        <f t="shared" si="4"/>
        <v>104.72000000000003</v>
      </c>
      <c r="K42" s="242">
        <f t="shared" si="5"/>
        <v>51.312800000000031</v>
      </c>
      <c r="L42" s="242">
        <f t="shared" si="16"/>
        <v>8.0829037686547629</v>
      </c>
      <c r="M42" s="242">
        <f t="shared" si="6"/>
        <v>1.7320508075688767</v>
      </c>
      <c r="N42" s="242">
        <f t="shared" si="7"/>
        <v>36.27607211372257</v>
      </c>
      <c r="O42" s="242">
        <f t="shared" si="8"/>
        <v>1.4743888715527835E-2</v>
      </c>
      <c r="P42" s="242">
        <f t="shared" si="9"/>
        <v>4.2561940594059415E-4</v>
      </c>
      <c r="Q42" s="242">
        <f t="shared" si="17"/>
        <v>20.732368148371947</v>
      </c>
      <c r="R42" s="242">
        <f t="shared" si="18"/>
        <v>1.765230475949944E-2</v>
      </c>
      <c r="S42" s="250">
        <f t="shared" si="19"/>
        <v>2.1706589702970294E-4</v>
      </c>
      <c r="T42" s="250">
        <f t="shared" si="24"/>
        <v>1.3413876028703704E-2</v>
      </c>
      <c r="U42" s="263">
        <f t="shared" si="25"/>
        <v>4161.1585611341625</v>
      </c>
      <c r="V42" s="263">
        <f t="shared" si="20"/>
        <v>5.7735026918962582</v>
      </c>
      <c r="W42" s="1">
        <f t="shared" si="21"/>
        <v>4.61431805303992E-6</v>
      </c>
      <c r="X42" s="240">
        <f t="shared" si="10"/>
        <v>4.61431805303992E-6</v>
      </c>
      <c r="Y42" s="240">
        <f t="shared" si="11"/>
        <v>2.0930231948259025E-4</v>
      </c>
      <c r="Z42" s="248">
        <f t="shared" si="22"/>
        <v>-2.5116278337910828E-3</v>
      </c>
      <c r="AA42" s="239"/>
      <c r="AB42" s="239"/>
      <c r="AC42" s="239"/>
      <c r="AD42" s="239"/>
      <c r="AE42" s="243"/>
      <c r="AG42" s="239"/>
      <c r="AH42" s="239"/>
      <c r="AI42" s="239"/>
      <c r="AM42" s="240"/>
    </row>
    <row r="43" spans="1:39">
      <c r="A43" s="242">
        <f t="shared" si="23"/>
        <v>22</v>
      </c>
      <c r="B43" s="242">
        <f t="shared" si="12"/>
        <v>1</v>
      </c>
      <c r="C43" s="242">
        <f t="shared" si="0"/>
        <v>4.0198019801980199E-2</v>
      </c>
      <c r="D43" s="242">
        <f t="shared" si="1"/>
        <v>1.0372772277227722</v>
      </c>
      <c r="E43" s="242">
        <f t="shared" si="13"/>
        <v>11.547005383792516</v>
      </c>
      <c r="F43" s="242">
        <f t="shared" si="14"/>
        <v>8.2462112512353212</v>
      </c>
      <c r="G43" s="242">
        <f t="shared" si="15"/>
        <v>53.407199999999996</v>
      </c>
      <c r="H43" s="242">
        <f t="shared" si="2"/>
        <v>104.72000000000003</v>
      </c>
      <c r="I43" s="242">
        <f t="shared" si="3"/>
        <v>53.407199999999996</v>
      </c>
      <c r="J43" s="242">
        <f t="shared" si="4"/>
        <v>104.72000000000003</v>
      </c>
      <c r="K43" s="242">
        <f t="shared" si="5"/>
        <v>51.312800000000031</v>
      </c>
      <c r="L43" s="242">
        <f t="shared" si="16"/>
        <v>8.0829037686547629</v>
      </c>
      <c r="M43" s="242">
        <f t="shared" si="6"/>
        <v>1.7320508075688767</v>
      </c>
      <c r="N43" s="242">
        <f t="shared" si="7"/>
        <v>36.27607211372257</v>
      </c>
      <c r="O43" s="242">
        <f t="shared" si="8"/>
        <v>1.4582262651654814E-2</v>
      </c>
      <c r="P43" s="242">
        <f t="shared" si="9"/>
        <v>4.2095366336633675E-4</v>
      </c>
      <c r="Q43" s="242">
        <f t="shared" si="17"/>
        <v>20.746950411023601</v>
      </c>
      <c r="R43" s="242">
        <f t="shared" si="18"/>
        <v>1.8073258422865775E-2</v>
      </c>
      <c r="S43" s="250">
        <f t="shared" si="19"/>
        <v>2.1468636831683166E-4</v>
      </c>
      <c r="T43" s="250">
        <f t="shared" si="24"/>
        <v>1.3628562397020537E-2</v>
      </c>
      <c r="U43" s="263">
        <f t="shared" si="25"/>
        <v>4161.1987591539646</v>
      </c>
      <c r="V43" s="263">
        <f t="shared" si="20"/>
        <v>5.7735026918962582</v>
      </c>
      <c r="W43" s="1">
        <f t="shared" si="21"/>
        <v>4.5637347857106152E-6</v>
      </c>
      <c r="X43" s="240">
        <f t="shared" si="10"/>
        <v>4.5637347857106152E-6</v>
      </c>
      <c r="Y43" s="240">
        <f t="shared" si="11"/>
        <v>2.0468800142955034E-4</v>
      </c>
      <c r="Z43" s="248">
        <f t="shared" si="22"/>
        <v>-2.4562560171546041E-3</v>
      </c>
      <c r="AA43" s="239"/>
      <c r="AB43" s="239"/>
      <c r="AC43" s="239"/>
      <c r="AD43" s="239"/>
      <c r="AE43" s="243"/>
      <c r="AG43" s="239"/>
      <c r="AH43" s="239"/>
      <c r="AI43" s="239"/>
      <c r="AM43" s="240"/>
    </row>
    <row r="44" spans="1:39">
      <c r="A44" s="242">
        <f t="shared" si="23"/>
        <v>23</v>
      </c>
      <c r="B44" s="242">
        <f t="shared" si="12"/>
        <v>1</v>
      </c>
      <c r="C44" s="242">
        <f t="shared" si="0"/>
        <v>3.9752475247524753E-2</v>
      </c>
      <c r="D44" s="242">
        <f t="shared" si="1"/>
        <v>1.0770297029702971</v>
      </c>
      <c r="E44" s="242">
        <f t="shared" si="13"/>
        <v>11.547005383792516</v>
      </c>
      <c r="F44" s="242">
        <f t="shared" si="14"/>
        <v>8.2462112512353212</v>
      </c>
      <c r="G44" s="242">
        <f t="shared" si="15"/>
        <v>53.407199999999996</v>
      </c>
      <c r="H44" s="242">
        <f t="shared" si="2"/>
        <v>104.72000000000003</v>
      </c>
      <c r="I44" s="242">
        <f t="shared" si="3"/>
        <v>53.407199999999996</v>
      </c>
      <c r="J44" s="242">
        <f t="shared" si="4"/>
        <v>104.72000000000003</v>
      </c>
      <c r="K44" s="242">
        <f t="shared" si="5"/>
        <v>51.312800000000031</v>
      </c>
      <c r="L44" s="242">
        <f t="shared" si="16"/>
        <v>8.0829037686547629</v>
      </c>
      <c r="M44" s="242">
        <f t="shared" si="6"/>
        <v>1.7320508075688767</v>
      </c>
      <c r="N44" s="242">
        <f t="shared" si="7"/>
        <v>36.27607211372257</v>
      </c>
      <c r="O44" s="242">
        <f t="shared" si="8"/>
        <v>1.4420636587781794E-2</v>
      </c>
      <c r="P44" s="242">
        <f t="shared" si="9"/>
        <v>4.162879207920793E-4</v>
      </c>
      <c r="Q44" s="242">
        <f t="shared" si="17"/>
        <v>20.761371047611384</v>
      </c>
      <c r="R44" s="242">
        <f t="shared" si="18"/>
        <v>1.8489546343657855E-2</v>
      </c>
      <c r="S44" s="250">
        <f t="shared" si="19"/>
        <v>2.1230683960396038E-4</v>
      </c>
      <c r="T44" s="250">
        <f t="shared" si="24"/>
        <v>1.3840869236624496E-2</v>
      </c>
      <c r="U44" s="263">
        <f t="shared" si="25"/>
        <v>4161.2385116292126</v>
      </c>
      <c r="V44" s="263">
        <f t="shared" si="20"/>
        <v>5.7735026918962582</v>
      </c>
      <c r="W44" s="1">
        <f t="shared" si="21"/>
        <v>4.5131515183813105E-6</v>
      </c>
      <c r="X44" s="240">
        <f t="shared" si="10"/>
        <v>4.5131515183813105E-6</v>
      </c>
      <c r="Y44" s="240">
        <f t="shared" si="11"/>
        <v>2.0012426664383972E-4</v>
      </c>
      <c r="Z44" s="248">
        <f t="shared" si="22"/>
        <v>-2.4014911997260768E-3</v>
      </c>
      <c r="AA44" s="239"/>
      <c r="AB44" s="239"/>
      <c r="AC44" s="239"/>
      <c r="AD44" s="239"/>
      <c r="AE44" s="243"/>
      <c r="AG44" s="239"/>
      <c r="AH44" s="239"/>
      <c r="AI44" s="239"/>
      <c r="AM44" s="240"/>
    </row>
    <row r="45" spans="1:39">
      <c r="A45" s="242">
        <f t="shared" si="23"/>
        <v>24</v>
      </c>
      <c r="B45" s="242">
        <f t="shared" si="12"/>
        <v>1</v>
      </c>
      <c r="C45" s="242">
        <f t="shared" si="0"/>
        <v>3.9306930693069307E-2</v>
      </c>
      <c r="D45" s="242">
        <f t="shared" si="1"/>
        <v>1.1163366336633662</v>
      </c>
      <c r="E45" s="242">
        <f t="shared" si="13"/>
        <v>11.547005383792516</v>
      </c>
      <c r="F45" s="242">
        <f t="shared" si="14"/>
        <v>8.2462112512353212</v>
      </c>
      <c r="G45" s="242">
        <f t="shared" si="15"/>
        <v>53.407199999999996</v>
      </c>
      <c r="H45" s="242">
        <f t="shared" si="2"/>
        <v>104.72000000000003</v>
      </c>
      <c r="I45" s="242">
        <f t="shared" si="3"/>
        <v>53.407199999999996</v>
      </c>
      <c r="J45" s="242">
        <f t="shared" si="4"/>
        <v>104.72000000000003</v>
      </c>
      <c r="K45" s="242">
        <f t="shared" si="5"/>
        <v>51.312800000000031</v>
      </c>
      <c r="L45" s="242">
        <f t="shared" si="16"/>
        <v>8.0829037686547629</v>
      </c>
      <c r="M45" s="242">
        <f t="shared" si="6"/>
        <v>1.7320508075688767</v>
      </c>
      <c r="N45" s="242">
        <f t="shared" si="7"/>
        <v>36.27607211372257</v>
      </c>
      <c r="O45" s="242">
        <f t="shared" si="8"/>
        <v>1.4259010523908771E-2</v>
      </c>
      <c r="P45" s="242">
        <f t="shared" si="9"/>
        <v>4.1162217821782179E-4</v>
      </c>
      <c r="Q45" s="242">
        <f t="shared" si="17"/>
        <v>20.775630058135292</v>
      </c>
      <c r="R45" s="242">
        <f t="shared" si="18"/>
        <v>1.8901168521875678E-2</v>
      </c>
      <c r="S45" s="250">
        <f t="shared" si="19"/>
        <v>2.0992731089108907E-4</v>
      </c>
      <c r="T45" s="250">
        <f t="shared" si="24"/>
        <v>1.4050796547515586E-2</v>
      </c>
      <c r="U45" s="263">
        <f t="shared" si="25"/>
        <v>4161.2778185599054</v>
      </c>
      <c r="V45" s="263">
        <f t="shared" si="20"/>
        <v>5.7735026918962582</v>
      </c>
      <c r="W45" s="1">
        <f t="shared" si="21"/>
        <v>4.4625682510520057E-6</v>
      </c>
      <c r="X45" s="240">
        <f t="shared" si="10"/>
        <v>4.4625682510520057E-6</v>
      </c>
      <c r="Y45" s="240">
        <f t="shared" si="11"/>
        <v>1.9561111512545842E-4</v>
      </c>
      <c r="Z45" s="248">
        <f t="shared" si="22"/>
        <v>-2.3473333815055009E-3</v>
      </c>
      <c r="AA45" s="239"/>
      <c r="AB45" s="239"/>
      <c r="AC45" s="239"/>
      <c r="AD45" s="239"/>
      <c r="AE45" s="243"/>
      <c r="AG45" s="239"/>
      <c r="AH45" s="239"/>
      <c r="AI45" s="239"/>
      <c r="AM45" s="240"/>
    </row>
    <row r="46" spans="1:39">
      <c r="A46" s="242">
        <f t="shared" si="23"/>
        <v>25</v>
      </c>
      <c r="B46" s="242">
        <f t="shared" si="12"/>
        <v>1</v>
      </c>
      <c r="C46" s="242">
        <f t="shared" si="0"/>
        <v>3.8861386138613861E-2</v>
      </c>
      <c r="D46" s="242">
        <f t="shared" si="1"/>
        <v>1.1551980198019802</v>
      </c>
      <c r="E46" s="242">
        <f t="shared" si="13"/>
        <v>11.547005383792516</v>
      </c>
      <c r="F46" s="242">
        <f t="shared" si="14"/>
        <v>8.2462112512353212</v>
      </c>
      <c r="G46" s="242">
        <f t="shared" si="15"/>
        <v>53.407199999999996</v>
      </c>
      <c r="H46" s="242">
        <f t="shared" si="2"/>
        <v>104.72000000000003</v>
      </c>
      <c r="I46" s="242">
        <f t="shared" si="3"/>
        <v>53.407199999999996</v>
      </c>
      <c r="J46" s="242">
        <f t="shared" si="4"/>
        <v>104.72000000000003</v>
      </c>
      <c r="K46" s="242">
        <f t="shared" si="5"/>
        <v>51.312800000000031</v>
      </c>
      <c r="L46" s="242">
        <f t="shared" si="16"/>
        <v>8.0829037686547629</v>
      </c>
      <c r="M46" s="242">
        <f t="shared" si="6"/>
        <v>1.7320508075688767</v>
      </c>
      <c r="N46" s="242">
        <f t="shared" si="7"/>
        <v>36.27607211372257</v>
      </c>
      <c r="O46" s="242">
        <f t="shared" si="8"/>
        <v>1.4097384460035752E-2</v>
      </c>
      <c r="P46" s="242">
        <f t="shared" si="9"/>
        <v>4.069564356435645E-4</v>
      </c>
      <c r="Q46" s="242">
        <f t="shared" si="17"/>
        <v>20.789727442595328</v>
      </c>
      <c r="R46" s="242">
        <f t="shared" si="18"/>
        <v>1.930812495751924E-2</v>
      </c>
      <c r="S46" s="250">
        <f t="shared" si="19"/>
        <v>2.0754778217821779E-4</v>
      </c>
      <c r="T46" s="250">
        <f t="shared" si="24"/>
        <v>1.4258344329693803E-2</v>
      </c>
      <c r="U46" s="263">
        <f t="shared" si="25"/>
        <v>4161.3166799460441</v>
      </c>
      <c r="V46" s="263">
        <f t="shared" si="20"/>
        <v>5.7735026918962582</v>
      </c>
      <c r="W46" s="1">
        <f t="shared" si="21"/>
        <v>4.4119849837227009E-6</v>
      </c>
      <c r="X46" s="240">
        <f t="shared" si="10"/>
        <v>4.4119849837227009E-6</v>
      </c>
      <c r="Y46" s="240">
        <f t="shared" si="11"/>
        <v>1.9114854687440642E-4</v>
      </c>
      <c r="Z46" s="248">
        <f t="shared" si="22"/>
        <v>-2.2937825624928772E-3</v>
      </c>
      <c r="AA46" s="239"/>
      <c r="AB46" s="239"/>
      <c r="AC46" s="239"/>
      <c r="AD46" s="239"/>
      <c r="AE46" s="243"/>
      <c r="AG46" s="239"/>
      <c r="AH46" s="239"/>
      <c r="AI46" s="239"/>
      <c r="AM46" s="240"/>
    </row>
    <row r="47" spans="1:39">
      <c r="A47" s="242">
        <f t="shared" si="23"/>
        <v>26</v>
      </c>
      <c r="B47" s="242">
        <f t="shared" si="12"/>
        <v>1</v>
      </c>
      <c r="C47" s="242">
        <f t="shared" si="0"/>
        <v>3.8415841584158415E-2</v>
      </c>
      <c r="D47" s="242">
        <f t="shared" si="1"/>
        <v>1.1936138613861387</v>
      </c>
      <c r="E47" s="242">
        <f t="shared" si="13"/>
        <v>11.547005383792516</v>
      </c>
      <c r="F47" s="242">
        <f t="shared" si="14"/>
        <v>8.2462112512353212</v>
      </c>
      <c r="G47" s="242">
        <f t="shared" si="15"/>
        <v>53.407199999999996</v>
      </c>
      <c r="H47" s="242">
        <f t="shared" si="2"/>
        <v>104.72000000000003</v>
      </c>
      <c r="I47" s="242">
        <f t="shared" si="3"/>
        <v>53.407199999999996</v>
      </c>
      <c r="J47" s="242">
        <f t="shared" si="4"/>
        <v>104.72000000000003</v>
      </c>
      <c r="K47" s="242">
        <f t="shared" si="5"/>
        <v>51.312800000000031</v>
      </c>
      <c r="L47" s="242">
        <f t="shared" si="16"/>
        <v>8.0829037686547629</v>
      </c>
      <c r="M47" s="242">
        <f t="shared" si="6"/>
        <v>1.7320508075688767</v>
      </c>
      <c r="N47" s="242">
        <f t="shared" si="7"/>
        <v>36.27607211372257</v>
      </c>
      <c r="O47" s="242">
        <f t="shared" si="8"/>
        <v>1.3935758396162729E-2</v>
      </c>
      <c r="P47" s="242">
        <f t="shared" si="9"/>
        <v>4.02290693069307E-4</v>
      </c>
      <c r="Q47" s="242">
        <f t="shared" si="17"/>
        <v>20.80366320099149</v>
      </c>
      <c r="R47" s="242">
        <f t="shared" si="18"/>
        <v>1.9710415650588547E-2</v>
      </c>
      <c r="S47" s="250">
        <f t="shared" si="19"/>
        <v>2.0516825346534651E-4</v>
      </c>
      <c r="T47" s="250">
        <f t="shared" si="24"/>
        <v>1.4463512583159149E-2</v>
      </c>
      <c r="U47" s="263">
        <f t="shared" si="25"/>
        <v>4161.3550957876287</v>
      </c>
      <c r="V47" s="263">
        <f t="shared" si="20"/>
        <v>5.7735026918962582</v>
      </c>
      <c r="W47" s="1">
        <f t="shared" si="21"/>
        <v>4.3614017163933961E-6</v>
      </c>
      <c r="X47" s="240">
        <f t="shared" si="10"/>
        <v>4.3614017163933961E-6</v>
      </c>
      <c r="Y47" s="240">
        <f t="shared" si="11"/>
        <v>1.867365618906837E-4</v>
      </c>
      <c r="Z47" s="248">
        <f t="shared" si="22"/>
        <v>-2.2408387426882045E-3</v>
      </c>
      <c r="AA47" s="239"/>
      <c r="AB47" s="239"/>
      <c r="AC47" s="239"/>
      <c r="AD47" s="239"/>
      <c r="AE47" s="243"/>
      <c r="AG47" s="239"/>
      <c r="AH47" s="239"/>
      <c r="AI47" s="239"/>
      <c r="AM47" s="240"/>
    </row>
    <row r="48" spans="1:39">
      <c r="A48" s="242">
        <f t="shared" si="23"/>
        <v>27</v>
      </c>
      <c r="B48" s="242">
        <f t="shared" si="12"/>
        <v>1</v>
      </c>
      <c r="C48" s="242">
        <f t="shared" si="0"/>
        <v>3.7970297029702969E-2</v>
      </c>
      <c r="D48" s="242">
        <f t="shared" si="1"/>
        <v>1.2315841584158418</v>
      </c>
      <c r="E48" s="242">
        <f t="shared" si="13"/>
        <v>11.547005383792516</v>
      </c>
      <c r="F48" s="242">
        <f t="shared" si="14"/>
        <v>8.2462112512353212</v>
      </c>
      <c r="G48" s="242">
        <f t="shared" si="15"/>
        <v>53.407199999999996</v>
      </c>
      <c r="H48" s="242">
        <f t="shared" si="2"/>
        <v>104.72000000000003</v>
      </c>
      <c r="I48" s="242">
        <f t="shared" si="3"/>
        <v>53.407199999999996</v>
      </c>
      <c r="J48" s="242">
        <f t="shared" si="4"/>
        <v>104.72000000000003</v>
      </c>
      <c r="K48" s="242">
        <f t="shared" si="5"/>
        <v>51.312800000000031</v>
      </c>
      <c r="L48" s="242">
        <f t="shared" si="16"/>
        <v>8.0829037686547629</v>
      </c>
      <c r="M48" s="242">
        <f t="shared" si="6"/>
        <v>1.7320508075688767</v>
      </c>
      <c r="N48" s="242">
        <f t="shared" si="7"/>
        <v>36.27607211372257</v>
      </c>
      <c r="O48" s="242">
        <f t="shared" si="8"/>
        <v>1.3774132332289708E-2</v>
      </c>
      <c r="P48" s="242">
        <f t="shared" si="9"/>
        <v>3.976249504950496E-4</v>
      </c>
      <c r="Q48" s="242">
        <f t="shared" si="17"/>
        <v>20.817437333323781</v>
      </c>
      <c r="R48" s="242">
        <f t="shared" si="18"/>
        <v>2.0108040601083597E-2</v>
      </c>
      <c r="S48" s="250">
        <f t="shared" si="19"/>
        <v>2.0278872475247521E-4</v>
      </c>
      <c r="T48" s="250">
        <f t="shared" si="24"/>
        <v>1.4666301307911625E-2</v>
      </c>
      <c r="U48" s="263">
        <f t="shared" si="25"/>
        <v>4161.3930660846581</v>
      </c>
      <c r="V48" s="263">
        <f t="shared" si="20"/>
        <v>5.7735026918962582</v>
      </c>
      <c r="W48" s="1">
        <f t="shared" si="21"/>
        <v>4.3108184490640914E-6</v>
      </c>
      <c r="X48" s="240">
        <f t="shared" si="10"/>
        <v>4.3108184490640914E-6</v>
      </c>
      <c r="Y48" s="240">
        <f t="shared" si="11"/>
        <v>1.8237516017429031E-4</v>
      </c>
      <c r="Z48" s="248">
        <f t="shared" si="22"/>
        <v>-2.1885019220914837E-3</v>
      </c>
      <c r="AA48" s="239"/>
      <c r="AB48" s="239"/>
      <c r="AC48" s="239"/>
      <c r="AD48" s="239"/>
      <c r="AE48" s="243"/>
      <c r="AG48" s="239"/>
      <c r="AH48" s="239"/>
      <c r="AI48" s="239"/>
      <c r="AM48" s="240"/>
    </row>
    <row r="49" spans="1:36">
      <c r="A49" s="242">
        <f t="shared" si="23"/>
        <v>28</v>
      </c>
      <c r="B49" s="242">
        <f t="shared" si="12"/>
        <v>1</v>
      </c>
      <c r="C49" s="242">
        <f t="shared" si="0"/>
        <v>3.7524752475247523E-2</v>
      </c>
      <c r="D49" s="242">
        <f t="shared" si="1"/>
        <v>1.2691089108910891</v>
      </c>
      <c r="E49" s="242">
        <f t="shared" si="13"/>
        <v>11.547005383792516</v>
      </c>
      <c r="F49" s="242">
        <f t="shared" si="14"/>
        <v>8.2462112512353212</v>
      </c>
      <c r="G49" s="242">
        <f t="shared" si="15"/>
        <v>53.407199999999996</v>
      </c>
      <c r="H49" s="242">
        <f t="shared" si="2"/>
        <v>104.72000000000003</v>
      </c>
      <c r="I49" s="242">
        <f t="shared" si="3"/>
        <v>53.407199999999996</v>
      </c>
      <c r="J49" s="242">
        <f t="shared" si="4"/>
        <v>104.72000000000003</v>
      </c>
      <c r="K49" s="242">
        <f t="shared" si="5"/>
        <v>51.312800000000031</v>
      </c>
      <c r="L49" s="242">
        <f t="shared" si="16"/>
        <v>8.0829037686547629</v>
      </c>
      <c r="M49" s="242">
        <f t="shared" si="6"/>
        <v>1.7320508075688767</v>
      </c>
      <c r="N49" s="242">
        <f t="shared" si="7"/>
        <v>36.27607211372257</v>
      </c>
      <c r="O49" s="242">
        <f t="shared" si="8"/>
        <v>1.3612506268416686E-2</v>
      </c>
      <c r="P49" s="242">
        <f t="shared" si="9"/>
        <v>3.9295920792079215E-4</v>
      </c>
      <c r="Q49" s="242">
        <f t="shared" si="17"/>
        <v>20.831049839592197</v>
      </c>
      <c r="R49" s="242">
        <f t="shared" si="18"/>
        <v>2.050099980900439E-2</v>
      </c>
      <c r="S49" s="250">
        <f t="shared" si="19"/>
        <v>2.0040919603960393E-4</v>
      </c>
      <c r="T49" s="250">
        <f t="shared" si="24"/>
        <v>1.4866710503951228E-2</v>
      </c>
      <c r="U49" s="263">
        <f t="shared" si="25"/>
        <v>4161.4305908371334</v>
      </c>
      <c r="V49" s="263">
        <f t="shared" si="20"/>
        <v>5.7735026918962582</v>
      </c>
      <c r="W49" s="1">
        <f t="shared" si="21"/>
        <v>4.2602351817347858E-6</v>
      </c>
      <c r="X49" s="240">
        <f t="shared" si="10"/>
        <v>4.2602351817347858E-6</v>
      </c>
      <c r="Y49" s="240">
        <f t="shared" si="11"/>
        <v>1.7806434172522621E-4</v>
      </c>
      <c r="Z49" s="248">
        <f t="shared" si="22"/>
        <v>-2.1367721007027147E-3</v>
      </c>
      <c r="AA49" s="239"/>
      <c r="AB49" s="243"/>
      <c r="AD49" s="239"/>
      <c r="AE49" s="239"/>
      <c r="AF49" s="239"/>
      <c r="AJ49" s="240"/>
    </row>
    <row r="50" spans="1:36">
      <c r="A50" s="242">
        <f t="shared" si="23"/>
        <v>29</v>
      </c>
      <c r="B50" s="242">
        <f t="shared" si="12"/>
        <v>1</v>
      </c>
      <c r="C50" s="242">
        <f t="shared" si="0"/>
        <v>3.7079207920792077E-2</v>
      </c>
      <c r="D50" s="242">
        <f t="shared" si="1"/>
        <v>1.3061881188118813</v>
      </c>
      <c r="E50" s="242">
        <f t="shared" si="13"/>
        <v>11.547005383792516</v>
      </c>
      <c r="F50" s="242">
        <f t="shared" si="14"/>
        <v>8.2462112512353212</v>
      </c>
      <c r="G50" s="242">
        <f t="shared" si="15"/>
        <v>53.407199999999996</v>
      </c>
      <c r="H50" s="242">
        <f t="shared" si="2"/>
        <v>104.72000000000003</v>
      </c>
      <c r="I50" s="242">
        <f t="shared" si="3"/>
        <v>53.407199999999996</v>
      </c>
      <c r="J50" s="242">
        <f t="shared" si="4"/>
        <v>104.72000000000003</v>
      </c>
      <c r="K50" s="242">
        <f t="shared" si="5"/>
        <v>51.312800000000031</v>
      </c>
      <c r="L50" s="242">
        <f t="shared" si="16"/>
        <v>8.0829037686547629</v>
      </c>
      <c r="M50" s="242">
        <f t="shared" si="6"/>
        <v>1.7320508075688767</v>
      </c>
      <c r="N50" s="242">
        <f t="shared" si="7"/>
        <v>36.27607211372257</v>
      </c>
      <c r="O50" s="242">
        <f t="shared" si="8"/>
        <v>1.3450880204543665E-2</v>
      </c>
      <c r="P50" s="242">
        <f t="shared" si="9"/>
        <v>3.8829346534653464E-4</v>
      </c>
      <c r="Q50" s="242">
        <f t="shared" si="17"/>
        <v>20.844500719796741</v>
      </c>
      <c r="R50" s="242">
        <f t="shared" si="18"/>
        <v>2.0889293274350924E-2</v>
      </c>
      <c r="S50" s="250">
        <f t="shared" si="19"/>
        <v>1.9802966732673265E-4</v>
      </c>
      <c r="T50" s="250">
        <f t="shared" si="24"/>
        <v>1.5064740171277961E-2</v>
      </c>
      <c r="U50" s="263">
        <f t="shared" si="25"/>
        <v>4161.4676700450545</v>
      </c>
      <c r="V50" s="263">
        <f t="shared" si="20"/>
        <v>5.7735026918962582</v>
      </c>
      <c r="W50" s="1">
        <f t="shared" si="21"/>
        <v>4.209651914405481E-6</v>
      </c>
      <c r="X50" s="240">
        <f t="shared" si="10"/>
        <v>4.209651914405481E-6</v>
      </c>
      <c r="Y50" s="240">
        <f t="shared" si="11"/>
        <v>1.7380410654349143E-4</v>
      </c>
      <c r="Z50" s="248">
        <f t="shared" si="22"/>
        <v>-2.0856492785218971E-3</v>
      </c>
      <c r="AA50" s="239"/>
      <c r="AB50" s="243"/>
      <c r="AD50" s="239"/>
      <c r="AE50" s="239"/>
      <c r="AF50" s="239"/>
      <c r="AJ50" s="240"/>
    </row>
    <row r="51" spans="1:36">
      <c r="A51" s="242">
        <f t="shared" si="23"/>
        <v>30</v>
      </c>
      <c r="B51" s="242">
        <f t="shared" si="12"/>
        <v>1</v>
      </c>
      <c r="C51" s="242">
        <f t="shared" si="0"/>
        <v>3.6633663366336638E-2</v>
      </c>
      <c r="D51" s="242">
        <f t="shared" si="1"/>
        <v>1.342821782178218</v>
      </c>
      <c r="E51" s="242">
        <f t="shared" si="13"/>
        <v>11.547005383792516</v>
      </c>
      <c r="F51" s="242">
        <f t="shared" si="14"/>
        <v>8.2462112512353212</v>
      </c>
      <c r="G51" s="242">
        <f t="shared" si="15"/>
        <v>53.407199999999996</v>
      </c>
      <c r="H51" s="242">
        <f t="shared" si="2"/>
        <v>104.72000000000003</v>
      </c>
      <c r="I51" s="242">
        <f t="shared" si="3"/>
        <v>53.407199999999996</v>
      </c>
      <c r="J51" s="242">
        <f t="shared" si="4"/>
        <v>104.72000000000003</v>
      </c>
      <c r="K51" s="242">
        <f t="shared" si="5"/>
        <v>51.312800000000031</v>
      </c>
      <c r="L51" s="242">
        <f t="shared" si="16"/>
        <v>8.0829037686547629</v>
      </c>
      <c r="M51" s="242">
        <f t="shared" si="6"/>
        <v>1.7320508075688767</v>
      </c>
      <c r="N51" s="242">
        <f t="shared" si="7"/>
        <v>36.27607211372257</v>
      </c>
      <c r="O51" s="242">
        <f t="shared" si="8"/>
        <v>1.3289254140670646E-2</v>
      </c>
      <c r="P51" s="242">
        <f t="shared" si="9"/>
        <v>3.8362772277227735E-4</v>
      </c>
      <c r="Q51" s="242">
        <f t="shared" si="17"/>
        <v>20.857789973937411</v>
      </c>
      <c r="R51" s="242">
        <f t="shared" si="18"/>
        <v>2.1272920997123201E-2</v>
      </c>
      <c r="S51" s="250">
        <f t="shared" si="19"/>
        <v>1.956501386138614E-4</v>
      </c>
      <c r="T51" s="250">
        <f t="shared" si="24"/>
        <v>1.5260390309891823E-2</v>
      </c>
      <c r="U51" s="263">
        <f t="shared" si="25"/>
        <v>4161.5043037084206</v>
      </c>
      <c r="V51" s="263">
        <f t="shared" si="20"/>
        <v>5.7735026918962582</v>
      </c>
      <c r="W51" s="1">
        <f t="shared" si="21"/>
        <v>4.1590686470761779E-6</v>
      </c>
      <c r="X51" s="240">
        <f t="shared" si="10"/>
        <v>4.1590686470761779E-6</v>
      </c>
      <c r="Y51" s="240">
        <f t="shared" si="11"/>
        <v>1.6959445462908594E-4</v>
      </c>
      <c r="Z51" s="248">
        <f t="shared" si="22"/>
        <v>-2.0351334555490314E-3</v>
      </c>
      <c r="AA51" s="239"/>
      <c r="AB51" s="243"/>
      <c r="AD51" s="239"/>
      <c r="AE51" s="239"/>
      <c r="AF51" s="239"/>
      <c r="AJ51" s="240"/>
    </row>
    <row r="52" spans="1:36">
      <c r="A52" s="242">
        <f t="shared" si="23"/>
        <v>31</v>
      </c>
      <c r="B52" s="242">
        <f t="shared" si="12"/>
        <v>1</v>
      </c>
      <c r="C52" s="242">
        <f t="shared" si="0"/>
        <v>3.6188118811881193E-2</v>
      </c>
      <c r="D52" s="242">
        <f t="shared" si="1"/>
        <v>1.3790099009900991</v>
      </c>
      <c r="E52" s="242">
        <f t="shared" si="13"/>
        <v>11.547005383792516</v>
      </c>
      <c r="F52" s="242">
        <f t="shared" si="14"/>
        <v>8.2462112512353212</v>
      </c>
      <c r="G52" s="242">
        <f t="shared" si="15"/>
        <v>53.407199999999996</v>
      </c>
      <c r="H52" s="242">
        <f t="shared" si="2"/>
        <v>104.72000000000003</v>
      </c>
      <c r="I52" s="242">
        <f t="shared" si="3"/>
        <v>53.407199999999996</v>
      </c>
      <c r="J52" s="242">
        <f t="shared" si="4"/>
        <v>104.72000000000003</v>
      </c>
      <c r="K52" s="242">
        <f t="shared" si="5"/>
        <v>51.312800000000031</v>
      </c>
      <c r="L52" s="242">
        <f t="shared" si="16"/>
        <v>8.0829037686547629</v>
      </c>
      <c r="M52" s="242">
        <f t="shared" si="6"/>
        <v>1.7320508075688767</v>
      </c>
      <c r="N52" s="242">
        <f t="shared" si="7"/>
        <v>36.27607211372257</v>
      </c>
      <c r="O52" s="242">
        <f t="shared" si="8"/>
        <v>1.3127628076797624E-2</v>
      </c>
      <c r="P52" s="242">
        <f t="shared" si="9"/>
        <v>3.7896198019801995E-4</v>
      </c>
      <c r="Q52" s="242">
        <f t="shared" si="17"/>
        <v>20.87091760201421</v>
      </c>
      <c r="R52" s="242">
        <f t="shared" si="18"/>
        <v>2.1651882977321221E-2</v>
      </c>
      <c r="S52" s="250">
        <f t="shared" si="19"/>
        <v>1.9327060990099009E-4</v>
      </c>
      <c r="T52" s="250">
        <f t="shared" si="24"/>
        <v>1.5453660919792812E-2</v>
      </c>
      <c r="U52" s="263">
        <f t="shared" si="25"/>
        <v>4161.5404918272325</v>
      </c>
      <c r="V52" s="263">
        <f t="shared" si="20"/>
        <v>5.7735026918962582</v>
      </c>
      <c r="W52" s="1">
        <f t="shared" si="21"/>
        <v>4.1084853797468723E-6</v>
      </c>
      <c r="X52" s="240">
        <f t="shared" si="10"/>
        <v>4.1084853797468723E-6</v>
      </c>
      <c r="Y52" s="240">
        <f t="shared" si="11"/>
        <v>1.6543538598200977E-4</v>
      </c>
      <c r="Z52" s="248">
        <f t="shared" si="22"/>
        <v>-1.9852246317841171E-3</v>
      </c>
      <c r="AA52" s="239"/>
      <c r="AB52" s="243"/>
      <c r="AD52" s="239"/>
      <c r="AE52" s="239"/>
      <c r="AF52" s="239"/>
      <c r="AJ52" s="240"/>
    </row>
    <row r="53" spans="1:36">
      <c r="A53" s="242">
        <f t="shared" si="23"/>
        <v>32</v>
      </c>
      <c r="B53" s="242">
        <f t="shared" si="12"/>
        <v>1</v>
      </c>
      <c r="C53" s="242">
        <f t="shared" si="0"/>
        <v>3.5742574257425747E-2</v>
      </c>
      <c r="D53" s="242">
        <f t="shared" si="1"/>
        <v>1.4147524752475249</v>
      </c>
      <c r="E53" s="242">
        <f t="shared" si="13"/>
        <v>11.547005383792516</v>
      </c>
      <c r="F53" s="242">
        <f t="shared" si="14"/>
        <v>8.2462112512353212</v>
      </c>
      <c r="G53" s="242">
        <f t="shared" si="15"/>
        <v>53.407199999999996</v>
      </c>
      <c r="H53" s="242">
        <f t="shared" si="2"/>
        <v>104.72000000000003</v>
      </c>
      <c r="I53" s="242">
        <f t="shared" si="3"/>
        <v>53.407199999999996</v>
      </c>
      <c r="J53" s="242">
        <f t="shared" si="4"/>
        <v>104.72000000000003</v>
      </c>
      <c r="K53" s="242">
        <f t="shared" si="5"/>
        <v>51.312800000000031</v>
      </c>
      <c r="L53" s="242">
        <f t="shared" si="16"/>
        <v>8.0829037686547629</v>
      </c>
      <c r="M53" s="242">
        <f t="shared" si="6"/>
        <v>1.7320508075688767</v>
      </c>
      <c r="N53" s="242">
        <f t="shared" si="7"/>
        <v>36.27607211372257</v>
      </c>
      <c r="O53" s="242">
        <f t="shared" si="8"/>
        <v>1.2966002012924603E-2</v>
      </c>
      <c r="P53" s="242">
        <f t="shared" si="9"/>
        <v>3.742962376237625E-4</v>
      </c>
      <c r="Q53" s="242">
        <f t="shared" si="17"/>
        <v>20.883883604027133</v>
      </c>
      <c r="R53" s="242">
        <f t="shared" si="18"/>
        <v>2.2026179214944985E-2</v>
      </c>
      <c r="S53" s="250">
        <f t="shared" si="19"/>
        <v>1.9089108118811881E-4</v>
      </c>
      <c r="T53" s="250">
        <f t="shared" si="24"/>
        <v>1.564455200098093E-2</v>
      </c>
      <c r="U53" s="263">
        <f t="shared" si="25"/>
        <v>4161.5762344014902</v>
      </c>
      <c r="V53" s="263">
        <f t="shared" si="20"/>
        <v>5.7735026918962582</v>
      </c>
      <c r="W53" s="1">
        <f t="shared" si="21"/>
        <v>4.0579021124175667E-6</v>
      </c>
      <c r="X53" s="240">
        <f t="shared" ref="X53:X84" si="26">W53/B53</f>
        <v>4.0579021124175667E-6</v>
      </c>
      <c r="Y53" s="240">
        <f t="shared" si="11"/>
        <v>1.613269006022629E-4</v>
      </c>
      <c r="Z53" s="248">
        <f t="shared" si="22"/>
        <v>-1.9359228072271548E-3</v>
      </c>
      <c r="AA53" s="239"/>
      <c r="AB53" s="243"/>
      <c r="AD53" s="239"/>
      <c r="AE53" s="239"/>
      <c r="AF53" s="239"/>
      <c r="AJ53" s="240"/>
    </row>
    <row r="54" spans="1:36">
      <c r="A54" s="242">
        <f t="shared" si="23"/>
        <v>33</v>
      </c>
      <c r="B54" s="242">
        <f t="shared" si="12"/>
        <v>1</v>
      </c>
      <c r="C54" s="242">
        <f t="shared" si="0"/>
        <v>3.5297029702970301E-2</v>
      </c>
      <c r="D54" s="242">
        <f t="shared" si="1"/>
        <v>1.4500495049504951</v>
      </c>
      <c r="E54" s="242">
        <f t="shared" si="13"/>
        <v>11.547005383792516</v>
      </c>
      <c r="F54" s="242">
        <f t="shared" si="14"/>
        <v>8.2462112512353212</v>
      </c>
      <c r="G54" s="242">
        <f t="shared" si="15"/>
        <v>53.407199999999996</v>
      </c>
      <c r="H54" s="242">
        <f t="shared" si="2"/>
        <v>104.72000000000003</v>
      </c>
      <c r="I54" s="242">
        <f t="shared" si="3"/>
        <v>53.407199999999996</v>
      </c>
      <c r="J54" s="242">
        <f t="shared" si="4"/>
        <v>104.72000000000003</v>
      </c>
      <c r="K54" s="242">
        <f t="shared" si="5"/>
        <v>51.312800000000031</v>
      </c>
      <c r="L54" s="242">
        <f t="shared" si="16"/>
        <v>8.0829037686547629</v>
      </c>
      <c r="M54" s="242">
        <f t="shared" si="6"/>
        <v>1.7320508075688767</v>
      </c>
      <c r="N54" s="242">
        <f t="shared" si="7"/>
        <v>36.27607211372257</v>
      </c>
      <c r="O54" s="242">
        <f t="shared" si="8"/>
        <v>1.280437594905158E-2</v>
      </c>
      <c r="P54" s="242">
        <f t="shared" si="9"/>
        <v>3.6963049504950499E-4</v>
      </c>
      <c r="Q54" s="242">
        <f t="shared" si="17"/>
        <v>20.896687979976186</v>
      </c>
      <c r="R54" s="242">
        <f t="shared" si="18"/>
        <v>2.2395809709994489E-2</v>
      </c>
      <c r="S54" s="250">
        <f t="shared" si="19"/>
        <v>1.8851155247524753E-4</v>
      </c>
      <c r="T54" s="250">
        <f t="shared" si="24"/>
        <v>1.5833063553456178E-2</v>
      </c>
      <c r="U54" s="263">
        <f t="shared" si="25"/>
        <v>4161.6115314311928</v>
      </c>
      <c r="V54" s="263">
        <f t="shared" si="20"/>
        <v>5.7735026918962582</v>
      </c>
      <c r="W54" s="1">
        <f t="shared" si="21"/>
        <v>4.0073188450882619E-6</v>
      </c>
      <c r="X54" s="240">
        <f t="shared" si="26"/>
        <v>4.0073188450882619E-6</v>
      </c>
      <c r="Y54" s="240">
        <f t="shared" si="11"/>
        <v>1.5726899848984534E-4</v>
      </c>
      <c r="Z54" s="248">
        <f t="shared" si="22"/>
        <v>-1.8872279818781441E-3</v>
      </c>
      <c r="AA54" s="239"/>
      <c r="AB54" s="243"/>
      <c r="AD54" s="239"/>
      <c r="AE54" s="239"/>
      <c r="AF54" s="239"/>
      <c r="AJ54" s="240"/>
    </row>
    <row r="55" spans="1:36">
      <c r="A55" s="242">
        <f t="shared" si="23"/>
        <v>34</v>
      </c>
      <c r="B55" s="242">
        <f t="shared" si="12"/>
        <v>1</v>
      </c>
      <c r="C55" s="242">
        <f t="shared" si="0"/>
        <v>3.4851485148514855E-2</v>
      </c>
      <c r="D55" s="242">
        <f t="shared" si="1"/>
        <v>1.48490099009901</v>
      </c>
      <c r="E55" s="242">
        <f t="shared" si="13"/>
        <v>11.547005383792516</v>
      </c>
      <c r="F55" s="242">
        <f t="shared" si="14"/>
        <v>8.2462112512353212</v>
      </c>
      <c r="G55" s="242">
        <f t="shared" si="15"/>
        <v>53.407199999999996</v>
      </c>
      <c r="H55" s="242">
        <f t="shared" si="2"/>
        <v>104.72000000000003</v>
      </c>
      <c r="I55" s="242">
        <f t="shared" si="3"/>
        <v>53.407199999999996</v>
      </c>
      <c r="J55" s="242">
        <f t="shared" si="4"/>
        <v>104.72000000000003</v>
      </c>
      <c r="K55" s="242">
        <f t="shared" si="5"/>
        <v>51.312800000000031</v>
      </c>
      <c r="L55" s="242">
        <f t="shared" si="16"/>
        <v>8.0829037686547629</v>
      </c>
      <c r="M55" s="242">
        <f t="shared" si="6"/>
        <v>1.7320508075688767</v>
      </c>
      <c r="N55" s="242">
        <f t="shared" si="7"/>
        <v>36.27607211372257</v>
      </c>
      <c r="O55" s="242">
        <f t="shared" si="8"/>
        <v>1.2642749885178559E-2</v>
      </c>
      <c r="P55" s="242">
        <f t="shared" si="9"/>
        <v>3.649647524752476E-4</v>
      </c>
      <c r="Q55" s="242">
        <f t="shared" si="17"/>
        <v>20.909330729861363</v>
      </c>
      <c r="R55" s="242">
        <f t="shared" si="18"/>
        <v>2.2760774462469737E-2</v>
      </c>
      <c r="S55" s="250">
        <f t="shared" si="19"/>
        <v>1.8613202376237622E-4</v>
      </c>
      <c r="T55" s="250">
        <f t="shared" si="24"/>
        <v>1.6019195577218554E-2</v>
      </c>
      <c r="U55" s="263">
        <f t="shared" si="25"/>
        <v>4161.6463829163413</v>
      </c>
      <c r="V55" s="263">
        <f t="shared" si="20"/>
        <v>5.7735026918962582</v>
      </c>
      <c r="W55" s="1">
        <f t="shared" si="21"/>
        <v>3.9567355777589571E-6</v>
      </c>
      <c r="X55" s="240">
        <f t="shared" si="26"/>
        <v>3.9567355777589571E-6</v>
      </c>
      <c r="Y55" s="240">
        <f t="shared" si="11"/>
        <v>1.5326167964475708E-4</v>
      </c>
      <c r="Z55" s="248">
        <f t="shared" si="22"/>
        <v>-1.8391401557370851E-3</v>
      </c>
      <c r="AA55" s="239"/>
      <c r="AB55" s="243"/>
      <c r="AD55" s="239"/>
      <c r="AE55" s="239"/>
      <c r="AF55" s="239"/>
      <c r="AJ55" s="240"/>
    </row>
    <row r="56" spans="1:36">
      <c r="A56" s="242">
        <f t="shared" si="23"/>
        <v>35</v>
      </c>
      <c r="B56" s="242">
        <f t="shared" si="12"/>
        <v>1</v>
      </c>
      <c r="C56" s="242">
        <f t="shared" si="0"/>
        <v>3.4405940594059409E-2</v>
      </c>
      <c r="D56" s="242">
        <f t="shared" si="1"/>
        <v>1.5193069306930693</v>
      </c>
      <c r="E56" s="242">
        <f t="shared" si="13"/>
        <v>11.547005383792516</v>
      </c>
      <c r="F56" s="242">
        <f t="shared" si="14"/>
        <v>8.2462112512353212</v>
      </c>
      <c r="G56" s="242">
        <f t="shared" si="15"/>
        <v>53.407199999999996</v>
      </c>
      <c r="H56" s="242">
        <f t="shared" si="2"/>
        <v>104.72000000000003</v>
      </c>
      <c r="I56" s="242">
        <f t="shared" si="3"/>
        <v>53.407199999999996</v>
      </c>
      <c r="J56" s="242">
        <f t="shared" si="4"/>
        <v>104.72000000000003</v>
      </c>
      <c r="K56" s="242">
        <f t="shared" si="5"/>
        <v>51.312800000000031</v>
      </c>
      <c r="L56" s="242">
        <f t="shared" si="16"/>
        <v>8.0829037686547629</v>
      </c>
      <c r="M56" s="242">
        <f t="shared" si="6"/>
        <v>1.7320508075688767</v>
      </c>
      <c r="N56" s="242">
        <f t="shared" si="7"/>
        <v>36.27607211372257</v>
      </c>
      <c r="O56" s="242">
        <f t="shared" si="8"/>
        <v>1.2481123821305538E-2</v>
      </c>
      <c r="P56" s="242">
        <f t="shared" si="9"/>
        <v>3.6029900990099014E-4</v>
      </c>
      <c r="Q56" s="242">
        <f t="shared" si="17"/>
        <v>20.921811853682669</v>
      </c>
      <c r="R56" s="242">
        <f t="shared" si="18"/>
        <v>2.3121073472370728E-2</v>
      </c>
      <c r="S56" s="250">
        <f t="shared" si="19"/>
        <v>1.8375249504950494E-4</v>
      </c>
      <c r="T56" s="250">
        <f t="shared" si="24"/>
        <v>1.6202948072268058E-2</v>
      </c>
      <c r="U56" s="263">
        <f t="shared" si="25"/>
        <v>4161.6807888569356</v>
      </c>
      <c r="V56" s="263">
        <f t="shared" si="20"/>
        <v>5.7735026918962582</v>
      </c>
      <c r="W56" s="1">
        <f t="shared" si="21"/>
        <v>3.9061523104296532E-6</v>
      </c>
      <c r="X56" s="240">
        <f t="shared" si="26"/>
        <v>3.9061523104296532E-6</v>
      </c>
      <c r="Y56" s="240">
        <f t="shared" si="11"/>
        <v>1.4930494406699811E-4</v>
      </c>
      <c r="Z56" s="248">
        <f t="shared" si="22"/>
        <v>-1.7916593288039772E-3</v>
      </c>
      <c r="AA56" s="239"/>
      <c r="AB56" s="243"/>
      <c r="AD56" s="239"/>
      <c r="AE56" s="239"/>
      <c r="AF56" s="239"/>
      <c r="AJ56" s="240"/>
    </row>
    <row r="57" spans="1:36">
      <c r="A57" s="242">
        <f t="shared" si="23"/>
        <v>36</v>
      </c>
      <c r="B57" s="242">
        <f t="shared" si="12"/>
        <v>1</v>
      </c>
      <c r="C57" s="242">
        <f t="shared" si="0"/>
        <v>3.3960396039603963E-2</v>
      </c>
      <c r="D57" s="242">
        <f t="shared" si="1"/>
        <v>1.5532673267326733</v>
      </c>
      <c r="E57" s="242">
        <f t="shared" si="13"/>
        <v>11.547005383792516</v>
      </c>
      <c r="F57" s="242">
        <f t="shared" si="14"/>
        <v>8.2462112512353212</v>
      </c>
      <c r="G57" s="242">
        <f t="shared" si="15"/>
        <v>53.407199999999996</v>
      </c>
      <c r="H57" s="242">
        <f t="shared" si="2"/>
        <v>104.72000000000003</v>
      </c>
      <c r="I57" s="242">
        <f t="shared" si="3"/>
        <v>53.407199999999996</v>
      </c>
      <c r="J57" s="242">
        <f t="shared" si="4"/>
        <v>104.72000000000003</v>
      </c>
      <c r="K57" s="242">
        <f t="shared" si="5"/>
        <v>51.312800000000031</v>
      </c>
      <c r="L57" s="242">
        <f t="shared" si="16"/>
        <v>8.0829037686547629</v>
      </c>
      <c r="M57" s="242">
        <f t="shared" si="6"/>
        <v>1.7320508075688767</v>
      </c>
      <c r="N57" s="242">
        <f t="shared" si="7"/>
        <v>36.27607211372257</v>
      </c>
      <c r="O57" s="242">
        <f t="shared" si="8"/>
        <v>1.2319497757432518E-2</v>
      </c>
      <c r="P57" s="242">
        <f t="shared" si="9"/>
        <v>3.5563326732673275E-4</v>
      </c>
      <c r="Q57" s="242">
        <f t="shared" si="17"/>
        <v>20.934131351440101</v>
      </c>
      <c r="R57" s="242">
        <f t="shared" si="18"/>
        <v>2.3476706739697459E-2</v>
      </c>
      <c r="S57" s="250">
        <f t="shared" si="19"/>
        <v>1.8137296633663366E-4</v>
      </c>
      <c r="T57" s="250">
        <f t="shared" si="24"/>
        <v>1.6384321038604693E-2</v>
      </c>
      <c r="U57" s="263">
        <f t="shared" si="25"/>
        <v>4161.7147492529748</v>
      </c>
      <c r="V57" s="263">
        <f t="shared" si="20"/>
        <v>5.7735026918962582</v>
      </c>
      <c r="W57" s="1">
        <f t="shared" si="21"/>
        <v>3.8555690431003476E-6</v>
      </c>
      <c r="X57" s="240">
        <f t="shared" si="26"/>
        <v>3.8555690431003476E-6</v>
      </c>
      <c r="Y57" s="240">
        <f t="shared" si="11"/>
        <v>1.4539879175656846E-4</v>
      </c>
      <c r="Z57" s="248">
        <f t="shared" si="22"/>
        <v>-1.7447855010788217E-3</v>
      </c>
      <c r="AA57" s="239"/>
      <c r="AB57" s="243"/>
      <c r="AD57" s="239"/>
      <c r="AE57" s="239"/>
      <c r="AF57" s="239"/>
      <c r="AJ57" s="240"/>
    </row>
    <row r="58" spans="1:36">
      <c r="A58" s="242">
        <f t="shared" si="23"/>
        <v>37</v>
      </c>
      <c r="B58" s="242">
        <f t="shared" si="12"/>
        <v>1</v>
      </c>
      <c r="C58" s="242">
        <f t="shared" si="0"/>
        <v>3.3514851485148517E-2</v>
      </c>
      <c r="D58" s="242">
        <f t="shared" si="1"/>
        <v>1.586782178217822</v>
      </c>
      <c r="E58" s="242">
        <f t="shared" si="13"/>
        <v>11.547005383792516</v>
      </c>
      <c r="F58" s="242">
        <f t="shared" si="14"/>
        <v>8.2462112512353212</v>
      </c>
      <c r="G58" s="242">
        <f t="shared" si="15"/>
        <v>53.407199999999996</v>
      </c>
      <c r="H58" s="242">
        <f t="shared" si="2"/>
        <v>104.72000000000003</v>
      </c>
      <c r="I58" s="242">
        <f t="shared" si="3"/>
        <v>53.407199999999996</v>
      </c>
      <c r="J58" s="242">
        <f t="shared" si="4"/>
        <v>104.72000000000003</v>
      </c>
      <c r="K58" s="242">
        <f t="shared" si="5"/>
        <v>51.312800000000031</v>
      </c>
      <c r="L58" s="242">
        <f t="shared" si="16"/>
        <v>8.0829037686547629</v>
      </c>
      <c r="M58" s="242">
        <f t="shared" si="6"/>
        <v>1.7320508075688767</v>
      </c>
      <c r="N58" s="242">
        <f t="shared" si="7"/>
        <v>36.27607211372257</v>
      </c>
      <c r="O58" s="242">
        <f t="shared" si="8"/>
        <v>1.2157871693559495E-2</v>
      </c>
      <c r="P58" s="242">
        <f t="shared" si="9"/>
        <v>3.5096752475247535E-4</v>
      </c>
      <c r="Q58" s="242">
        <f t="shared" si="17"/>
        <v>20.946289223133661</v>
      </c>
      <c r="R58" s="242">
        <f t="shared" si="18"/>
        <v>2.3827674264449934E-2</v>
      </c>
      <c r="S58" s="250">
        <f t="shared" si="19"/>
        <v>1.7899343762376235E-4</v>
      </c>
      <c r="T58" s="250">
        <f t="shared" si="24"/>
        <v>1.6563314476228455E-2</v>
      </c>
      <c r="U58" s="263">
        <f t="shared" si="25"/>
        <v>4161.7482641044598</v>
      </c>
      <c r="V58" s="263">
        <f t="shared" si="20"/>
        <v>5.7735026918962582</v>
      </c>
      <c r="W58" s="1">
        <f t="shared" si="21"/>
        <v>3.8049857757710432E-6</v>
      </c>
      <c r="X58" s="240">
        <f t="shared" si="26"/>
        <v>3.8049857757710432E-6</v>
      </c>
      <c r="Y58" s="240">
        <f t="shared" si="11"/>
        <v>1.4154322271346811E-4</v>
      </c>
      <c r="Z58" s="248">
        <f t="shared" si="22"/>
        <v>-1.6985186725616173E-3</v>
      </c>
      <c r="AA58" s="239"/>
      <c r="AB58" s="243"/>
      <c r="AD58" s="239"/>
      <c r="AE58" s="239"/>
      <c r="AF58" s="239"/>
      <c r="AJ58" s="240"/>
    </row>
    <row r="59" spans="1:36">
      <c r="A59" s="242">
        <f t="shared" si="23"/>
        <v>38</v>
      </c>
      <c r="B59" s="242">
        <f t="shared" si="12"/>
        <v>1</v>
      </c>
      <c r="C59" s="242">
        <f t="shared" si="0"/>
        <v>3.3069306930693071E-2</v>
      </c>
      <c r="D59" s="242">
        <f t="shared" si="1"/>
        <v>1.6198514851485148</v>
      </c>
      <c r="E59" s="242">
        <f t="shared" si="13"/>
        <v>11.547005383792516</v>
      </c>
      <c r="F59" s="242">
        <f t="shared" si="14"/>
        <v>8.2462112512353212</v>
      </c>
      <c r="G59" s="242">
        <f t="shared" si="15"/>
        <v>53.407199999999996</v>
      </c>
      <c r="H59" s="242">
        <f t="shared" si="2"/>
        <v>104.72000000000003</v>
      </c>
      <c r="I59" s="242">
        <f t="shared" si="3"/>
        <v>53.407199999999996</v>
      </c>
      <c r="J59" s="242">
        <f t="shared" si="4"/>
        <v>104.72000000000003</v>
      </c>
      <c r="K59" s="242">
        <f t="shared" si="5"/>
        <v>51.312800000000031</v>
      </c>
      <c r="L59" s="242">
        <f t="shared" si="16"/>
        <v>8.0829037686547629</v>
      </c>
      <c r="M59" s="242">
        <f t="shared" si="6"/>
        <v>1.7320508075688767</v>
      </c>
      <c r="N59" s="242">
        <f t="shared" si="7"/>
        <v>36.27607211372257</v>
      </c>
      <c r="O59" s="242">
        <f t="shared" si="8"/>
        <v>1.1996245629686472E-2</v>
      </c>
      <c r="P59" s="242">
        <f t="shared" si="9"/>
        <v>3.463017821782179E-4</v>
      </c>
      <c r="Q59" s="242">
        <f t="shared" si="17"/>
        <v>20.958285468763346</v>
      </c>
      <c r="R59" s="242">
        <f t="shared" si="18"/>
        <v>2.4173976046628153E-2</v>
      </c>
      <c r="S59" s="250">
        <f t="shared" si="19"/>
        <v>1.7661390891089107E-4</v>
      </c>
      <c r="T59" s="250">
        <f t="shared" si="24"/>
        <v>1.6739928385139345E-2</v>
      </c>
      <c r="U59" s="263">
        <f t="shared" si="25"/>
        <v>4161.7813334113907</v>
      </c>
      <c r="V59" s="263">
        <f t="shared" si="20"/>
        <v>5.7735026918962582</v>
      </c>
      <c r="W59" s="1">
        <f t="shared" si="21"/>
        <v>3.7544025084417376E-6</v>
      </c>
      <c r="X59" s="240">
        <f t="shared" si="26"/>
        <v>3.7544025084417376E-6</v>
      </c>
      <c r="Y59" s="240">
        <f t="shared" si="11"/>
        <v>1.3773823693769707E-4</v>
      </c>
      <c r="Z59" s="248">
        <f t="shared" si="22"/>
        <v>-1.6528588432523647E-3</v>
      </c>
      <c r="AA59" s="239"/>
      <c r="AB59" s="243"/>
      <c r="AD59" s="239"/>
      <c r="AE59" s="239"/>
      <c r="AF59" s="239"/>
      <c r="AJ59" s="240"/>
    </row>
    <row r="60" spans="1:36">
      <c r="A60" s="242">
        <f t="shared" si="23"/>
        <v>39</v>
      </c>
      <c r="B60" s="242">
        <f t="shared" si="12"/>
        <v>1</v>
      </c>
      <c r="C60" s="242">
        <f t="shared" si="0"/>
        <v>3.2623762376237625E-2</v>
      </c>
      <c r="D60" s="242">
        <f t="shared" si="1"/>
        <v>1.6524752475247526</v>
      </c>
      <c r="E60" s="242">
        <f t="shared" si="13"/>
        <v>11.547005383792516</v>
      </c>
      <c r="F60" s="242">
        <f t="shared" si="14"/>
        <v>8.2462112512353212</v>
      </c>
      <c r="G60" s="242">
        <f t="shared" si="15"/>
        <v>53.407199999999996</v>
      </c>
      <c r="H60" s="242">
        <f t="shared" si="2"/>
        <v>104.72000000000003</v>
      </c>
      <c r="I60" s="242">
        <f t="shared" si="3"/>
        <v>53.407199999999996</v>
      </c>
      <c r="J60" s="242">
        <f t="shared" si="4"/>
        <v>104.72000000000003</v>
      </c>
      <c r="K60" s="242">
        <f t="shared" si="5"/>
        <v>51.312800000000031</v>
      </c>
      <c r="L60" s="242">
        <f t="shared" si="16"/>
        <v>8.0829037686547629</v>
      </c>
      <c r="M60" s="242">
        <f t="shared" si="6"/>
        <v>1.7320508075688767</v>
      </c>
      <c r="N60" s="242">
        <f t="shared" si="7"/>
        <v>36.27607211372257</v>
      </c>
      <c r="O60" s="242">
        <f t="shared" si="8"/>
        <v>1.1834619565813453E-2</v>
      </c>
      <c r="P60" s="242">
        <f t="shared" si="9"/>
        <v>3.4163603960396044E-4</v>
      </c>
      <c r="Q60" s="242">
        <f t="shared" si="17"/>
        <v>20.970120088329161</v>
      </c>
      <c r="R60" s="242">
        <f t="shared" si="18"/>
        <v>2.4515612086232114E-2</v>
      </c>
      <c r="S60" s="250">
        <f t="shared" si="19"/>
        <v>1.7423438019801979E-4</v>
      </c>
      <c r="T60" s="250">
        <f t="shared" si="24"/>
        <v>1.6914162765337366E-2</v>
      </c>
      <c r="U60" s="263">
        <f t="shared" si="25"/>
        <v>4161.8139571737665</v>
      </c>
      <c r="V60" s="263">
        <f t="shared" si="20"/>
        <v>5.7735026918962582</v>
      </c>
      <c r="W60" s="1">
        <f t="shared" si="21"/>
        <v>3.7038192411124329E-6</v>
      </c>
      <c r="X60" s="240">
        <f t="shared" si="26"/>
        <v>3.7038192411124329E-6</v>
      </c>
      <c r="Y60" s="240">
        <f t="shared" si="11"/>
        <v>1.3398383442925533E-4</v>
      </c>
      <c r="Z60" s="248">
        <f t="shared" si="22"/>
        <v>-1.6078060131510638E-3</v>
      </c>
      <c r="AA60" s="239"/>
      <c r="AB60" s="243"/>
      <c r="AD60" s="239"/>
      <c r="AE60" s="239"/>
      <c r="AF60" s="239"/>
      <c r="AJ60" s="240"/>
    </row>
    <row r="61" spans="1:36">
      <c r="A61" s="242">
        <f t="shared" si="23"/>
        <v>40</v>
      </c>
      <c r="B61" s="242">
        <f t="shared" si="12"/>
        <v>1</v>
      </c>
      <c r="C61" s="242">
        <f t="shared" si="0"/>
        <v>3.2178217821782179E-2</v>
      </c>
      <c r="D61" s="242">
        <f t="shared" si="1"/>
        <v>1.6846534653465348</v>
      </c>
      <c r="E61" s="242">
        <f t="shared" si="13"/>
        <v>11.547005383792516</v>
      </c>
      <c r="F61" s="242">
        <f t="shared" si="14"/>
        <v>8.2462112512353212</v>
      </c>
      <c r="G61" s="242">
        <f t="shared" si="15"/>
        <v>53.407199999999996</v>
      </c>
      <c r="H61" s="242">
        <f t="shared" si="2"/>
        <v>104.72000000000003</v>
      </c>
      <c r="I61" s="242">
        <f t="shared" si="3"/>
        <v>53.407199999999996</v>
      </c>
      <c r="J61" s="242">
        <f t="shared" si="4"/>
        <v>104.72000000000003</v>
      </c>
      <c r="K61" s="242">
        <f t="shared" si="5"/>
        <v>51.312800000000031</v>
      </c>
      <c r="L61" s="242">
        <f t="shared" si="16"/>
        <v>8.0829037686547629</v>
      </c>
      <c r="M61" s="242">
        <f t="shared" si="6"/>
        <v>1.7320508075688767</v>
      </c>
      <c r="N61" s="242">
        <f t="shared" si="7"/>
        <v>36.27607211372257</v>
      </c>
      <c r="O61" s="242">
        <f t="shared" si="8"/>
        <v>1.167299350194043E-2</v>
      </c>
      <c r="P61" s="242">
        <f t="shared" si="9"/>
        <v>3.369702970297031E-4</v>
      </c>
      <c r="Q61" s="242">
        <f t="shared" si="17"/>
        <v>20.9817930818311</v>
      </c>
      <c r="R61" s="242">
        <f t="shared" si="18"/>
        <v>2.4852582383261816E-2</v>
      </c>
      <c r="S61" s="250">
        <f t="shared" si="19"/>
        <v>1.7185485148514849E-4</v>
      </c>
      <c r="T61" s="250">
        <f t="shared" si="24"/>
        <v>1.7086017616822515E-2</v>
      </c>
      <c r="U61" s="263">
        <f t="shared" si="25"/>
        <v>4161.8461353915882</v>
      </c>
      <c r="V61" s="263">
        <f t="shared" si="20"/>
        <v>5.7735026918962582</v>
      </c>
      <c r="W61" s="1">
        <f t="shared" si="21"/>
        <v>3.6532359737831285E-6</v>
      </c>
      <c r="X61" s="240">
        <f t="shared" si="26"/>
        <v>3.6532359737831285E-6</v>
      </c>
      <c r="Y61" s="240">
        <f t="shared" si="11"/>
        <v>1.302800151881429E-4</v>
      </c>
      <c r="Z61" s="248">
        <f t="shared" si="22"/>
        <v>-1.5633601822577147E-3</v>
      </c>
      <c r="AA61" s="239"/>
      <c r="AB61" s="243"/>
      <c r="AD61" s="239"/>
      <c r="AE61" s="239"/>
      <c r="AF61" s="239"/>
      <c r="AJ61" s="240"/>
    </row>
    <row r="62" spans="1:36">
      <c r="A62" s="242">
        <f t="shared" si="23"/>
        <v>41</v>
      </c>
      <c r="B62" s="242">
        <f t="shared" si="12"/>
        <v>1</v>
      </c>
      <c r="C62" s="242">
        <f t="shared" si="0"/>
        <v>3.1732673267326733E-2</v>
      </c>
      <c r="D62" s="242">
        <f t="shared" si="1"/>
        <v>1.7163861386138615</v>
      </c>
      <c r="E62" s="242">
        <f t="shared" si="13"/>
        <v>11.547005383792516</v>
      </c>
      <c r="F62" s="242">
        <f t="shared" si="14"/>
        <v>8.2462112512353212</v>
      </c>
      <c r="G62" s="242">
        <f t="shared" si="15"/>
        <v>53.407199999999996</v>
      </c>
      <c r="H62" s="242">
        <f t="shared" si="2"/>
        <v>104.72000000000003</v>
      </c>
      <c r="I62" s="242">
        <f t="shared" si="3"/>
        <v>53.407199999999996</v>
      </c>
      <c r="J62" s="242">
        <f t="shared" si="4"/>
        <v>104.72000000000003</v>
      </c>
      <c r="K62" s="242">
        <f t="shared" si="5"/>
        <v>51.312800000000031</v>
      </c>
      <c r="L62" s="242">
        <f t="shared" si="16"/>
        <v>8.0829037686547629</v>
      </c>
      <c r="M62" s="242">
        <f t="shared" si="6"/>
        <v>1.7320508075688767</v>
      </c>
      <c r="N62" s="242">
        <f t="shared" si="7"/>
        <v>36.27607211372257</v>
      </c>
      <c r="O62" s="242">
        <f t="shared" si="8"/>
        <v>1.151136743806741E-2</v>
      </c>
      <c r="P62" s="242">
        <f t="shared" si="9"/>
        <v>3.3230455445544565E-4</v>
      </c>
      <c r="Q62" s="242">
        <f t="shared" si="17"/>
        <v>20.993304449269168</v>
      </c>
      <c r="R62" s="242">
        <f t="shared" si="18"/>
        <v>2.5184886937717262E-2</v>
      </c>
      <c r="S62" s="250">
        <f t="shared" si="19"/>
        <v>1.6947532277227721E-4</v>
      </c>
      <c r="T62" s="250">
        <f t="shared" si="24"/>
        <v>1.7255492939594792E-2</v>
      </c>
      <c r="U62" s="263">
        <f t="shared" si="25"/>
        <v>4161.8778680648556</v>
      </c>
      <c r="V62" s="263">
        <f t="shared" si="20"/>
        <v>5.7735026918962582</v>
      </c>
      <c r="W62" s="1">
        <f t="shared" si="21"/>
        <v>3.6026527064538229E-6</v>
      </c>
      <c r="X62" s="240">
        <f t="shared" si="26"/>
        <v>3.6026527064538229E-6</v>
      </c>
      <c r="Y62" s="240">
        <f t="shared" si="11"/>
        <v>1.2662677921435977E-4</v>
      </c>
      <c r="Z62" s="248">
        <f t="shared" si="22"/>
        <v>-1.5195213505723173E-3</v>
      </c>
      <c r="AA62" s="239"/>
      <c r="AB62" s="243"/>
      <c r="AD62" s="239"/>
      <c r="AE62" s="239"/>
      <c r="AF62" s="239"/>
      <c r="AJ62" s="240"/>
    </row>
    <row r="63" spans="1:36">
      <c r="A63" s="242">
        <f t="shared" si="23"/>
        <v>42</v>
      </c>
      <c r="B63" s="242">
        <f t="shared" si="12"/>
        <v>1</v>
      </c>
      <c r="C63" s="242">
        <f t="shared" si="0"/>
        <v>3.1287128712871287E-2</v>
      </c>
      <c r="D63" s="242">
        <f t="shared" si="1"/>
        <v>1.7476732673267328</v>
      </c>
      <c r="E63" s="242">
        <f t="shared" si="13"/>
        <v>11.547005383792516</v>
      </c>
      <c r="F63" s="242">
        <f t="shared" si="14"/>
        <v>8.2462112512353212</v>
      </c>
      <c r="G63" s="242">
        <f t="shared" si="15"/>
        <v>53.407199999999996</v>
      </c>
      <c r="H63" s="242">
        <f t="shared" si="2"/>
        <v>104.72000000000003</v>
      </c>
      <c r="I63" s="242">
        <f t="shared" si="3"/>
        <v>53.407199999999996</v>
      </c>
      <c r="J63" s="242">
        <f t="shared" si="4"/>
        <v>104.72000000000003</v>
      </c>
      <c r="K63" s="242">
        <f t="shared" si="5"/>
        <v>51.312800000000031</v>
      </c>
      <c r="L63" s="242">
        <f t="shared" si="16"/>
        <v>8.0829037686547629</v>
      </c>
      <c r="M63" s="242">
        <f t="shared" si="6"/>
        <v>1.7320508075688767</v>
      </c>
      <c r="N63" s="242">
        <f t="shared" si="7"/>
        <v>36.27607211372257</v>
      </c>
      <c r="O63" s="242">
        <f t="shared" si="8"/>
        <v>1.1349741374194389E-2</v>
      </c>
      <c r="P63" s="242">
        <f t="shared" si="9"/>
        <v>3.276388118811882E-4</v>
      </c>
      <c r="Q63" s="242">
        <f t="shared" si="17"/>
        <v>21.004654190643361</v>
      </c>
      <c r="R63" s="242">
        <f t="shared" si="18"/>
        <v>2.551252574959845E-2</v>
      </c>
      <c r="S63" s="250">
        <f t="shared" si="19"/>
        <v>1.6709579405940593E-4</v>
      </c>
      <c r="T63" s="250">
        <f t="shared" si="24"/>
        <v>1.7422588733654199E-2</v>
      </c>
      <c r="U63" s="263">
        <f t="shared" si="25"/>
        <v>4161.9091551935689</v>
      </c>
      <c r="V63" s="263">
        <f t="shared" si="20"/>
        <v>5.7735026918962582</v>
      </c>
      <c r="W63" s="1">
        <f t="shared" si="21"/>
        <v>3.5520694391245185E-6</v>
      </c>
      <c r="X63" s="240">
        <f t="shared" si="26"/>
        <v>3.5520694391245185E-6</v>
      </c>
      <c r="Y63" s="240">
        <f t="shared" si="11"/>
        <v>1.2302412650790596E-4</v>
      </c>
      <c r="Z63" s="248">
        <f t="shared" si="22"/>
        <v>-1.4762895180948717E-3</v>
      </c>
      <c r="AA63" s="239"/>
      <c r="AB63" s="243"/>
      <c r="AD63" s="239"/>
      <c r="AE63" s="239"/>
      <c r="AF63" s="239"/>
      <c r="AJ63" s="240"/>
    </row>
    <row r="64" spans="1:36">
      <c r="A64" s="242">
        <f t="shared" si="23"/>
        <v>43</v>
      </c>
      <c r="B64" s="242">
        <f t="shared" si="12"/>
        <v>1</v>
      </c>
      <c r="C64" s="242">
        <f t="shared" si="0"/>
        <v>3.0841584158415841E-2</v>
      </c>
      <c r="D64" s="242">
        <f t="shared" si="1"/>
        <v>1.7785148514851485</v>
      </c>
      <c r="E64" s="242">
        <f t="shared" si="13"/>
        <v>11.547005383792516</v>
      </c>
      <c r="F64" s="242">
        <f t="shared" si="14"/>
        <v>8.2462112512353212</v>
      </c>
      <c r="G64" s="242">
        <f t="shared" si="15"/>
        <v>53.407199999999996</v>
      </c>
      <c r="H64" s="242">
        <f t="shared" si="2"/>
        <v>104.72000000000003</v>
      </c>
      <c r="I64" s="242">
        <f t="shared" si="3"/>
        <v>53.407199999999996</v>
      </c>
      <c r="J64" s="242">
        <f t="shared" si="4"/>
        <v>104.72000000000003</v>
      </c>
      <c r="K64" s="242">
        <f t="shared" si="5"/>
        <v>51.312800000000031</v>
      </c>
      <c r="L64" s="242">
        <f t="shared" si="16"/>
        <v>8.0829037686547629</v>
      </c>
      <c r="M64" s="242">
        <f t="shared" si="6"/>
        <v>1.7320508075688767</v>
      </c>
      <c r="N64" s="242">
        <f t="shared" si="7"/>
        <v>36.27607211372257</v>
      </c>
      <c r="O64" s="242">
        <f t="shared" si="8"/>
        <v>1.1188115310321364E-2</v>
      </c>
      <c r="P64" s="242">
        <f t="shared" si="9"/>
        <v>3.2297306930693074E-4</v>
      </c>
      <c r="Q64" s="242">
        <f t="shared" si="17"/>
        <v>21.015842305953683</v>
      </c>
      <c r="R64" s="242">
        <f t="shared" si="18"/>
        <v>2.5835498818905383E-2</v>
      </c>
      <c r="S64" s="250">
        <f t="shared" si="19"/>
        <v>1.6471626534653462E-4</v>
      </c>
      <c r="T64" s="250">
        <f t="shared" si="24"/>
        <v>1.7587304999000734E-2</v>
      </c>
      <c r="U64" s="263">
        <f t="shared" si="25"/>
        <v>4161.9399967777272</v>
      </c>
      <c r="V64" s="263">
        <f t="shared" si="20"/>
        <v>5.7735026918962582</v>
      </c>
      <c r="W64" s="1">
        <f t="shared" si="21"/>
        <v>3.5014861717952134E-6</v>
      </c>
      <c r="X64" s="240">
        <f t="shared" si="26"/>
        <v>3.5014861717952134E-6</v>
      </c>
      <c r="Y64" s="240">
        <f t="shared" si="11"/>
        <v>1.1947205706878145E-4</v>
      </c>
      <c r="Z64" s="248">
        <f t="shared" si="22"/>
        <v>-1.4336646848253773E-3</v>
      </c>
      <c r="AA64" s="239"/>
      <c r="AB64" s="243"/>
      <c r="AD64" s="239"/>
      <c r="AE64" s="239"/>
      <c r="AF64" s="239"/>
      <c r="AJ64" s="240"/>
    </row>
    <row r="65" spans="1:36">
      <c r="A65" s="242">
        <f t="shared" si="23"/>
        <v>44</v>
      </c>
      <c r="B65" s="242">
        <f t="shared" si="12"/>
        <v>1</v>
      </c>
      <c r="C65" s="242">
        <f t="shared" si="0"/>
        <v>3.0396039603960395E-2</v>
      </c>
      <c r="D65" s="242">
        <f t="shared" si="1"/>
        <v>1.808910891089109</v>
      </c>
      <c r="E65" s="242">
        <f t="shared" si="13"/>
        <v>11.547005383792516</v>
      </c>
      <c r="F65" s="242">
        <f t="shared" si="14"/>
        <v>8.2462112512353212</v>
      </c>
      <c r="G65" s="242">
        <f t="shared" si="15"/>
        <v>53.407199999999996</v>
      </c>
      <c r="H65" s="242">
        <f t="shared" si="2"/>
        <v>104.72000000000003</v>
      </c>
      <c r="I65" s="242">
        <f t="shared" si="3"/>
        <v>53.407199999999996</v>
      </c>
      <c r="J65" s="242">
        <f t="shared" si="4"/>
        <v>104.72000000000003</v>
      </c>
      <c r="K65" s="242">
        <f t="shared" si="5"/>
        <v>51.312800000000031</v>
      </c>
      <c r="L65" s="242">
        <f t="shared" si="16"/>
        <v>8.0829037686547629</v>
      </c>
      <c r="M65" s="242">
        <f t="shared" si="6"/>
        <v>1.7320508075688767</v>
      </c>
      <c r="N65" s="242">
        <f t="shared" si="7"/>
        <v>36.27607211372257</v>
      </c>
      <c r="O65" s="242">
        <f t="shared" si="8"/>
        <v>1.1026489246448345E-2</v>
      </c>
      <c r="P65" s="242">
        <f t="shared" si="9"/>
        <v>3.1830732673267329E-4</v>
      </c>
      <c r="Q65" s="242">
        <f t="shared" si="17"/>
        <v>21.02686879520013</v>
      </c>
      <c r="R65" s="242">
        <f t="shared" si="18"/>
        <v>2.6153806145638055E-2</v>
      </c>
      <c r="S65" s="250">
        <f t="shared" si="19"/>
        <v>1.6233673663366334E-4</v>
      </c>
      <c r="T65" s="250">
        <f t="shared" si="24"/>
        <v>1.7749641735634397E-2</v>
      </c>
      <c r="U65" s="263">
        <f t="shared" si="25"/>
        <v>4161.9703928173312</v>
      </c>
      <c r="V65" s="263">
        <f t="shared" si="20"/>
        <v>5.7735026918962582</v>
      </c>
      <c r="W65" s="1">
        <f t="shared" si="21"/>
        <v>3.4509029044659082E-6</v>
      </c>
      <c r="X65" s="240">
        <f t="shared" si="26"/>
        <v>3.4509029044659082E-6</v>
      </c>
      <c r="Y65" s="240">
        <f t="shared" si="11"/>
        <v>1.1597057089698624E-4</v>
      </c>
      <c r="Z65" s="248">
        <f t="shared" si="22"/>
        <v>-1.3916468507638349E-3</v>
      </c>
      <c r="AA65" s="239"/>
      <c r="AB65" s="243"/>
      <c r="AD65" s="239"/>
      <c r="AE65" s="239"/>
      <c r="AF65" s="239"/>
      <c r="AJ65" s="240"/>
    </row>
    <row r="66" spans="1:36">
      <c r="A66" s="242">
        <f t="shared" si="23"/>
        <v>45</v>
      </c>
      <c r="B66" s="242">
        <f t="shared" si="12"/>
        <v>1</v>
      </c>
      <c r="C66" s="242">
        <f t="shared" si="0"/>
        <v>2.9950495049504949E-2</v>
      </c>
      <c r="D66" s="242">
        <f t="shared" si="1"/>
        <v>1.8388613861386138</v>
      </c>
      <c r="E66" s="242">
        <f t="shared" si="13"/>
        <v>11.547005383792516</v>
      </c>
      <c r="F66" s="242">
        <f t="shared" si="14"/>
        <v>8.2462112512353212</v>
      </c>
      <c r="G66" s="242">
        <f t="shared" si="15"/>
        <v>53.407199999999996</v>
      </c>
      <c r="H66" s="242">
        <f t="shared" si="2"/>
        <v>104.72000000000003</v>
      </c>
      <c r="I66" s="242">
        <f t="shared" si="3"/>
        <v>53.407199999999996</v>
      </c>
      <c r="J66" s="242">
        <f t="shared" si="4"/>
        <v>104.72000000000003</v>
      </c>
      <c r="K66" s="242">
        <f t="shared" si="5"/>
        <v>51.312800000000031</v>
      </c>
      <c r="L66" s="242">
        <f t="shared" si="16"/>
        <v>8.0829037686547629</v>
      </c>
      <c r="M66" s="242">
        <f t="shared" si="6"/>
        <v>1.7320508075688767</v>
      </c>
      <c r="N66" s="242">
        <f t="shared" si="7"/>
        <v>36.27607211372257</v>
      </c>
      <c r="O66" s="242">
        <f t="shared" si="8"/>
        <v>1.0864863182575324E-2</v>
      </c>
      <c r="P66" s="242">
        <f t="shared" si="9"/>
        <v>3.1364158415841595E-4</v>
      </c>
      <c r="Q66" s="242">
        <f t="shared" si="17"/>
        <v>21.037733658382706</v>
      </c>
      <c r="R66" s="242">
        <f t="shared" si="18"/>
        <v>2.6467447729796471E-2</v>
      </c>
      <c r="S66" s="250">
        <f t="shared" si="19"/>
        <v>1.5995720792079206E-4</v>
      </c>
      <c r="T66" s="250">
        <f t="shared" si="24"/>
        <v>1.7909598943555188E-2</v>
      </c>
      <c r="U66" s="263">
        <f t="shared" si="25"/>
        <v>4162.0003433123811</v>
      </c>
      <c r="V66" s="263">
        <f t="shared" si="20"/>
        <v>5.7735026918962582</v>
      </c>
      <c r="W66" s="1">
        <f t="shared" si="21"/>
        <v>3.4003196371366038E-6</v>
      </c>
      <c r="X66" s="240">
        <f t="shared" si="26"/>
        <v>3.4003196371366038E-6</v>
      </c>
      <c r="Y66" s="240">
        <f t="shared" si="11"/>
        <v>1.1251966799252033E-4</v>
      </c>
      <c r="Z66" s="248">
        <f t="shared" si="22"/>
        <v>-1.3502360159102439E-3</v>
      </c>
      <c r="AA66" s="239"/>
      <c r="AB66" s="243"/>
      <c r="AD66" s="239"/>
      <c r="AE66" s="239"/>
      <c r="AF66" s="239"/>
      <c r="AJ66" s="240"/>
    </row>
    <row r="67" spans="1:36">
      <c r="A67" s="242">
        <f t="shared" si="23"/>
        <v>46</v>
      </c>
      <c r="B67" s="242">
        <f t="shared" si="12"/>
        <v>1</v>
      </c>
      <c r="C67" s="242">
        <f t="shared" si="0"/>
        <v>2.9504950495049503E-2</v>
      </c>
      <c r="D67" s="242">
        <f t="shared" si="1"/>
        <v>1.8683663366336634</v>
      </c>
      <c r="E67" s="242">
        <f t="shared" si="13"/>
        <v>11.547005383792516</v>
      </c>
      <c r="F67" s="242">
        <f t="shared" si="14"/>
        <v>8.2462112512353212</v>
      </c>
      <c r="G67" s="242">
        <f t="shared" si="15"/>
        <v>53.407199999999996</v>
      </c>
      <c r="H67" s="242">
        <f t="shared" si="2"/>
        <v>104.72000000000003</v>
      </c>
      <c r="I67" s="242">
        <f t="shared" si="3"/>
        <v>53.407199999999996</v>
      </c>
      <c r="J67" s="242">
        <f t="shared" si="4"/>
        <v>104.72000000000003</v>
      </c>
      <c r="K67" s="242">
        <f t="shared" si="5"/>
        <v>51.312800000000031</v>
      </c>
      <c r="L67" s="242">
        <f t="shared" si="16"/>
        <v>8.0829037686547629</v>
      </c>
      <c r="M67" s="242">
        <f t="shared" si="6"/>
        <v>1.7320508075688767</v>
      </c>
      <c r="N67" s="242">
        <f t="shared" si="7"/>
        <v>36.27607211372257</v>
      </c>
      <c r="O67" s="242">
        <f t="shared" si="8"/>
        <v>1.0703237118702302E-2</v>
      </c>
      <c r="P67" s="242">
        <f t="shared" si="9"/>
        <v>3.0897584158415844E-4</v>
      </c>
      <c r="Q67" s="242">
        <f t="shared" si="17"/>
        <v>21.048436895501407</v>
      </c>
      <c r="R67" s="242">
        <f t="shared" si="18"/>
        <v>2.6776423571380631E-2</v>
      </c>
      <c r="S67" s="250">
        <f t="shared" si="19"/>
        <v>1.5757767920792075E-4</v>
      </c>
      <c r="T67" s="250">
        <f t="shared" si="24"/>
        <v>1.8067176622763109E-2</v>
      </c>
      <c r="U67" s="263">
        <f t="shared" si="25"/>
        <v>4162.0298482628759</v>
      </c>
      <c r="V67" s="263">
        <f t="shared" si="20"/>
        <v>5.7735026918962582</v>
      </c>
      <c r="W67" s="1">
        <f t="shared" si="21"/>
        <v>3.3497363698072986E-6</v>
      </c>
      <c r="X67" s="240">
        <f t="shared" si="26"/>
        <v>3.3497363698072986E-6</v>
      </c>
      <c r="Y67" s="240">
        <f t="shared" si="11"/>
        <v>1.0911934835538373E-4</v>
      </c>
      <c r="Z67" s="248">
        <f t="shared" si="22"/>
        <v>-1.3094321802646048E-3</v>
      </c>
      <c r="AA67" s="239"/>
      <c r="AB67" s="243"/>
      <c r="AD67" s="239"/>
      <c r="AE67" s="239"/>
      <c r="AF67" s="239"/>
      <c r="AJ67" s="240"/>
    </row>
    <row r="68" spans="1:36">
      <c r="A68" s="242">
        <f t="shared" si="23"/>
        <v>47</v>
      </c>
      <c r="B68" s="242">
        <f t="shared" si="12"/>
        <v>1</v>
      </c>
      <c r="C68" s="242">
        <f t="shared" si="0"/>
        <v>2.9059405940594057E-2</v>
      </c>
      <c r="D68" s="242">
        <f t="shared" si="1"/>
        <v>1.8974257425742573</v>
      </c>
      <c r="E68" s="242">
        <f t="shared" si="13"/>
        <v>11.547005383792516</v>
      </c>
      <c r="F68" s="242">
        <f t="shared" si="14"/>
        <v>8.2462112512353212</v>
      </c>
      <c r="G68" s="242">
        <f t="shared" si="15"/>
        <v>53.407199999999996</v>
      </c>
      <c r="H68" s="242">
        <f t="shared" si="2"/>
        <v>104.72000000000003</v>
      </c>
      <c r="I68" s="242">
        <f t="shared" si="3"/>
        <v>53.407199999999996</v>
      </c>
      <c r="J68" s="242">
        <f t="shared" si="4"/>
        <v>104.72000000000003</v>
      </c>
      <c r="K68" s="242">
        <f t="shared" si="5"/>
        <v>51.312800000000031</v>
      </c>
      <c r="L68" s="242">
        <f t="shared" si="16"/>
        <v>8.0829037686547629</v>
      </c>
      <c r="M68" s="242">
        <f t="shared" si="6"/>
        <v>1.7320508075688767</v>
      </c>
      <c r="N68" s="242">
        <f t="shared" si="7"/>
        <v>36.27607211372257</v>
      </c>
      <c r="O68" s="242">
        <f t="shared" si="8"/>
        <v>1.0541611054829281E-2</v>
      </c>
      <c r="P68" s="242">
        <f t="shared" si="9"/>
        <v>3.0431009900990105E-4</v>
      </c>
      <c r="Q68" s="242">
        <f t="shared" si="17"/>
        <v>21.058978506556237</v>
      </c>
      <c r="R68" s="242">
        <f t="shared" si="18"/>
        <v>2.708073367039053E-2</v>
      </c>
      <c r="S68" s="250">
        <f t="shared" si="19"/>
        <v>1.5519815049504947E-4</v>
      </c>
      <c r="T68" s="250">
        <f t="shared" si="24"/>
        <v>1.8222374773258158E-2</v>
      </c>
      <c r="U68" s="263">
        <f t="shared" si="25"/>
        <v>4162.0589076688166</v>
      </c>
      <c r="V68" s="263">
        <f t="shared" si="20"/>
        <v>5.7735026918962582</v>
      </c>
      <c r="W68" s="1">
        <f t="shared" si="21"/>
        <v>3.2991531024779943E-6</v>
      </c>
      <c r="X68" s="240">
        <f t="shared" si="26"/>
        <v>3.2991531024779943E-6</v>
      </c>
      <c r="Y68" s="240">
        <f t="shared" si="11"/>
        <v>1.0576961198557643E-4</v>
      </c>
      <c r="Z68" s="248">
        <f t="shared" si="22"/>
        <v>-1.2692353438269171E-3</v>
      </c>
      <c r="AA68" s="239"/>
      <c r="AB68" s="243"/>
      <c r="AD68" s="239"/>
      <c r="AE68" s="239"/>
      <c r="AF68" s="239"/>
      <c r="AJ68" s="240"/>
    </row>
    <row r="69" spans="1:36">
      <c r="A69" s="242">
        <f t="shared" si="23"/>
        <v>48</v>
      </c>
      <c r="B69" s="242">
        <f t="shared" si="12"/>
        <v>1</v>
      </c>
      <c r="C69" s="242">
        <f t="shared" si="0"/>
        <v>2.8613861386138612E-2</v>
      </c>
      <c r="D69" s="242">
        <f t="shared" si="1"/>
        <v>1.926039603960396</v>
      </c>
      <c r="E69" s="242">
        <f t="shared" si="13"/>
        <v>11.547005383792516</v>
      </c>
      <c r="F69" s="242">
        <f t="shared" si="14"/>
        <v>8.2462112512353212</v>
      </c>
      <c r="G69" s="242">
        <f t="shared" si="15"/>
        <v>53.407199999999996</v>
      </c>
      <c r="H69" s="242">
        <f t="shared" si="2"/>
        <v>104.72000000000003</v>
      </c>
      <c r="I69" s="242">
        <f t="shared" si="3"/>
        <v>53.407199999999996</v>
      </c>
      <c r="J69" s="242">
        <f t="shared" si="4"/>
        <v>104.72000000000003</v>
      </c>
      <c r="K69" s="242">
        <f t="shared" si="5"/>
        <v>51.312800000000031</v>
      </c>
      <c r="L69" s="242">
        <f t="shared" si="16"/>
        <v>8.0829037686547629</v>
      </c>
      <c r="M69" s="242">
        <f t="shared" si="6"/>
        <v>1.7320508075688767</v>
      </c>
      <c r="N69" s="242">
        <f t="shared" si="7"/>
        <v>36.27607211372257</v>
      </c>
      <c r="O69" s="242">
        <f t="shared" si="8"/>
        <v>1.037998499095626E-2</v>
      </c>
      <c r="P69" s="242">
        <f t="shared" si="9"/>
        <v>2.9964435643564359E-4</v>
      </c>
      <c r="Q69" s="242">
        <f t="shared" si="17"/>
        <v>21.069358491547192</v>
      </c>
      <c r="R69" s="242">
        <f t="shared" si="18"/>
        <v>2.7380378026826174E-2</v>
      </c>
      <c r="S69" s="250">
        <f t="shared" si="19"/>
        <v>1.5281862178217819E-4</v>
      </c>
      <c r="T69" s="250">
        <f t="shared" si="24"/>
        <v>1.8375193395040335E-2</v>
      </c>
      <c r="U69" s="263">
        <f t="shared" si="25"/>
        <v>4162.087521530203</v>
      </c>
      <c r="V69" s="263">
        <f t="shared" si="20"/>
        <v>5.7735026918962582</v>
      </c>
      <c r="W69" s="1">
        <f t="shared" si="21"/>
        <v>3.2485698351486887E-6</v>
      </c>
      <c r="X69" s="240">
        <f t="shared" si="26"/>
        <v>3.2485698351486887E-6</v>
      </c>
      <c r="Y69" s="240">
        <f t="shared" si="11"/>
        <v>1.0247045888309843E-4</v>
      </c>
      <c r="Z69" s="248">
        <f t="shared" si="22"/>
        <v>-1.2296455065971812E-3</v>
      </c>
      <c r="AA69" s="239"/>
      <c r="AB69" s="243"/>
      <c r="AD69" s="239"/>
      <c r="AE69" s="239"/>
      <c r="AF69" s="239"/>
      <c r="AJ69" s="240"/>
    </row>
    <row r="70" spans="1:36">
      <c r="A70" s="242">
        <f t="shared" si="23"/>
        <v>49</v>
      </c>
      <c r="B70" s="242">
        <f t="shared" si="12"/>
        <v>1</v>
      </c>
      <c r="C70" s="242">
        <f t="shared" si="0"/>
        <v>2.8168316831683169E-2</v>
      </c>
      <c r="D70" s="242">
        <f t="shared" si="1"/>
        <v>1.9542079207920793</v>
      </c>
      <c r="E70" s="242">
        <f t="shared" si="13"/>
        <v>11.547005383792516</v>
      </c>
      <c r="F70" s="242">
        <f t="shared" si="14"/>
        <v>8.2462112512353212</v>
      </c>
      <c r="G70" s="242">
        <f t="shared" si="15"/>
        <v>53.407199999999996</v>
      </c>
      <c r="H70" s="242">
        <f t="shared" si="2"/>
        <v>104.72000000000003</v>
      </c>
      <c r="I70" s="242">
        <f t="shared" si="3"/>
        <v>53.407199999999996</v>
      </c>
      <c r="J70" s="242">
        <f t="shared" si="4"/>
        <v>104.72000000000003</v>
      </c>
      <c r="K70" s="242">
        <f t="shared" si="5"/>
        <v>51.312800000000031</v>
      </c>
      <c r="L70" s="242">
        <f t="shared" si="16"/>
        <v>8.0829037686547629</v>
      </c>
      <c r="M70" s="242">
        <f t="shared" si="6"/>
        <v>1.7320508075688767</v>
      </c>
      <c r="N70" s="242">
        <f t="shared" si="7"/>
        <v>36.27607211372257</v>
      </c>
      <c r="O70" s="242">
        <f t="shared" si="8"/>
        <v>1.0218358927083237E-2</v>
      </c>
      <c r="P70" s="242">
        <f t="shared" si="9"/>
        <v>2.949786138613862E-4</v>
      </c>
      <c r="Q70" s="242">
        <f t="shared" si="17"/>
        <v>21.079576850474275</v>
      </c>
      <c r="R70" s="242">
        <f t="shared" si="18"/>
        <v>2.767535664068756E-2</v>
      </c>
      <c r="S70" s="250">
        <f t="shared" si="19"/>
        <v>1.5043909306930691E-4</v>
      </c>
      <c r="T70" s="250">
        <f t="shared" si="24"/>
        <v>1.8525632488109643E-2</v>
      </c>
      <c r="U70" s="263">
        <f t="shared" si="25"/>
        <v>4162.1156898470344</v>
      </c>
      <c r="V70" s="263">
        <f t="shared" si="20"/>
        <v>5.7735026918962582</v>
      </c>
      <c r="W70" s="1">
        <f t="shared" si="21"/>
        <v>3.1979865678193843E-6</v>
      </c>
      <c r="X70" s="240">
        <f t="shared" si="26"/>
        <v>3.1979865678193843E-6</v>
      </c>
      <c r="Y70" s="240">
        <f t="shared" si="11"/>
        <v>9.9221889047949738E-5</v>
      </c>
      <c r="Z70" s="248">
        <f t="shared" si="22"/>
        <v>-1.1906626685753968E-3</v>
      </c>
      <c r="AA70" s="239"/>
      <c r="AB70" s="243"/>
      <c r="AD70" s="239"/>
      <c r="AE70" s="239"/>
      <c r="AF70" s="239"/>
      <c r="AJ70" s="240"/>
    </row>
    <row r="71" spans="1:36">
      <c r="A71" s="242">
        <f t="shared" si="23"/>
        <v>50</v>
      </c>
      <c r="B71" s="242">
        <f t="shared" si="12"/>
        <v>1</v>
      </c>
      <c r="C71" s="242">
        <f t="shared" si="0"/>
        <v>2.7722772277227723E-2</v>
      </c>
      <c r="D71" s="242">
        <f t="shared" si="1"/>
        <v>1.981930693069307</v>
      </c>
      <c r="E71" s="242">
        <f t="shared" si="13"/>
        <v>11.547005383792516</v>
      </c>
      <c r="F71" s="242">
        <f t="shared" si="14"/>
        <v>8.2462112512353212</v>
      </c>
      <c r="G71" s="242">
        <f t="shared" si="15"/>
        <v>53.407199999999996</v>
      </c>
      <c r="H71" s="242">
        <f t="shared" si="2"/>
        <v>104.72000000000003</v>
      </c>
      <c r="I71" s="242">
        <f t="shared" si="3"/>
        <v>53.407199999999996</v>
      </c>
      <c r="J71" s="242">
        <f t="shared" si="4"/>
        <v>104.72000000000003</v>
      </c>
      <c r="K71" s="242">
        <f t="shared" si="5"/>
        <v>51.312800000000031</v>
      </c>
      <c r="L71" s="242">
        <f t="shared" si="16"/>
        <v>8.0829037686547629</v>
      </c>
      <c r="M71" s="242">
        <f t="shared" si="6"/>
        <v>1.7320508075688767</v>
      </c>
      <c r="N71" s="242">
        <f t="shared" si="7"/>
        <v>36.27607211372257</v>
      </c>
      <c r="O71" s="242">
        <f t="shared" si="8"/>
        <v>1.0056732863210217E-2</v>
      </c>
      <c r="P71" s="242">
        <f t="shared" si="9"/>
        <v>2.903128712871288E-4</v>
      </c>
      <c r="Q71" s="242">
        <f t="shared" si="17"/>
        <v>21.089633583337484</v>
      </c>
      <c r="R71" s="242">
        <f t="shared" si="18"/>
        <v>2.796566951197469E-2</v>
      </c>
      <c r="S71" s="250">
        <f t="shared" si="19"/>
        <v>1.4805956435643563E-4</v>
      </c>
      <c r="T71" s="250">
        <f t="shared" si="24"/>
        <v>1.8673692052466079E-2</v>
      </c>
      <c r="U71" s="263">
        <f t="shared" si="25"/>
        <v>4162.1434126193117</v>
      </c>
      <c r="V71" s="263">
        <f t="shared" si="20"/>
        <v>5.7735026918962582</v>
      </c>
      <c r="W71" s="1">
        <f t="shared" si="21"/>
        <v>3.1474033004900795E-6</v>
      </c>
      <c r="X71" s="240">
        <f t="shared" si="26"/>
        <v>3.1474033004900795E-6</v>
      </c>
      <c r="Y71" s="240">
        <f t="shared" si="11"/>
        <v>9.6023902480130353E-5</v>
      </c>
      <c r="Z71" s="248">
        <f t="shared" si="22"/>
        <v>-1.1522868297615643E-3</v>
      </c>
      <c r="AA71" s="239"/>
      <c r="AB71" s="243"/>
      <c r="AD71" s="239"/>
      <c r="AE71" s="239"/>
      <c r="AF71" s="239"/>
      <c r="AJ71" s="240"/>
    </row>
    <row r="72" spans="1:36">
      <c r="A72" s="242">
        <f t="shared" si="23"/>
        <v>51</v>
      </c>
      <c r="B72" s="242">
        <f t="shared" si="12"/>
        <v>1</v>
      </c>
      <c r="C72" s="242">
        <f t="shared" si="0"/>
        <v>2.7277227722772277E-2</v>
      </c>
      <c r="D72" s="242">
        <f t="shared" si="1"/>
        <v>2.009207920792079</v>
      </c>
      <c r="E72" s="242">
        <f t="shared" si="13"/>
        <v>11.547005383792516</v>
      </c>
      <c r="F72" s="242">
        <f t="shared" si="14"/>
        <v>8.2462112512353212</v>
      </c>
      <c r="G72" s="242">
        <f t="shared" si="15"/>
        <v>53.407199999999996</v>
      </c>
      <c r="H72" s="242">
        <f t="shared" si="2"/>
        <v>104.72000000000003</v>
      </c>
      <c r="I72" s="242">
        <f t="shared" si="3"/>
        <v>53.407199999999996</v>
      </c>
      <c r="J72" s="242">
        <f t="shared" si="4"/>
        <v>104.72000000000003</v>
      </c>
      <c r="K72" s="242">
        <f t="shared" si="5"/>
        <v>51.312800000000031</v>
      </c>
      <c r="L72" s="242">
        <f t="shared" si="16"/>
        <v>8.0829037686547629</v>
      </c>
      <c r="M72" s="242">
        <f t="shared" si="6"/>
        <v>1.7320508075688767</v>
      </c>
      <c r="N72" s="242">
        <f t="shared" si="7"/>
        <v>36.27607211372257</v>
      </c>
      <c r="O72" s="242">
        <f t="shared" si="8"/>
        <v>9.8951067993371961E-3</v>
      </c>
      <c r="P72" s="242">
        <f t="shared" si="9"/>
        <v>2.8564712871287135E-4</v>
      </c>
      <c r="Q72" s="242">
        <f t="shared" si="17"/>
        <v>21.099528690136822</v>
      </c>
      <c r="R72" s="242">
        <f t="shared" si="18"/>
        <v>2.8251316640687561E-2</v>
      </c>
      <c r="S72" s="250">
        <f t="shared" si="19"/>
        <v>1.4568003564356433E-4</v>
      </c>
      <c r="T72" s="250">
        <f t="shared" si="24"/>
        <v>1.8819372088109642E-2</v>
      </c>
      <c r="U72" s="263">
        <f t="shared" si="25"/>
        <v>4162.1706898470347</v>
      </c>
      <c r="V72" s="263">
        <f t="shared" si="20"/>
        <v>5.7735026918962582</v>
      </c>
      <c r="W72" s="1">
        <f t="shared" si="21"/>
        <v>3.0968200331607748E-6</v>
      </c>
      <c r="X72" s="240">
        <f t="shared" si="26"/>
        <v>3.0968200331607748E-6</v>
      </c>
      <c r="Y72" s="240">
        <f t="shared" si="11"/>
        <v>9.2876499179640274E-5</v>
      </c>
      <c r="Z72" s="248">
        <f t="shared" si="22"/>
        <v>-1.1145179901556833E-3</v>
      </c>
      <c r="AA72" s="239"/>
      <c r="AB72" s="243"/>
      <c r="AD72" s="239"/>
      <c r="AE72" s="239"/>
      <c r="AF72" s="239"/>
      <c r="AJ72" s="240"/>
    </row>
    <row r="73" spans="1:36">
      <c r="A73" s="242">
        <f t="shared" si="23"/>
        <v>52</v>
      </c>
      <c r="B73" s="242">
        <f t="shared" si="12"/>
        <v>1</v>
      </c>
      <c r="C73" s="242">
        <f t="shared" si="0"/>
        <v>2.6831683168316831E-2</v>
      </c>
      <c r="D73" s="242">
        <f t="shared" si="1"/>
        <v>2.0360396039603961</v>
      </c>
      <c r="E73" s="242">
        <f t="shared" si="13"/>
        <v>11.547005383792516</v>
      </c>
      <c r="F73" s="242">
        <f t="shared" si="14"/>
        <v>8.2462112512353212</v>
      </c>
      <c r="G73" s="242">
        <f t="shared" si="15"/>
        <v>53.407199999999996</v>
      </c>
      <c r="H73" s="242">
        <f t="shared" si="2"/>
        <v>104.72000000000003</v>
      </c>
      <c r="I73" s="242">
        <f t="shared" si="3"/>
        <v>53.407199999999996</v>
      </c>
      <c r="J73" s="242">
        <f t="shared" si="4"/>
        <v>104.72000000000003</v>
      </c>
      <c r="K73" s="242">
        <f t="shared" si="5"/>
        <v>51.312800000000031</v>
      </c>
      <c r="L73" s="242">
        <f t="shared" si="16"/>
        <v>8.0829037686547629</v>
      </c>
      <c r="M73" s="242">
        <f t="shared" si="6"/>
        <v>1.7320508075688767</v>
      </c>
      <c r="N73" s="242">
        <f t="shared" si="7"/>
        <v>36.27607211372257</v>
      </c>
      <c r="O73" s="242">
        <f t="shared" si="8"/>
        <v>9.7334807354641749E-3</v>
      </c>
      <c r="P73" s="242">
        <f t="shared" si="9"/>
        <v>2.8098138613861389E-4</v>
      </c>
      <c r="Q73" s="242">
        <f t="shared" si="17"/>
        <v>21.109262170872285</v>
      </c>
      <c r="R73" s="242">
        <f t="shared" si="18"/>
        <v>2.8532298026826174E-2</v>
      </c>
      <c r="S73" s="250">
        <f t="shared" si="19"/>
        <v>1.4330050693069305E-4</v>
      </c>
      <c r="T73" s="250">
        <f t="shared" si="24"/>
        <v>1.8962672595040336E-2</v>
      </c>
      <c r="U73" s="263">
        <f t="shared" si="25"/>
        <v>4162.1975215302027</v>
      </c>
      <c r="V73" s="263">
        <f t="shared" si="20"/>
        <v>5.7735026918962582</v>
      </c>
      <c r="W73" s="1">
        <f t="shared" si="21"/>
        <v>3.0462367658314696E-6</v>
      </c>
      <c r="X73" s="240">
        <f t="shared" si="26"/>
        <v>3.0462367658314696E-6</v>
      </c>
      <c r="Y73" s="240">
        <f t="shared" si="11"/>
        <v>8.9779679146479501E-5</v>
      </c>
      <c r="Z73" s="248">
        <f t="shared" si="22"/>
        <v>-1.077356149757754E-3</v>
      </c>
      <c r="AA73" s="239"/>
      <c r="AB73" s="243"/>
      <c r="AD73" s="239"/>
      <c r="AE73" s="239"/>
      <c r="AF73" s="239"/>
      <c r="AJ73" s="240"/>
    </row>
    <row r="74" spans="1:36">
      <c r="A74" s="242">
        <f t="shared" si="23"/>
        <v>53</v>
      </c>
      <c r="B74" s="242">
        <f t="shared" si="12"/>
        <v>1</v>
      </c>
      <c r="C74" s="242">
        <f t="shared" si="0"/>
        <v>2.6386138613861385E-2</v>
      </c>
      <c r="D74" s="242">
        <f t="shared" si="1"/>
        <v>2.0624257425742574</v>
      </c>
      <c r="E74" s="242">
        <f t="shared" si="13"/>
        <v>11.547005383792516</v>
      </c>
      <c r="F74" s="242">
        <f t="shared" si="14"/>
        <v>8.2462112512353212</v>
      </c>
      <c r="G74" s="242">
        <f t="shared" si="15"/>
        <v>53.407199999999996</v>
      </c>
      <c r="H74" s="242">
        <f t="shared" si="2"/>
        <v>104.72000000000003</v>
      </c>
      <c r="I74" s="242">
        <f t="shared" si="3"/>
        <v>53.407199999999996</v>
      </c>
      <c r="J74" s="242">
        <f t="shared" si="4"/>
        <v>104.72000000000003</v>
      </c>
      <c r="K74" s="242">
        <f t="shared" si="5"/>
        <v>51.312800000000031</v>
      </c>
      <c r="L74" s="242">
        <f t="shared" si="16"/>
        <v>8.0829037686547629</v>
      </c>
      <c r="M74" s="242">
        <f t="shared" si="6"/>
        <v>1.7320508075688767</v>
      </c>
      <c r="N74" s="242">
        <f t="shared" si="7"/>
        <v>36.27607211372257</v>
      </c>
      <c r="O74" s="242">
        <f t="shared" si="8"/>
        <v>9.5718546715911519E-3</v>
      </c>
      <c r="P74" s="242">
        <f t="shared" si="9"/>
        <v>2.7631564356435644E-4</v>
      </c>
      <c r="Q74" s="242">
        <f t="shared" si="17"/>
        <v>21.118834025543876</v>
      </c>
      <c r="R74" s="242">
        <f t="shared" si="18"/>
        <v>2.8808613670390532E-2</v>
      </c>
      <c r="S74" s="250">
        <f t="shared" si="19"/>
        <v>1.4092097821782177E-4</v>
      </c>
      <c r="T74" s="250">
        <f t="shared" si="24"/>
        <v>1.9103593573258158E-2</v>
      </c>
      <c r="U74" s="263">
        <f t="shared" si="25"/>
        <v>4162.2239076688165</v>
      </c>
      <c r="V74" s="263">
        <f t="shared" si="20"/>
        <v>5.7735026918962582</v>
      </c>
      <c r="W74" s="1">
        <f t="shared" si="21"/>
        <v>2.9956534985021648E-6</v>
      </c>
      <c r="X74" s="240">
        <f t="shared" si="26"/>
        <v>2.9956534985021648E-6</v>
      </c>
      <c r="Y74" s="240">
        <f t="shared" si="11"/>
        <v>8.6733442380648035E-5</v>
      </c>
      <c r="Z74" s="248">
        <f t="shared" si="22"/>
        <v>-1.0408013085677764E-3</v>
      </c>
      <c r="AA74" s="239"/>
      <c r="AB74" s="243"/>
      <c r="AD74" s="239"/>
      <c r="AE74" s="239"/>
      <c r="AF74" s="239"/>
      <c r="AJ74" s="240"/>
    </row>
    <row r="75" spans="1:36">
      <c r="A75" s="242">
        <f t="shared" si="23"/>
        <v>54</v>
      </c>
      <c r="B75" s="242">
        <f t="shared" si="12"/>
        <v>1</v>
      </c>
      <c r="C75" s="242">
        <f t="shared" si="0"/>
        <v>2.5940594059405939E-2</v>
      </c>
      <c r="D75" s="242">
        <f t="shared" si="1"/>
        <v>2.0883663366336633</v>
      </c>
      <c r="E75" s="242">
        <f t="shared" si="13"/>
        <v>11.547005383792516</v>
      </c>
      <c r="F75" s="242">
        <f t="shared" si="14"/>
        <v>8.2462112512353212</v>
      </c>
      <c r="G75" s="242">
        <f t="shared" si="15"/>
        <v>53.407199999999996</v>
      </c>
      <c r="H75" s="242">
        <f t="shared" si="2"/>
        <v>104.72000000000003</v>
      </c>
      <c r="I75" s="242">
        <f t="shared" si="3"/>
        <v>53.407199999999996</v>
      </c>
      <c r="J75" s="242">
        <f t="shared" si="4"/>
        <v>104.72000000000003</v>
      </c>
      <c r="K75" s="242">
        <f t="shared" si="5"/>
        <v>51.312800000000031</v>
      </c>
      <c r="L75" s="242">
        <f t="shared" si="16"/>
        <v>8.0829037686547629</v>
      </c>
      <c r="M75" s="242">
        <f t="shared" si="6"/>
        <v>1.7320508075688767</v>
      </c>
      <c r="N75" s="242">
        <f t="shared" si="7"/>
        <v>36.27607211372257</v>
      </c>
      <c r="O75" s="242">
        <f t="shared" si="8"/>
        <v>9.4102286077181307E-3</v>
      </c>
      <c r="P75" s="242">
        <f t="shared" si="9"/>
        <v>2.716499009900991E-4</v>
      </c>
      <c r="Q75" s="242">
        <f t="shared" si="17"/>
        <v>21.128244254151593</v>
      </c>
      <c r="R75" s="242">
        <f t="shared" si="18"/>
        <v>2.9080263571380632E-2</v>
      </c>
      <c r="S75" s="250">
        <f t="shared" si="19"/>
        <v>1.3854144950495046E-4</v>
      </c>
      <c r="T75" s="250">
        <f t="shared" si="24"/>
        <v>1.9242135022763108E-2</v>
      </c>
      <c r="U75" s="263">
        <f t="shared" si="25"/>
        <v>4162.2498482628762</v>
      </c>
      <c r="V75" s="263">
        <f t="shared" si="20"/>
        <v>5.7735026918962582</v>
      </c>
      <c r="W75" s="1">
        <f t="shared" si="21"/>
        <v>2.94507023117286E-6</v>
      </c>
      <c r="X75" s="240">
        <f t="shared" si="26"/>
        <v>2.94507023117286E-6</v>
      </c>
      <c r="Y75" s="240">
        <f t="shared" si="11"/>
        <v>8.3737788882145875E-5</v>
      </c>
      <c r="Z75" s="248">
        <f t="shared" si="22"/>
        <v>-1.0048534665857505E-3</v>
      </c>
      <c r="AA75" s="239"/>
      <c r="AB75" s="243"/>
      <c r="AD75" s="239"/>
      <c r="AE75" s="239"/>
      <c r="AF75" s="239"/>
      <c r="AJ75" s="240"/>
    </row>
    <row r="76" spans="1:36">
      <c r="A76" s="242">
        <f t="shared" si="23"/>
        <v>55</v>
      </c>
      <c r="B76" s="242">
        <f t="shared" si="12"/>
        <v>1</v>
      </c>
      <c r="C76" s="242">
        <f t="shared" si="0"/>
        <v>2.5495049504950493E-2</v>
      </c>
      <c r="D76" s="242">
        <f t="shared" si="1"/>
        <v>2.113861386138614</v>
      </c>
      <c r="E76" s="242">
        <f t="shared" si="13"/>
        <v>11.547005383792516</v>
      </c>
      <c r="F76" s="242">
        <f t="shared" si="14"/>
        <v>8.2462112512353212</v>
      </c>
      <c r="G76" s="242">
        <f t="shared" si="15"/>
        <v>53.407199999999996</v>
      </c>
      <c r="H76" s="242">
        <f t="shared" si="2"/>
        <v>104.72000000000003</v>
      </c>
      <c r="I76" s="242">
        <f t="shared" si="3"/>
        <v>53.407199999999996</v>
      </c>
      <c r="J76" s="242">
        <f t="shared" si="4"/>
        <v>104.72000000000003</v>
      </c>
      <c r="K76" s="242">
        <f t="shared" si="5"/>
        <v>51.312800000000031</v>
      </c>
      <c r="L76" s="242">
        <f t="shared" si="16"/>
        <v>8.0829037686547629</v>
      </c>
      <c r="M76" s="242">
        <f t="shared" si="6"/>
        <v>1.7320508075688767</v>
      </c>
      <c r="N76" s="242">
        <f t="shared" si="7"/>
        <v>36.27607211372257</v>
      </c>
      <c r="O76" s="242">
        <f t="shared" si="8"/>
        <v>9.2486025438451094E-3</v>
      </c>
      <c r="P76" s="242">
        <f t="shared" si="9"/>
        <v>2.6698415841584165E-4</v>
      </c>
      <c r="Q76" s="242">
        <f t="shared" si="17"/>
        <v>21.137492856695438</v>
      </c>
      <c r="R76" s="242">
        <f t="shared" si="18"/>
        <v>2.9347247729796473E-2</v>
      </c>
      <c r="S76" s="250">
        <f t="shared" si="19"/>
        <v>1.3616192079207918E-4</v>
      </c>
      <c r="T76" s="250">
        <f t="shared" si="24"/>
        <v>1.9378296943555189E-2</v>
      </c>
      <c r="U76" s="263">
        <f t="shared" si="25"/>
        <v>4162.2753433123808</v>
      </c>
      <c r="V76" s="263">
        <f t="shared" si="20"/>
        <v>5.7735026918962582</v>
      </c>
      <c r="W76" s="1">
        <f t="shared" si="21"/>
        <v>2.8944869638435548E-6</v>
      </c>
      <c r="X76" s="240">
        <f t="shared" si="26"/>
        <v>2.8944869638435548E-6</v>
      </c>
      <c r="Y76" s="240">
        <f t="shared" si="11"/>
        <v>8.0792718650973008E-5</v>
      </c>
      <c r="Z76" s="248">
        <f t="shared" si="22"/>
        <v>-9.695126238116761E-4</v>
      </c>
      <c r="AA76" s="239"/>
      <c r="AB76" s="243"/>
      <c r="AD76" s="239"/>
      <c r="AE76" s="239"/>
      <c r="AF76" s="239"/>
      <c r="AJ76" s="240"/>
    </row>
    <row r="77" spans="1:36">
      <c r="A77" s="242">
        <f t="shared" si="23"/>
        <v>56</v>
      </c>
      <c r="B77" s="242">
        <f t="shared" si="12"/>
        <v>1</v>
      </c>
      <c r="C77" s="242">
        <f t="shared" si="0"/>
        <v>2.5049504950495047E-2</v>
      </c>
      <c r="D77" s="242">
        <f t="shared" si="1"/>
        <v>2.1389108910891088</v>
      </c>
      <c r="E77" s="242">
        <f t="shared" si="13"/>
        <v>11.547005383792516</v>
      </c>
      <c r="F77" s="242">
        <f t="shared" si="14"/>
        <v>8.2462112512353212</v>
      </c>
      <c r="G77" s="242">
        <f t="shared" si="15"/>
        <v>53.407199999999996</v>
      </c>
      <c r="H77" s="242">
        <f t="shared" si="2"/>
        <v>104.72000000000003</v>
      </c>
      <c r="I77" s="242">
        <f t="shared" si="3"/>
        <v>53.407199999999996</v>
      </c>
      <c r="J77" s="242">
        <f t="shared" si="4"/>
        <v>104.72000000000003</v>
      </c>
      <c r="K77" s="242">
        <f t="shared" si="5"/>
        <v>51.312800000000031</v>
      </c>
      <c r="L77" s="242">
        <f t="shared" si="16"/>
        <v>8.0829037686547629</v>
      </c>
      <c r="M77" s="242">
        <f t="shared" si="6"/>
        <v>1.7320508075688767</v>
      </c>
      <c r="N77" s="242">
        <f t="shared" si="7"/>
        <v>36.27607211372257</v>
      </c>
      <c r="O77" s="242">
        <f t="shared" si="8"/>
        <v>9.0869764799720882E-3</v>
      </c>
      <c r="P77" s="242">
        <f t="shared" si="9"/>
        <v>2.6231841584158419E-4</v>
      </c>
      <c r="Q77" s="242">
        <f t="shared" si="17"/>
        <v>21.146579833175409</v>
      </c>
      <c r="R77" s="242">
        <f t="shared" si="18"/>
        <v>2.9609566145638058E-2</v>
      </c>
      <c r="S77" s="250">
        <f t="shared" si="19"/>
        <v>1.337823920792079E-4</v>
      </c>
      <c r="T77" s="250">
        <f t="shared" si="24"/>
        <v>1.9512079335634397E-2</v>
      </c>
      <c r="U77" s="263">
        <f t="shared" si="25"/>
        <v>4162.3003928173312</v>
      </c>
      <c r="V77" s="263">
        <f t="shared" si="20"/>
        <v>5.7735026918962582</v>
      </c>
      <c r="W77" s="1">
        <f t="shared" si="21"/>
        <v>2.8439036965142505E-6</v>
      </c>
      <c r="X77" s="240">
        <f t="shared" si="26"/>
        <v>2.8439036965142505E-6</v>
      </c>
      <c r="Y77" s="240">
        <f t="shared" si="11"/>
        <v>7.7898231687129448E-5</v>
      </c>
      <c r="Z77" s="248">
        <f t="shared" si="22"/>
        <v>-9.3477878024555332E-4</v>
      </c>
      <c r="AA77" s="239"/>
      <c r="AB77" s="243"/>
      <c r="AD77" s="239"/>
      <c r="AE77" s="239"/>
      <c r="AF77" s="239"/>
      <c r="AJ77" s="240"/>
    </row>
    <row r="78" spans="1:36">
      <c r="A78" s="242">
        <f t="shared" si="23"/>
        <v>57</v>
      </c>
      <c r="B78" s="242">
        <f t="shared" si="12"/>
        <v>1</v>
      </c>
      <c r="C78" s="242">
        <f t="shared" si="0"/>
        <v>2.4603960396039602E-2</v>
      </c>
      <c r="D78" s="242">
        <f t="shared" si="1"/>
        <v>2.1635148514851483</v>
      </c>
      <c r="E78" s="242">
        <f t="shared" si="13"/>
        <v>11.547005383792516</v>
      </c>
      <c r="F78" s="242">
        <f t="shared" si="14"/>
        <v>8.2462112512353212</v>
      </c>
      <c r="G78" s="242">
        <f t="shared" si="15"/>
        <v>53.407199999999996</v>
      </c>
      <c r="H78" s="242">
        <f t="shared" si="2"/>
        <v>104.72000000000003</v>
      </c>
      <c r="I78" s="242">
        <f t="shared" si="3"/>
        <v>53.407199999999996</v>
      </c>
      <c r="J78" s="242">
        <f t="shared" si="4"/>
        <v>104.72000000000003</v>
      </c>
      <c r="K78" s="242">
        <f t="shared" si="5"/>
        <v>51.312800000000031</v>
      </c>
      <c r="L78" s="242">
        <f t="shared" si="16"/>
        <v>8.0829037686547629</v>
      </c>
      <c r="M78" s="242">
        <f t="shared" si="6"/>
        <v>1.7320508075688767</v>
      </c>
      <c r="N78" s="242">
        <f t="shared" si="7"/>
        <v>36.27607211372257</v>
      </c>
      <c r="O78" s="242">
        <f t="shared" si="8"/>
        <v>8.925350416099067E-3</v>
      </c>
      <c r="P78" s="242">
        <f t="shared" si="9"/>
        <v>2.5765267326732674E-4</v>
      </c>
      <c r="Q78" s="242">
        <f t="shared" si="17"/>
        <v>21.155505183591508</v>
      </c>
      <c r="R78" s="242">
        <f t="shared" si="18"/>
        <v>2.9867218818905385E-2</v>
      </c>
      <c r="S78" s="250">
        <f t="shared" si="19"/>
        <v>1.3140286336633659E-4</v>
      </c>
      <c r="T78" s="250">
        <f t="shared" si="24"/>
        <v>1.9643482199000733E-2</v>
      </c>
      <c r="U78" s="263">
        <f t="shared" si="25"/>
        <v>4162.3249967777274</v>
      </c>
      <c r="V78" s="263">
        <f t="shared" si="20"/>
        <v>5.7735026918962582</v>
      </c>
      <c r="W78" s="1">
        <f t="shared" si="21"/>
        <v>2.7933204291849453E-6</v>
      </c>
      <c r="X78" s="240">
        <f t="shared" si="26"/>
        <v>2.7933204291849453E-6</v>
      </c>
      <c r="Y78" s="240">
        <f t="shared" si="11"/>
        <v>7.5054327990615194E-5</v>
      </c>
      <c r="Z78" s="248">
        <f t="shared" si="22"/>
        <v>-9.0065193588738227E-4</v>
      </c>
      <c r="AA78" s="239"/>
      <c r="AB78" s="243"/>
      <c r="AD78" s="239"/>
      <c r="AE78" s="239"/>
      <c r="AF78" s="239"/>
      <c r="AJ78" s="240"/>
    </row>
    <row r="79" spans="1:36">
      <c r="A79" s="242">
        <f t="shared" si="23"/>
        <v>58</v>
      </c>
      <c r="B79" s="242">
        <f t="shared" si="12"/>
        <v>1</v>
      </c>
      <c r="C79" s="242">
        <f t="shared" si="0"/>
        <v>2.4158415841584156E-2</v>
      </c>
      <c r="D79" s="242">
        <f t="shared" si="1"/>
        <v>2.1876732673267325</v>
      </c>
      <c r="E79" s="242">
        <f t="shared" si="13"/>
        <v>11.547005383792516</v>
      </c>
      <c r="F79" s="242">
        <f t="shared" si="14"/>
        <v>8.2462112512353212</v>
      </c>
      <c r="G79" s="242">
        <f t="shared" si="15"/>
        <v>53.407199999999996</v>
      </c>
      <c r="H79" s="242">
        <f t="shared" si="2"/>
        <v>104.72000000000003</v>
      </c>
      <c r="I79" s="242">
        <f t="shared" si="3"/>
        <v>53.407199999999996</v>
      </c>
      <c r="J79" s="242">
        <f t="shared" si="4"/>
        <v>104.72000000000003</v>
      </c>
      <c r="K79" s="242">
        <f t="shared" si="5"/>
        <v>51.312800000000031</v>
      </c>
      <c r="L79" s="242">
        <f t="shared" si="16"/>
        <v>8.0829037686547629</v>
      </c>
      <c r="M79" s="242">
        <f t="shared" si="6"/>
        <v>1.7320508075688767</v>
      </c>
      <c r="N79" s="242">
        <f t="shared" si="7"/>
        <v>36.27607211372257</v>
      </c>
      <c r="O79" s="242">
        <f t="shared" si="8"/>
        <v>8.7637243522260457E-3</v>
      </c>
      <c r="P79" s="242">
        <f t="shared" si="9"/>
        <v>2.5298693069306929E-4</v>
      </c>
      <c r="Q79" s="242">
        <f t="shared" si="17"/>
        <v>21.164268907943733</v>
      </c>
      <c r="R79" s="242">
        <f t="shared" si="18"/>
        <v>3.0120205749598453E-2</v>
      </c>
      <c r="S79" s="250">
        <f t="shared" si="19"/>
        <v>1.2902333465346531E-4</v>
      </c>
      <c r="T79" s="250">
        <f t="shared" si="24"/>
        <v>1.9772505533654196E-2</v>
      </c>
      <c r="U79" s="263">
        <f t="shared" si="25"/>
        <v>4162.3491551935685</v>
      </c>
      <c r="V79" s="263">
        <f t="shared" si="20"/>
        <v>5.7735026918962582</v>
      </c>
      <c r="W79" s="1">
        <f t="shared" si="21"/>
        <v>2.7427371618556405E-6</v>
      </c>
      <c r="X79" s="240">
        <f t="shared" si="26"/>
        <v>2.7427371618556405E-6</v>
      </c>
      <c r="Y79" s="240">
        <f t="shared" si="11"/>
        <v>7.2261007561430247E-5</v>
      </c>
      <c r="Z79" s="248">
        <f t="shared" si="22"/>
        <v>-8.6713209073716296E-4</v>
      </c>
      <c r="AA79" s="239"/>
      <c r="AB79" s="243"/>
      <c r="AD79" s="239"/>
      <c r="AE79" s="239"/>
      <c r="AF79" s="239"/>
      <c r="AJ79" s="240"/>
    </row>
    <row r="80" spans="1:36">
      <c r="A80" s="242">
        <f t="shared" si="23"/>
        <v>59</v>
      </c>
      <c r="B80" s="242">
        <f t="shared" si="12"/>
        <v>1</v>
      </c>
      <c r="C80" s="242">
        <f t="shared" si="0"/>
        <v>2.3712871287128713E-2</v>
      </c>
      <c r="D80" s="242">
        <f t="shared" si="1"/>
        <v>2.2113861386138618</v>
      </c>
      <c r="E80" s="242">
        <f t="shared" si="13"/>
        <v>11.547005383792516</v>
      </c>
      <c r="F80" s="242">
        <f t="shared" si="14"/>
        <v>8.2462112512353212</v>
      </c>
      <c r="G80" s="242">
        <f t="shared" si="15"/>
        <v>53.407199999999996</v>
      </c>
      <c r="H80" s="242">
        <f t="shared" si="2"/>
        <v>104.72000000000003</v>
      </c>
      <c r="I80" s="242">
        <f t="shared" si="3"/>
        <v>53.407199999999996</v>
      </c>
      <c r="J80" s="242">
        <f t="shared" si="4"/>
        <v>104.72000000000003</v>
      </c>
      <c r="K80" s="242">
        <f t="shared" si="5"/>
        <v>51.312800000000031</v>
      </c>
      <c r="L80" s="242">
        <f t="shared" si="16"/>
        <v>8.0829037686547629</v>
      </c>
      <c r="M80" s="242">
        <f t="shared" si="6"/>
        <v>1.7320508075688767</v>
      </c>
      <c r="N80" s="242">
        <f t="shared" si="7"/>
        <v>36.27607211372257</v>
      </c>
      <c r="O80" s="242">
        <f t="shared" si="8"/>
        <v>8.6020982883530245E-3</v>
      </c>
      <c r="P80" s="242">
        <f t="shared" si="9"/>
        <v>2.4832118811881195E-4</v>
      </c>
      <c r="Q80" s="242">
        <f t="shared" si="17"/>
        <v>21.172871006232086</v>
      </c>
      <c r="R80" s="242">
        <f t="shared" si="18"/>
        <v>3.0368526937717265E-2</v>
      </c>
      <c r="S80" s="250">
        <f t="shared" si="19"/>
        <v>1.2664380594059403E-4</v>
      </c>
      <c r="T80" s="250">
        <f t="shared" si="24"/>
        <v>1.9899149339594791E-2</v>
      </c>
      <c r="U80" s="263">
        <f t="shared" si="25"/>
        <v>4162.3728680648555</v>
      </c>
      <c r="V80" s="263">
        <f t="shared" si="20"/>
        <v>5.7735026918962582</v>
      </c>
      <c r="W80" s="1">
        <f t="shared" si="21"/>
        <v>2.6921538945263358E-6</v>
      </c>
      <c r="X80" s="240">
        <f t="shared" si="26"/>
        <v>2.6921538945263358E-6</v>
      </c>
      <c r="Y80" s="240">
        <f t="shared" si="11"/>
        <v>6.9518270399574606E-5</v>
      </c>
      <c r="Z80" s="248">
        <f t="shared" si="22"/>
        <v>-8.3421924479489527E-4</v>
      </c>
      <c r="AA80" s="239"/>
      <c r="AB80" s="243"/>
      <c r="AD80" s="239"/>
      <c r="AE80" s="239"/>
      <c r="AF80" s="239"/>
      <c r="AJ80" s="240"/>
    </row>
    <row r="81" spans="1:36">
      <c r="A81" s="242">
        <f t="shared" si="23"/>
        <v>60</v>
      </c>
      <c r="B81" s="242">
        <f t="shared" si="12"/>
        <v>1</v>
      </c>
      <c r="C81" s="242">
        <f t="shared" si="0"/>
        <v>2.3267326732673267E-2</v>
      </c>
      <c r="D81" s="242">
        <f t="shared" si="1"/>
        <v>2.2346534653465349</v>
      </c>
      <c r="E81" s="242">
        <f t="shared" si="13"/>
        <v>11.547005383792516</v>
      </c>
      <c r="F81" s="242">
        <f t="shared" si="14"/>
        <v>8.2462112512353212</v>
      </c>
      <c r="G81" s="242">
        <f t="shared" si="15"/>
        <v>53.407199999999996</v>
      </c>
      <c r="H81" s="242">
        <f t="shared" si="2"/>
        <v>104.72000000000003</v>
      </c>
      <c r="I81" s="242">
        <f t="shared" si="3"/>
        <v>53.407199999999996</v>
      </c>
      <c r="J81" s="242">
        <f t="shared" si="4"/>
        <v>104.72000000000003</v>
      </c>
      <c r="K81" s="242">
        <f t="shared" si="5"/>
        <v>51.312800000000031</v>
      </c>
      <c r="L81" s="242">
        <f t="shared" si="16"/>
        <v>8.0829037686547629</v>
      </c>
      <c r="M81" s="242">
        <f t="shared" si="6"/>
        <v>1.7320508075688767</v>
      </c>
      <c r="N81" s="242">
        <f t="shared" si="7"/>
        <v>36.27607211372257</v>
      </c>
      <c r="O81" s="242">
        <f t="shared" si="8"/>
        <v>8.4404722244800015E-3</v>
      </c>
      <c r="P81" s="242">
        <f t="shared" si="9"/>
        <v>2.4365544554455452E-4</v>
      </c>
      <c r="Q81" s="242">
        <f t="shared" si="17"/>
        <v>21.181311478456564</v>
      </c>
      <c r="R81" s="242">
        <f t="shared" si="18"/>
        <v>3.061218238326182E-2</v>
      </c>
      <c r="S81" s="250">
        <f t="shared" si="19"/>
        <v>1.2426427722772275E-4</v>
      </c>
      <c r="T81" s="250">
        <f t="shared" si="24"/>
        <v>2.0023413616822514E-2</v>
      </c>
      <c r="U81" s="263">
        <f t="shared" si="25"/>
        <v>4162.3961353915884</v>
      </c>
      <c r="V81" s="263">
        <f t="shared" si="20"/>
        <v>5.7735026918962582</v>
      </c>
      <c r="W81" s="1">
        <f t="shared" si="21"/>
        <v>2.641570627197031E-6</v>
      </c>
      <c r="X81" s="240">
        <f t="shared" si="26"/>
        <v>2.641570627197031E-6</v>
      </c>
      <c r="Y81" s="240">
        <f t="shared" si="11"/>
        <v>6.6826116505048271E-5</v>
      </c>
      <c r="Z81" s="248">
        <f t="shared" si="22"/>
        <v>-8.0191339806057931E-4</v>
      </c>
      <c r="AA81" s="239"/>
      <c r="AB81" s="243"/>
      <c r="AD81" s="239"/>
      <c r="AE81" s="239"/>
      <c r="AF81" s="239"/>
      <c r="AJ81" s="240"/>
    </row>
    <row r="82" spans="1:36">
      <c r="A82" s="242">
        <f t="shared" si="23"/>
        <v>61</v>
      </c>
      <c r="B82" s="242">
        <f t="shared" si="12"/>
        <v>1</v>
      </c>
      <c r="C82" s="242">
        <f t="shared" si="0"/>
        <v>2.2821782178217821E-2</v>
      </c>
      <c r="D82" s="242">
        <f t="shared" si="1"/>
        <v>2.2574752475247526</v>
      </c>
      <c r="E82" s="242">
        <f t="shared" si="13"/>
        <v>11.547005383792516</v>
      </c>
      <c r="F82" s="242">
        <f t="shared" si="14"/>
        <v>8.2462112512353212</v>
      </c>
      <c r="G82" s="242">
        <f t="shared" si="15"/>
        <v>53.407199999999996</v>
      </c>
      <c r="H82" s="242">
        <f t="shared" si="2"/>
        <v>104.72000000000003</v>
      </c>
      <c r="I82" s="242">
        <f t="shared" si="3"/>
        <v>53.407199999999996</v>
      </c>
      <c r="J82" s="242">
        <f t="shared" si="4"/>
        <v>104.72000000000003</v>
      </c>
      <c r="K82" s="242">
        <f t="shared" si="5"/>
        <v>51.312800000000031</v>
      </c>
      <c r="L82" s="242">
        <f t="shared" si="16"/>
        <v>8.0829037686547629</v>
      </c>
      <c r="M82" s="242">
        <f t="shared" si="6"/>
        <v>1.7320508075688767</v>
      </c>
      <c r="N82" s="242">
        <f t="shared" si="7"/>
        <v>36.27607211372257</v>
      </c>
      <c r="O82" s="242">
        <f t="shared" si="8"/>
        <v>8.278846160606982E-3</v>
      </c>
      <c r="P82" s="242">
        <f t="shared" si="9"/>
        <v>2.3898970297029704E-4</v>
      </c>
      <c r="Q82" s="242">
        <f t="shared" si="17"/>
        <v>21.189590324617171</v>
      </c>
      <c r="R82" s="242">
        <f t="shared" si="18"/>
        <v>3.0851172086232118E-2</v>
      </c>
      <c r="S82" s="250">
        <f t="shared" si="19"/>
        <v>1.2188474851485146E-4</v>
      </c>
      <c r="T82" s="250">
        <f t="shared" si="24"/>
        <v>2.0145298365337364E-2</v>
      </c>
      <c r="U82" s="263">
        <f t="shared" si="25"/>
        <v>4162.418957173767</v>
      </c>
      <c r="V82" s="263">
        <f t="shared" si="20"/>
        <v>5.7735026918962582</v>
      </c>
      <c r="W82" s="1">
        <f t="shared" si="21"/>
        <v>2.5909873598677258E-6</v>
      </c>
      <c r="X82" s="240">
        <f t="shared" si="26"/>
        <v>2.5909873598677258E-6</v>
      </c>
      <c r="Y82" s="240">
        <f t="shared" si="11"/>
        <v>6.4184545877851243E-5</v>
      </c>
      <c r="Z82" s="248">
        <f t="shared" si="22"/>
        <v>-7.7021455053421497E-4</v>
      </c>
      <c r="AA82" s="239"/>
      <c r="AB82" s="243"/>
      <c r="AD82" s="239"/>
      <c r="AE82" s="239"/>
      <c r="AF82" s="239"/>
      <c r="AJ82" s="240"/>
    </row>
    <row r="83" spans="1:36">
      <c r="A83" s="242">
        <f t="shared" si="23"/>
        <v>62</v>
      </c>
      <c r="B83" s="242">
        <f t="shared" si="12"/>
        <v>1</v>
      </c>
      <c r="C83" s="242">
        <f t="shared" si="0"/>
        <v>2.2376237623762375E-2</v>
      </c>
      <c r="D83" s="242">
        <f t="shared" si="1"/>
        <v>2.279851485148515</v>
      </c>
      <c r="E83" s="242">
        <f t="shared" si="13"/>
        <v>11.547005383792516</v>
      </c>
      <c r="F83" s="242">
        <f t="shared" si="14"/>
        <v>8.2462112512353212</v>
      </c>
      <c r="G83" s="242">
        <f t="shared" si="15"/>
        <v>53.407199999999996</v>
      </c>
      <c r="H83" s="242">
        <f t="shared" si="2"/>
        <v>104.72000000000003</v>
      </c>
      <c r="I83" s="242">
        <f t="shared" si="3"/>
        <v>53.407199999999996</v>
      </c>
      <c r="J83" s="242">
        <f t="shared" si="4"/>
        <v>104.72000000000003</v>
      </c>
      <c r="K83" s="242">
        <f t="shared" si="5"/>
        <v>51.312800000000031</v>
      </c>
      <c r="L83" s="242">
        <f t="shared" si="16"/>
        <v>8.0829037686547629</v>
      </c>
      <c r="M83" s="242">
        <f t="shared" si="6"/>
        <v>1.7320508075688767</v>
      </c>
      <c r="N83" s="242">
        <f t="shared" si="7"/>
        <v>36.27607211372257</v>
      </c>
      <c r="O83" s="242">
        <f t="shared" si="8"/>
        <v>8.1172200967339608E-3</v>
      </c>
      <c r="P83" s="242">
        <f t="shared" si="9"/>
        <v>2.3432396039603965E-4</v>
      </c>
      <c r="Q83" s="242">
        <f t="shared" si="17"/>
        <v>21.197707544713904</v>
      </c>
      <c r="R83" s="242">
        <f t="shared" si="18"/>
        <v>3.1085496046628157E-2</v>
      </c>
      <c r="S83" s="250">
        <f t="shared" si="19"/>
        <v>1.1950521980198018E-4</v>
      </c>
      <c r="T83" s="250">
        <f t="shared" si="24"/>
        <v>2.0264803585139345E-2</v>
      </c>
      <c r="U83" s="263">
        <f t="shared" si="25"/>
        <v>4162.4413334113906</v>
      </c>
      <c r="V83" s="263">
        <f t="shared" si="20"/>
        <v>5.7735026918962582</v>
      </c>
      <c r="W83" s="1">
        <f t="shared" si="21"/>
        <v>2.5404040925384214E-6</v>
      </c>
      <c r="X83" s="240">
        <f t="shared" si="26"/>
        <v>2.5404040925384214E-6</v>
      </c>
      <c r="Y83" s="240">
        <f t="shared" si="11"/>
        <v>6.1593558517983522E-5</v>
      </c>
      <c r="Z83" s="248">
        <f t="shared" si="22"/>
        <v>-7.3912270221580226E-4</v>
      </c>
      <c r="AA83" s="239"/>
      <c r="AB83" s="243"/>
      <c r="AD83" s="239"/>
      <c r="AE83" s="239"/>
      <c r="AF83" s="239"/>
      <c r="AJ83" s="240"/>
    </row>
    <row r="84" spans="1:36">
      <c r="A84" s="242">
        <f t="shared" si="23"/>
        <v>63</v>
      </c>
      <c r="B84" s="242">
        <f t="shared" si="12"/>
        <v>1</v>
      </c>
      <c r="C84" s="242">
        <f t="shared" si="0"/>
        <v>2.1930693069306929E-2</v>
      </c>
      <c r="D84" s="242">
        <f t="shared" si="1"/>
        <v>2.3017821782178221</v>
      </c>
      <c r="E84" s="242">
        <f t="shared" si="13"/>
        <v>11.547005383792516</v>
      </c>
      <c r="F84" s="242">
        <f t="shared" si="14"/>
        <v>8.2462112512353212</v>
      </c>
      <c r="G84" s="242">
        <f t="shared" si="15"/>
        <v>53.407199999999996</v>
      </c>
      <c r="H84" s="242">
        <f t="shared" si="2"/>
        <v>104.72000000000003</v>
      </c>
      <c r="I84" s="242">
        <f t="shared" si="3"/>
        <v>53.407199999999996</v>
      </c>
      <c r="J84" s="242">
        <f t="shared" si="4"/>
        <v>104.72000000000003</v>
      </c>
      <c r="K84" s="242">
        <f t="shared" si="5"/>
        <v>51.312800000000031</v>
      </c>
      <c r="L84" s="242">
        <f t="shared" si="16"/>
        <v>8.0829037686547629</v>
      </c>
      <c r="M84" s="242">
        <f t="shared" si="6"/>
        <v>1.7320508075688767</v>
      </c>
      <c r="N84" s="242">
        <f t="shared" si="7"/>
        <v>36.27607211372257</v>
      </c>
      <c r="O84" s="242">
        <f t="shared" si="8"/>
        <v>7.9555940328609395E-3</v>
      </c>
      <c r="P84" s="242">
        <f t="shared" si="9"/>
        <v>2.2965821782178222E-4</v>
      </c>
      <c r="Q84" s="242">
        <f t="shared" si="17"/>
        <v>21.205663138746765</v>
      </c>
      <c r="R84" s="242">
        <f t="shared" si="18"/>
        <v>3.1315154264449939E-2</v>
      </c>
      <c r="S84" s="250">
        <f t="shared" si="19"/>
        <v>1.1712569108910889E-4</v>
      </c>
      <c r="T84" s="250">
        <f t="shared" si="24"/>
        <v>2.0381929276228453E-2</v>
      </c>
      <c r="U84" s="263">
        <f t="shared" si="25"/>
        <v>4162.46326410446</v>
      </c>
      <c r="V84" s="263">
        <f t="shared" si="20"/>
        <v>5.7735026918962582</v>
      </c>
      <c r="W84" s="1">
        <f t="shared" si="21"/>
        <v>2.4898208252091163E-6</v>
      </c>
      <c r="X84" s="240">
        <f t="shared" si="26"/>
        <v>2.4898208252091163E-6</v>
      </c>
      <c r="Y84" s="240">
        <f t="shared" si="11"/>
        <v>5.9053154425445107E-5</v>
      </c>
      <c r="Z84" s="248">
        <f t="shared" si="22"/>
        <v>-7.0863785310534128E-4</v>
      </c>
      <c r="AA84" s="239"/>
      <c r="AB84" s="243"/>
      <c r="AD84" s="239"/>
      <c r="AE84" s="239"/>
      <c r="AF84" s="239"/>
      <c r="AJ84" s="240"/>
    </row>
    <row r="85" spans="1:36">
      <c r="A85" s="242">
        <f t="shared" si="23"/>
        <v>64</v>
      </c>
      <c r="B85" s="242">
        <f t="shared" si="12"/>
        <v>1</v>
      </c>
      <c r="C85" s="242">
        <f t="shared" ref="C85:C121" si="27">$B$10+A85*$G$4</f>
        <v>2.1485148514851483E-2</v>
      </c>
      <c r="D85" s="242">
        <f t="shared" ref="D85:D121" si="28">(A85+1)*($B$10+$G$4*A85/2)</f>
        <v>2.3232673267326733</v>
      </c>
      <c r="E85" s="242">
        <f t="shared" si="13"/>
        <v>11.547005383792516</v>
      </c>
      <c r="F85" s="242">
        <f t="shared" si="14"/>
        <v>8.2462112512353212</v>
      </c>
      <c r="G85" s="242">
        <f t="shared" si="15"/>
        <v>53.407199999999996</v>
      </c>
      <c r="H85" s="242">
        <f t="shared" ref="H85:H121" si="29">E85*E85*3.1416/4</f>
        <v>104.72000000000003</v>
      </c>
      <c r="I85" s="242">
        <f t="shared" ref="I85:I121" si="30">G85*B85</f>
        <v>53.407199999999996</v>
      </c>
      <c r="J85" s="242">
        <f t="shared" ref="J85:J121" si="31">H85*B85</f>
        <v>104.72000000000003</v>
      </c>
      <c r="K85" s="242">
        <f t="shared" ref="K85:K121" si="32">H85-G85</f>
        <v>51.312800000000031</v>
      </c>
      <c r="L85" s="242">
        <f t="shared" si="16"/>
        <v>8.0829037686547629</v>
      </c>
      <c r="M85" s="242">
        <f t="shared" ref="M85:M121" si="33">(E85-L85)/2</f>
        <v>1.7320508075688767</v>
      </c>
      <c r="N85" s="242">
        <f t="shared" ref="N85:N121" si="34">E85*3.1416</f>
        <v>36.27607211372257</v>
      </c>
      <c r="O85" s="242">
        <f t="shared" ref="O85:O120" si="35">C85*3.1416*E85*B85/100</f>
        <v>7.7939679689879174E-3</v>
      </c>
      <c r="P85" s="242">
        <f t="shared" ref="P85:P121" si="36">C85*E85/100*E85/100*3.1416/4*B85</f>
        <v>2.2499247524752477E-4</v>
      </c>
      <c r="Q85" s="242">
        <f t="shared" si="17"/>
        <v>21.213457106715751</v>
      </c>
      <c r="R85" s="242">
        <f t="shared" si="18"/>
        <v>3.1540146739697461E-2</v>
      </c>
      <c r="S85" s="250">
        <f t="shared" si="19"/>
        <v>1.1474616237623759E-4</v>
      </c>
      <c r="T85" s="250">
        <f t="shared" si="24"/>
        <v>2.049667543860469E-2</v>
      </c>
      <c r="U85" s="263">
        <f t="shared" si="25"/>
        <v>4162.4847492529752</v>
      </c>
      <c r="V85" s="263">
        <f t="shared" si="20"/>
        <v>5.7735026918962582</v>
      </c>
      <c r="W85" s="1">
        <f t="shared" si="21"/>
        <v>2.4392375578798111E-6</v>
      </c>
      <c r="X85" s="240">
        <f t="shared" ref="X85:X116" si="37">W85/B85</f>
        <v>2.4392375578798111E-6</v>
      </c>
      <c r="Y85" s="240">
        <f t="shared" ref="Y85:Y119" si="38">Y86+X85</f>
        <v>5.6563333600235991E-5</v>
      </c>
      <c r="Z85" s="248">
        <f t="shared" si="22"/>
        <v>-6.7876000320283192E-4</v>
      </c>
      <c r="AA85" s="239"/>
      <c r="AB85" s="243"/>
      <c r="AD85" s="239"/>
      <c r="AE85" s="239"/>
      <c r="AF85" s="239"/>
      <c r="AJ85" s="240"/>
    </row>
    <row r="86" spans="1:36">
      <c r="A86" s="242">
        <f t="shared" si="23"/>
        <v>65</v>
      </c>
      <c r="B86" s="242">
        <f t="shared" ref="B86:B121" si="39">MAX(B85/$G$5,1)</f>
        <v>1</v>
      </c>
      <c r="C86" s="242">
        <f t="shared" si="27"/>
        <v>2.1039603960396037E-2</v>
      </c>
      <c r="D86" s="242">
        <f t="shared" si="28"/>
        <v>2.3443069306930697</v>
      </c>
      <c r="E86" s="242">
        <f t="shared" ref="E86:E121" si="40">IF(A86&lt;$J$3,($B$6/10)*$G$5^(A86/$G$3),($B$6/10)*$G$5^($J$3/$G$3))</f>
        <v>11.547005383792516</v>
      </c>
      <c r="F86" s="242">
        <f t="shared" ref="F86:F121" si="41">IF(A86&lt;$J$3,($B$7/10)*$G$5^(A86/$G$2),($B$7/10)*$G$5^($J$3/$G$2))</f>
        <v>8.2462112512353212</v>
      </c>
      <c r="G86" s="242">
        <f t="shared" ref="G86:G121" si="42">F86*F86*3.1416/4</f>
        <v>53.407199999999996</v>
      </c>
      <c r="H86" s="242">
        <f t="shared" si="29"/>
        <v>104.72000000000003</v>
      </c>
      <c r="I86" s="242">
        <f t="shared" si="30"/>
        <v>53.407199999999996</v>
      </c>
      <c r="J86" s="242">
        <f t="shared" si="31"/>
        <v>104.72000000000003</v>
      </c>
      <c r="K86" s="242">
        <f t="shared" si="32"/>
        <v>51.312800000000031</v>
      </c>
      <c r="L86" s="242">
        <f t="shared" ref="L86:L121" si="43">SQRT(4*K86/3.1416)</f>
        <v>8.0829037686547629</v>
      </c>
      <c r="M86" s="242">
        <f t="shared" si="33"/>
        <v>1.7320508075688767</v>
      </c>
      <c r="N86" s="242">
        <f t="shared" si="34"/>
        <v>36.27607211372257</v>
      </c>
      <c r="O86" s="242">
        <f t="shared" si="35"/>
        <v>7.6323419051148953E-3</v>
      </c>
      <c r="P86" s="242">
        <f t="shared" si="36"/>
        <v>2.2032673267326734E-4</v>
      </c>
      <c r="Q86" s="242">
        <f t="shared" ref="Q86:Q121" si="44">Q85+O86</f>
        <v>21.221089448620866</v>
      </c>
      <c r="R86" s="242">
        <f t="shared" ref="R86:R121" si="45">P86+R85</f>
        <v>3.176047347237073E-2</v>
      </c>
      <c r="S86" s="250">
        <f t="shared" ref="S86:S121" si="46">G86/10000*C86*B86</f>
        <v>1.1236663366336631E-4</v>
      </c>
      <c r="T86" s="250">
        <f t="shared" si="24"/>
        <v>2.0609042072268057E-2</v>
      </c>
      <c r="U86" s="263">
        <f t="shared" si="25"/>
        <v>4162.5057888569354</v>
      </c>
      <c r="V86" s="263">
        <f t="shared" ref="V86:V121" si="47">E86/2*B86</f>
        <v>5.7735026918962582</v>
      </c>
      <c r="W86" s="1">
        <f t="shared" ref="W86:W121" si="48">C86/(G86/10000)*$B$13*($F$21/F86)^($B$12)</f>
        <v>2.3886542905505067E-6</v>
      </c>
      <c r="X86" s="240">
        <f t="shared" si="37"/>
        <v>2.3886542905505067E-6</v>
      </c>
      <c r="Y86" s="240">
        <f t="shared" si="38"/>
        <v>5.4124096042356182E-5</v>
      </c>
      <c r="Z86" s="248">
        <f t="shared" ref="Z86:Z121" si="49">-Y86*$B$4*2</f>
        <v>-6.4948915250827419E-4</v>
      </c>
      <c r="AA86" s="239"/>
      <c r="AB86" s="243"/>
      <c r="AD86" s="239"/>
      <c r="AE86" s="239"/>
      <c r="AF86" s="239"/>
      <c r="AJ86" s="240"/>
    </row>
    <row r="87" spans="1:36">
      <c r="A87" s="242">
        <f t="shared" ref="A87:A121" si="50">A86+1</f>
        <v>66</v>
      </c>
      <c r="B87" s="242">
        <f t="shared" si="39"/>
        <v>1</v>
      </c>
      <c r="C87" s="242">
        <f t="shared" si="27"/>
        <v>2.0594059405940592E-2</v>
      </c>
      <c r="D87" s="242">
        <f t="shared" si="28"/>
        <v>2.3649009900990103</v>
      </c>
      <c r="E87" s="242">
        <f t="shared" si="40"/>
        <v>11.547005383792516</v>
      </c>
      <c r="F87" s="242">
        <f t="shared" si="41"/>
        <v>8.2462112512353212</v>
      </c>
      <c r="G87" s="242">
        <f t="shared" si="42"/>
        <v>53.407199999999996</v>
      </c>
      <c r="H87" s="242">
        <f t="shared" si="29"/>
        <v>104.72000000000003</v>
      </c>
      <c r="I87" s="242">
        <f t="shared" si="30"/>
        <v>53.407199999999996</v>
      </c>
      <c r="J87" s="242">
        <f t="shared" si="31"/>
        <v>104.72000000000003</v>
      </c>
      <c r="K87" s="242">
        <f t="shared" si="32"/>
        <v>51.312800000000031</v>
      </c>
      <c r="L87" s="242">
        <f t="shared" si="43"/>
        <v>8.0829037686547629</v>
      </c>
      <c r="M87" s="242">
        <f t="shared" si="33"/>
        <v>1.7320508075688767</v>
      </c>
      <c r="N87" s="242">
        <f t="shared" si="34"/>
        <v>36.27607211372257</v>
      </c>
      <c r="O87" s="242">
        <f t="shared" si="35"/>
        <v>7.4707158412418749E-3</v>
      </c>
      <c r="P87" s="242">
        <f t="shared" si="36"/>
        <v>2.1566099009900995E-4</v>
      </c>
      <c r="Q87" s="242">
        <f t="shared" si="44"/>
        <v>21.228560164462106</v>
      </c>
      <c r="R87" s="242">
        <f t="shared" si="45"/>
        <v>3.1976134462469739E-2</v>
      </c>
      <c r="S87" s="250">
        <f t="shared" si="46"/>
        <v>1.0998710495049502E-4</v>
      </c>
      <c r="T87" s="250">
        <f t="shared" ref="T87:T121" si="51">T86+S87</f>
        <v>2.0719029177218552E-2</v>
      </c>
      <c r="U87" s="263">
        <f t="shared" ref="U87:U121" si="52">U86+C87*B87</f>
        <v>4162.5263829163414</v>
      </c>
      <c r="V87" s="263">
        <f t="shared" si="47"/>
        <v>5.7735026918962582</v>
      </c>
      <c r="W87" s="1">
        <f t="shared" si="48"/>
        <v>2.3380710232212015E-6</v>
      </c>
      <c r="X87" s="240">
        <f t="shared" si="37"/>
        <v>2.3380710232212015E-6</v>
      </c>
      <c r="Y87" s="240">
        <f t="shared" si="38"/>
        <v>5.1735441751805673E-5</v>
      </c>
      <c r="Z87" s="248">
        <f t="shared" si="49"/>
        <v>-6.2082530102166807E-4</v>
      </c>
      <c r="AA87" s="239"/>
      <c r="AB87" s="243"/>
      <c r="AD87" s="239"/>
      <c r="AE87" s="239"/>
      <c r="AF87" s="239"/>
      <c r="AJ87" s="240"/>
    </row>
    <row r="88" spans="1:36">
      <c r="A88" s="242">
        <f t="shared" si="50"/>
        <v>67</v>
      </c>
      <c r="B88" s="242">
        <f t="shared" si="39"/>
        <v>1</v>
      </c>
      <c r="C88" s="242">
        <f t="shared" si="27"/>
        <v>2.0148514851485146E-2</v>
      </c>
      <c r="D88" s="242">
        <f t="shared" si="28"/>
        <v>2.3850495049504952</v>
      </c>
      <c r="E88" s="242">
        <f t="shared" si="40"/>
        <v>11.547005383792516</v>
      </c>
      <c r="F88" s="242">
        <f t="shared" si="41"/>
        <v>8.2462112512353212</v>
      </c>
      <c r="G88" s="242">
        <f t="shared" si="42"/>
        <v>53.407199999999996</v>
      </c>
      <c r="H88" s="242">
        <f t="shared" si="29"/>
        <v>104.72000000000003</v>
      </c>
      <c r="I88" s="242">
        <f t="shared" si="30"/>
        <v>53.407199999999996</v>
      </c>
      <c r="J88" s="242">
        <f t="shared" si="31"/>
        <v>104.72000000000003</v>
      </c>
      <c r="K88" s="242">
        <f t="shared" si="32"/>
        <v>51.312800000000031</v>
      </c>
      <c r="L88" s="242">
        <f t="shared" si="43"/>
        <v>8.0829037686547629</v>
      </c>
      <c r="M88" s="242">
        <f t="shared" si="33"/>
        <v>1.7320508075688767</v>
      </c>
      <c r="N88" s="242">
        <f t="shared" si="34"/>
        <v>36.27607211372257</v>
      </c>
      <c r="O88" s="242">
        <f t="shared" si="35"/>
        <v>7.309089777368852E-3</v>
      </c>
      <c r="P88" s="242">
        <f t="shared" si="36"/>
        <v>2.1099524752475247E-4</v>
      </c>
      <c r="Q88" s="242">
        <f t="shared" si="44"/>
        <v>21.235869254239475</v>
      </c>
      <c r="R88" s="242">
        <f t="shared" si="45"/>
        <v>3.2187129709994489E-2</v>
      </c>
      <c r="S88" s="250">
        <f t="shared" si="46"/>
        <v>1.0760757623762373E-4</v>
      </c>
      <c r="T88" s="250">
        <f t="shared" si="51"/>
        <v>2.0826636753456175E-2</v>
      </c>
      <c r="U88" s="263">
        <f t="shared" si="52"/>
        <v>4162.5465314311932</v>
      </c>
      <c r="V88" s="263">
        <f t="shared" si="47"/>
        <v>5.7735026918962582</v>
      </c>
      <c r="W88" s="1">
        <f t="shared" si="48"/>
        <v>2.2874877558918967E-6</v>
      </c>
      <c r="X88" s="240">
        <f t="shared" si="37"/>
        <v>2.2874877558918967E-6</v>
      </c>
      <c r="Y88" s="240">
        <f t="shared" si="38"/>
        <v>4.939737072858447E-5</v>
      </c>
      <c r="Z88" s="248">
        <f t="shared" si="49"/>
        <v>-5.927684487430137E-4</v>
      </c>
      <c r="AA88" s="239"/>
      <c r="AB88" s="243"/>
      <c r="AD88" s="239"/>
      <c r="AE88" s="239"/>
      <c r="AF88" s="239"/>
      <c r="AJ88" s="240"/>
    </row>
    <row r="89" spans="1:36">
      <c r="A89" s="242">
        <f t="shared" si="50"/>
        <v>68</v>
      </c>
      <c r="B89" s="242">
        <f t="shared" si="39"/>
        <v>1</v>
      </c>
      <c r="C89" s="242">
        <f t="shared" si="27"/>
        <v>1.97029702970297E-2</v>
      </c>
      <c r="D89" s="242">
        <f t="shared" si="28"/>
        <v>2.4047524752475251</v>
      </c>
      <c r="E89" s="242">
        <f t="shared" si="40"/>
        <v>11.547005383792516</v>
      </c>
      <c r="F89" s="242">
        <f t="shared" si="41"/>
        <v>8.2462112512353212</v>
      </c>
      <c r="G89" s="242">
        <f t="shared" si="42"/>
        <v>53.407199999999996</v>
      </c>
      <c r="H89" s="242">
        <f t="shared" si="29"/>
        <v>104.72000000000003</v>
      </c>
      <c r="I89" s="242">
        <f t="shared" si="30"/>
        <v>53.407199999999996</v>
      </c>
      <c r="J89" s="242">
        <f t="shared" si="31"/>
        <v>104.72000000000003</v>
      </c>
      <c r="K89" s="242">
        <f t="shared" si="32"/>
        <v>51.312800000000031</v>
      </c>
      <c r="L89" s="242">
        <f t="shared" si="43"/>
        <v>8.0829037686547629</v>
      </c>
      <c r="M89" s="242">
        <f t="shared" si="33"/>
        <v>1.7320508075688767</v>
      </c>
      <c r="N89" s="242">
        <f t="shared" si="34"/>
        <v>36.27607211372257</v>
      </c>
      <c r="O89" s="242">
        <f t="shared" si="35"/>
        <v>7.1474637134958316E-3</v>
      </c>
      <c r="P89" s="242">
        <f t="shared" si="36"/>
        <v>2.0632950495049501E-4</v>
      </c>
      <c r="Q89" s="242">
        <f t="shared" si="44"/>
        <v>21.243016717952969</v>
      </c>
      <c r="R89" s="242">
        <f t="shared" si="45"/>
        <v>3.2393459214944985E-2</v>
      </c>
      <c r="S89" s="250">
        <f t="shared" si="46"/>
        <v>1.0522804752475245E-4</v>
      </c>
      <c r="T89" s="250">
        <f t="shared" si="51"/>
        <v>2.0931864800980929E-2</v>
      </c>
      <c r="U89" s="263">
        <f t="shared" si="52"/>
        <v>4162.56623440149</v>
      </c>
      <c r="V89" s="263">
        <f t="shared" si="47"/>
        <v>5.7735026918962582</v>
      </c>
      <c r="W89" s="1">
        <f t="shared" si="48"/>
        <v>2.236904488562592E-6</v>
      </c>
      <c r="X89" s="240">
        <f t="shared" si="37"/>
        <v>2.236904488562592E-6</v>
      </c>
      <c r="Y89" s="240">
        <f t="shared" si="38"/>
        <v>4.7109882972692574E-5</v>
      </c>
      <c r="Z89" s="248">
        <f t="shared" si="49"/>
        <v>-5.6531859567231094E-4</v>
      </c>
      <c r="AA89" s="239"/>
      <c r="AB89" s="243"/>
      <c r="AD89" s="239"/>
      <c r="AE89" s="239"/>
      <c r="AF89" s="239"/>
      <c r="AJ89" s="240"/>
    </row>
    <row r="90" spans="1:36">
      <c r="A90" s="242">
        <f t="shared" si="50"/>
        <v>69</v>
      </c>
      <c r="B90" s="242">
        <f t="shared" si="39"/>
        <v>1</v>
      </c>
      <c r="C90" s="242">
        <f t="shared" si="27"/>
        <v>1.9257425742574254E-2</v>
      </c>
      <c r="D90" s="242">
        <f t="shared" si="28"/>
        <v>2.4240099009900993</v>
      </c>
      <c r="E90" s="242">
        <f t="shared" si="40"/>
        <v>11.547005383792516</v>
      </c>
      <c r="F90" s="242">
        <f t="shared" si="41"/>
        <v>8.2462112512353212</v>
      </c>
      <c r="G90" s="242">
        <f t="shared" si="42"/>
        <v>53.407199999999996</v>
      </c>
      <c r="H90" s="242">
        <f t="shared" si="29"/>
        <v>104.72000000000003</v>
      </c>
      <c r="I90" s="242">
        <f t="shared" si="30"/>
        <v>53.407199999999996</v>
      </c>
      <c r="J90" s="242">
        <f t="shared" si="31"/>
        <v>104.72000000000003</v>
      </c>
      <c r="K90" s="242">
        <f t="shared" si="32"/>
        <v>51.312800000000031</v>
      </c>
      <c r="L90" s="242">
        <f t="shared" si="43"/>
        <v>8.0829037686547629</v>
      </c>
      <c r="M90" s="242">
        <f t="shared" si="33"/>
        <v>1.7320508075688767</v>
      </c>
      <c r="N90" s="242">
        <f t="shared" si="34"/>
        <v>36.27607211372257</v>
      </c>
      <c r="O90" s="242">
        <f t="shared" si="35"/>
        <v>6.9858376496228104E-3</v>
      </c>
      <c r="P90" s="242">
        <f t="shared" si="36"/>
        <v>2.0166376237623762E-4</v>
      </c>
      <c r="Q90" s="242">
        <f t="shared" si="44"/>
        <v>21.250002555602592</v>
      </c>
      <c r="R90" s="242">
        <f t="shared" si="45"/>
        <v>3.2595122977321221E-2</v>
      </c>
      <c r="S90" s="250">
        <f t="shared" si="46"/>
        <v>1.0284851881188115E-4</v>
      </c>
      <c r="T90" s="250">
        <f t="shared" si="51"/>
        <v>2.103471331979281E-2</v>
      </c>
      <c r="U90" s="263">
        <f t="shared" si="52"/>
        <v>4162.5854918272325</v>
      </c>
      <c r="V90" s="263">
        <f t="shared" si="47"/>
        <v>5.7735026918962582</v>
      </c>
      <c r="W90" s="1">
        <f t="shared" si="48"/>
        <v>2.1863212212332868E-6</v>
      </c>
      <c r="X90" s="240">
        <f t="shared" si="37"/>
        <v>2.1863212212332868E-6</v>
      </c>
      <c r="Y90" s="240">
        <f t="shared" si="38"/>
        <v>4.4872978484129984E-5</v>
      </c>
      <c r="Z90" s="248">
        <f t="shared" si="49"/>
        <v>-5.3847574180955981E-4</v>
      </c>
      <c r="AA90" s="239"/>
      <c r="AB90" s="243"/>
      <c r="AD90" s="239"/>
      <c r="AE90" s="239"/>
      <c r="AF90" s="239"/>
      <c r="AJ90" s="240"/>
    </row>
    <row r="91" spans="1:36">
      <c r="A91" s="242">
        <f t="shared" si="50"/>
        <v>70</v>
      </c>
      <c r="B91" s="242">
        <f t="shared" si="39"/>
        <v>1</v>
      </c>
      <c r="C91" s="242">
        <f t="shared" si="27"/>
        <v>1.8811881188118811E-2</v>
      </c>
      <c r="D91" s="242">
        <f t="shared" si="28"/>
        <v>2.4428217821782181</v>
      </c>
      <c r="E91" s="242">
        <f t="shared" si="40"/>
        <v>11.547005383792516</v>
      </c>
      <c r="F91" s="242">
        <f t="shared" si="41"/>
        <v>8.2462112512353212</v>
      </c>
      <c r="G91" s="242">
        <f t="shared" si="42"/>
        <v>53.407199999999996</v>
      </c>
      <c r="H91" s="242">
        <f t="shared" si="29"/>
        <v>104.72000000000003</v>
      </c>
      <c r="I91" s="242">
        <f t="shared" si="30"/>
        <v>53.407199999999996</v>
      </c>
      <c r="J91" s="242">
        <f t="shared" si="31"/>
        <v>104.72000000000003</v>
      </c>
      <c r="K91" s="242">
        <f t="shared" si="32"/>
        <v>51.312800000000031</v>
      </c>
      <c r="L91" s="242">
        <f t="shared" si="43"/>
        <v>8.0829037686547629</v>
      </c>
      <c r="M91" s="242">
        <f t="shared" si="33"/>
        <v>1.7320508075688767</v>
      </c>
      <c r="N91" s="242">
        <f t="shared" si="34"/>
        <v>36.27607211372257</v>
      </c>
      <c r="O91" s="242">
        <f t="shared" si="35"/>
        <v>6.82421158574979E-3</v>
      </c>
      <c r="P91" s="242">
        <f t="shared" si="36"/>
        <v>1.9699801980198027E-4</v>
      </c>
      <c r="Q91" s="242">
        <f t="shared" si="44"/>
        <v>21.256826767188343</v>
      </c>
      <c r="R91" s="242">
        <f t="shared" si="45"/>
        <v>3.2792120997123204E-2</v>
      </c>
      <c r="S91" s="250">
        <f t="shared" si="46"/>
        <v>1.0046899009900989E-4</v>
      </c>
      <c r="T91" s="250">
        <f t="shared" si="51"/>
        <v>2.1135182309891819E-2</v>
      </c>
      <c r="U91" s="263">
        <f t="shared" si="52"/>
        <v>4162.604303708421</v>
      </c>
      <c r="V91" s="263">
        <f t="shared" si="47"/>
        <v>5.7735026918962582</v>
      </c>
      <c r="W91" s="1">
        <f t="shared" si="48"/>
        <v>2.1357379539039824E-6</v>
      </c>
      <c r="X91" s="240">
        <f t="shared" si="37"/>
        <v>2.1357379539039824E-6</v>
      </c>
      <c r="Y91" s="240">
        <f t="shared" si="38"/>
        <v>4.2686657262896694E-5</v>
      </c>
      <c r="Z91" s="248">
        <f t="shared" si="49"/>
        <v>-5.122398871547603E-4</v>
      </c>
      <c r="AA91" s="240"/>
      <c r="AB91" s="243"/>
      <c r="AD91" s="239"/>
      <c r="AE91" s="239"/>
      <c r="AF91" s="239"/>
      <c r="AJ91" s="240"/>
    </row>
    <row r="92" spans="1:36">
      <c r="A92" s="242">
        <f t="shared" si="50"/>
        <v>71</v>
      </c>
      <c r="B92" s="242">
        <f t="shared" si="39"/>
        <v>1</v>
      </c>
      <c r="C92" s="242">
        <f t="shared" si="27"/>
        <v>1.8366336633663362E-2</v>
      </c>
      <c r="D92" s="242">
        <f t="shared" si="28"/>
        <v>2.4611881188118812</v>
      </c>
      <c r="E92" s="242">
        <f t="shared" si="40"/>
        <v>11.547005383792516</v>
      </c>
      <c r="F92" s="242">
        <f t="shared" si="41"/>
        <v>8.2462112512353212</v>
      </c>
      <c r="G92" s="242">
        <f t="shared" si="42"/>
        <v>53.407199999999996</v>
      </c>
      <c r="H92" s="242">
        <f t="shared" si="29"/>
        <v>104.72000000000003</v>
      </c>
      <c r="I92" s="242">
        <f t="shared" si="30"/>
        <v>53.407199999999996</v>
      </c>
      <c r="J92" s="242">
        <f t="shared" si="31"/>
        <v>104.72000000000003</v>
      </c>
      <c r="K92" s="242">
        <f t="shared" si="32"/>
        <v>51.312800000000031</v>
      </c>
      <c r="L92" s="242">
        <f t="shared" si="43"/>
        <v>8.0829037686547629</v>
      </c>
      <c r="M92" s="242">
        <f t="shared" si="33"/>
        <v>1.7320508075688767</v>
      </c>
      <c r="N92" s="242">
        <f t="shared" si="34"/>
        <v>36.27607211372257</v>
      </c>
      <c r="O92" s="242">
        <f t="shared" si="35"/>
        <v>6.662585521876767E-3</v>
      </c>
      <c r="P92" s="242">
        <f t="shared" si="36"/>
        <v>1.9233227722772274E-4</v>
      </c>
      <c r="Q92" s="242">
        <f t="shared" si="44"/>
        <v>21.26348935271022</v>
      </c>
      <c r="R92" s="242">
        <f t="shared" si="45"/>
        <v>3.2984453274350928E-2</v>
      </c>
      <c r="S92" s="250">
        <f t="shared" si="46"/>
        <v>9.808946138613858E-5</v>
      </c>
      <c r="T92" s="250">
        <f t="shared" si="51"/>
        <v>2.123327177127796E-2</v>
      </c>
      <c r="U92" s="263">
        <f t="shared" si="52"/>
        <v>4162.6226700450543</v>
      </c>
      <c r="V92" s="263">
        <f t="shared" si="47"/>
        <v>5.7735026918962582</v>
      </c>
      <c r="W92" s="1">
        <f t="shared" si="48"/>
        <v>2.0851546865746772E-6</v>
      </c>
      <c r="X92" s="240">
        <f t="shared" si="37"/>
        <v>2.0851546865746772E-6</v>
      </c>
      <c r="Y92" s="240">
        <f t="shared" si="38"/>
        <v>4.055091930899271E-5</v>
      </c>
      <c r="Z92" s="248">
        <f t="shared" si="49"/>
        <v>-4.8661103170791252E-4</v>
      </c>
      <c r="AA92" s="240"/>
      <c r="AB92" s="243"/>
      <c r="AD92" s="239"/>
      <c r="AE92" s="239"/>
      <c r="AF92" s="239"/>
      <c r="AJ92" s="240"/>
    </row>
    <row r="93" spans="1:36">
      <c r="A93" s="242">
        <f t="shared" si="50"/>
        <v>72</v>
      </c>
      <c r="B93" s="242">
        <f t="shared" si="39"/>
        <v>1</v>
      </c>
      <c r="C93" s="242">
        <f t="shared" si="27"/>
        <v>1.7920792079207916E-2</v>
      </c>
      <c r="D93" s="242">
        <f t="shared" si="28"/>
        <v>2.4791089108910893</v>
      </c>
      <c r="E93" s="242">
        <f t="shared" si="40"/>
        <v>11.547005383792516</v>
      </c>
      <c r="F93" s="242">
        <f t="shared" si="41"/>
        <v>8.2462112512353212</v>
      </c>
      <c r="G93" s="242">
        <f t="shared" si="42"/>
        <v>53.407199999999996</v>
      </c>
      <c r="H93" s="242">
        <f t="shared" si="29"/>
        <v>104.72000000000003</v>
      </c>
      <c r="I93" s="242">
        <f t="shared" si="30"/>
        <v>53.407199999999996</v>
      </c>
      <c r="J93" s="242">
        <f t="shared" si="31"/>
        <v>104.72000000000003</v>
      </c>
      <c r="K93" s="242">
        <f t="shared" si="32"/>
        <v>51.312800000000031</v>
      </c>
      <c r="L93" s="242">
        <f t="shared" si="43"/>
        <v>8.0829037686547629</v>
      </c>
      <c r="M93" s="242">
        <f t="shared" si="33"/>
        <v>1.7320508075688767</v>
      </c>
      <c r="N93" s="242">
        <f t="shared" si="34"/>
        <v>36.27607211372257</v>
      </c>
      <c r="O93" s="242">
        <f t="shared" si="35"/>
        <v>6.5009594580037458E-3</v>
      </c>
      <c r="P93" s="242">
        <f t="shared" si="36"/>
        <v>1.8766653465346534E-4</v>
      </c>
      <c r="Q93" s="242">
        <f t="shared" si="44"/>
        <v>21.269990312168225</v>
      </c>
      <c r="R93" s="242">
        <f t="shared" si="45"/>
        <v>3.3172119809004391E-2</v>
      </c>
      <c r="S93" s="250">
        <f t="shared" si="46"/>
        <v>9.5709932673267286E-5</v>
      </c>
      <c r="T93" s="250">
        <f t="shared" si="51"/>
        <v>2.1328981703951227E-2</v>
      </c>
      <c r="U93" s="263">
        <f t="shared" si="52"/>
        <v>4162.6405908371335</v>
      </c>
      <c r="V93" s="263">
        <f t="shared" si="47"/>
        <v>5.7735026918962582</v>
      </c>
      <c r="W93" s="1">
        <f t="shared" si="48"/>
        <v>2.0345714192453721E-6</v>
      </c>
      <c r="X93" s="240">
        <f t="shared" si="37"/>
        <v>2.0345714192453721E-6</v>
      </c>
      <c r="Y93" s="240">
        <f t="shared" si="38"/>
        <v>3.8465764622418033E-5</v>
      </c>
      <c r="Z93" s="248">
        <f t="shared" si="49"/>
        <v>-4.6158917546901637E-4</v>
      </c>
      <c r="AA93" s="240"/>
      <c r="AB93" s="243"/>
      <c r="AD93" s="239"/>
      <c r="AE93" s="239"/>
      <c r="AF93" s="239"/>
      <c r="AJ93" s="240"/>
    </row>
    <row r="94" spans="1:36">
      <c r="A94" s="242">
        <f t="shared" si="50"/>
        <v>73</v>
      </c>
      <c r="B94" s="242">
        <f t="shared" si="39"/>
        <v>1</v>
      </c>
      <c r="C94" s="242">
        <f t="shared" si="27"/>
        <v>1.747524752475247E-2</v>
      </c>
      <c r="D94" s="242">
        <f t="shared" si="28"/>
        <v>2.4965841584158417</v>
      </c>
      <c r="E94" s="242">
        <f t="shared" si="40"/>
        <v>11.547005383792516</v>
      </c>
      <c r="F94" s="242">
        <f t="shared" si="41"/>
        <v>8.2462112512353212</v>
      </c>
      <c r="G94" s="242">
        <f t="shared" si="42"/>
        <v>53.407199999999996</v>
      </c>
      <c r="H94" s="242">
        <f t="shared" si="29"/>
        <v>104.72000000000003</v>
      </c>
      <c r="I94" s="242">
        <f t="shared" si="30"/>
        <v>53.407199999999996</v>
      </c>
      <c r="J94" s="242">
        <f t="shared" si="31"/>
        <v>104.72000000000003</v>
      </c>
      <c r="K94" s="242">
        <f t="shared" si="32"/>
        <v>51.312800000000031</v>
      </c>
      <c r="L94" s="242">
        <f t="shared" si="43"/>
        <v>8.0829037686547629</v>
      </c>
      <c r="M94" s="242">
        <f t="shared" si="33"/>
        <v>1.7320508075688767</v>
      </c>
      <c r="N94" s="242">
        <f t="shared" si="34"/>
        <v>36.27607211372257</v>
      </c>
      <c r="O94" s="242">
        <f t="shared" si="35"/>
        <v>6.3393333941307237E-3</v>
      </c>
      <c r="P94" s="242">
        <f t="shared" si="36"/>
        <v>1.8300079207920792E-4</v>
      </c>
      <c r="Q94" s="242">
        <f t="shared" si="44"/>
        <v>21.276329645562356</v>
      </c>
      <c r="R94" s="242">
        <f t="shared" si="45"/>
        <v>3.3355120601083602E-2</v>
      </c>
      <c r="S94" s="250">
        <f t="shared" si="46"/>
        <v>9.3330403960395993E-5</v>
      </c>
      <c r="T94" s="250">
        <f t="shared" si="51"/>
        <v>2.1422312107911623E-2</v>
      </c>
      <c r="U94" s="263">
        <f t="shared" si="52"/>
        <v>4162.6580660846585</v>
      </c>
      <c r="V94" s="263">
        <f t="shared" si="47"/>
        <v>5.7735026918962582</v>
      </c>
      <c r="W94" s="1">
        <f t="shared" si="48"/>
        <v>1.9839881519160673E-6</v>
      </c>
      <c r="X94" s="240">
        <f t="shared" si="37"/>
        <v>1.9839881519160673E-6</v>
      </c>
      <c r="Y94" s="240">
        <f t="shared" si="38"/>
        <v>3.6431193203172662E-5</v>
      </c>
      <c r="Z94" s="248">
        <f t="shared" si="49"/>
        <v>-4.3717431843807194E-4</v>
      </c>
      <c r="AA94" s="240"/>
      <c r="AB94" s="243"/>
      <c r="AD94" s="239"/>
      <c r="AE94" s="239"/>
      <c r="AF94" s="239"/>
      <c r="AJ94" s="240"/>
    </row>
    <row r="95" spans="1:36">
      <c r="A95" s="242">
        <f t="shared" si="50"/>
        <v>74</v>
      </c>
      <c r="B95" s="242">
        <f t="shared" si="39"/>
        <v>1</v>
      </c>
      <c r="C95" s="242">
        <f t="shared" si="27"/>
        <v>1.7029702970297024E-2</v>
      </c>
      <c r="D95" s="242">
        <f t="shared" si="28"/>
        <v>2.5136138613861387</v>
      </c>
      <c r="E95" s="242">
        <f t="shared" si="40"/>
        <v>11.547005383792516</v>
      </c>
      <c r="F95" s="242">
        <f t="shared" si="41"/>
        <v>8.2462112512353212</v>
      </c>
      <c r="G95" s="242">
        <f t="shared" si="42"/>
        <v>53.407199999999996</v>
      </c>
      <c r="H95" s="242">
        <f t="shared" si="29"/>
        <v>104.72000000000003</v>
      </c>
      <c r="I95" s="242">
        <f t="shared" si="30"/>
        <v>53.407199999999996</v>
      </c>
      <c r="J95" s="242">
        <f t="shared" si="31"/>
        <v>104.72000000000003</v>
      </c>
      <c r="K95" s="242">
        <f t="shared" si="32"/>
        <v>51.312800000000031</v>
      </c>
      <c r="L95" s="242">
        <f t="shared" si="43"/>
        <v>8.0829037686547629</v>
      </c>
      <c r="M95" s="242">
        <f t="shared" si="33"/>
        <v>1.7320508075688767</v>
      </c>
      <c r="N95" s="242">
        <f t="shared" si="34"/>
        <v>36.27607211372257</v>
      </c>
      <c r="O95" s="242">
        <f t="shared" si="35"/>
        <v>6.1777073302577033E-3</v>
      </c>
      <c r="P95" s="242">
        <f t="shared" si="36"/>
        <v>1.7833504950495047E-4</v>
      </c>
      <c r="Q95" s="242">
        <f t="shared" si="44"/>
        <v>21.282507352892615</v>
      </c>
      <c r="R95" s="242">
        <f t="shared" si="45"/>
        <v>3.3533455650588552E-2</v>
      </c>
      <c r="S95" s="250">
        <f t="shared" si="46"/>
        <v>9.0950875247524713E-5</v>
      </c>
      <c r="T95" s="250">
        <f t="shared" si="51"/>
        <v>2.1513262983159146E-2</v>
      </c>
      <c r="U95" s="263">
        <f t="shared" si="52"/>
        <v>4162.6750957876284</v>
      </c>
      <c r="V95" s="263">
        <f t="shared" si="47"/>
        <v>5.7735026918962582</v>
      </c>
      <c r="W95" s="1">
        <f t="shared" si="48"/>
        <v>1.9334048845867625E-6</v>
      </c>
      <c r="X95" s="240">
        <f t="shared" si="37"/>
        <v>1.9334048845867625E-6</v>
      </c>
      <c r="Y95" s="240">
        <f t="shared" si="38"/>
        <v>3.4447205051256598E-5</v>
      </c>
      <c r="Z95" s="248">
        <f t="shared" si="49"/>
        <v>-4.1336646061507915E-4</v>
      </c>
      <c r="AA95" s="240"/>
      <c r="AB95" s="243"/>
      <c r="AD95" s="239"/>
      <c r="AE95" s="239"/>
      <c r="AF95" s="239"/>
      <c r="AJ95" s="240"/>
    </row>
    <row r="96" spans="1:36">
      <c r="A96" s="242">
        <f t="shared" si="50"/>
        <v>75</v>
      </c>
      <c r="B96" s="242">
        <f t="shared" si="39"/>
        <v>1</v>
      </c>
      <c r="C96" s="242">
        <f t="shared" si="27"/>
        <v>1.6584158415841585E-2</v>
      </c>
      <c r="D96" s="242">
        <f t="shared" si="28"/>
        <v>2.5301980198019804</v>
      </c>
      <c r="E96" s="242">
        <f t="shared" si="40"/>
        <v>11.547005383792516</v>
      </c>
      <c r="F96" s="242">
        <f t="shared" si="41"/>
        <v>8.2462112512353212</v>
      </c>
      <c r="G96" s="242">
        <f t="shared" si="42"/>
        <v>53.407199999999996</v>
      </c>
      <c r="H96" s="242">
        <f t="shared" si="29"/>
        <v>104.72000000000003</v>
      </c>
      <c r="I96" s="242">
        <f t="shared" si="30"/>
        <v>53.407199999999996</v>
      </c>
      <c r="J96" s="242">
        <f t="shared" si="31"/>
        <v>104.72000000000003</v>
      </c>
      <c r="K96" s="242">
        <f t="shared" si="32"/>
        <v>51.312800000000031</v>
      </c>
      <c r="L96" s="242">
        <f t="shared" si="43"/>
        <v>8.0829037686547629</v>
      </c>
      <c r="M96" s="242">
        <f t="shared" si="33"/>
        <v>1.7320508075688767</v>
      </c>
      <c r="N96" s="242">
        <f t="shared" si="34"/>
        <v>36.27607211372257</v>
      </c>
      <c r="O96" s="242">
        <f t="shared" si="35"/>
        <v>6.0160812663846838E-3</v>
      </c>
      <c r="P96" s="242">
        <f t="shared" si="36"/>
        <v>1.7366930693069309E-4</v>
      </c>
      <c r="Q96" s="242">
        <f t="shared" si="44"/>
        <v>21.288523434159</v>
      </c>
      <c r="R96" s="242">
        <f t="shared" si="45"/>
        <v>3.3707124957519242E-2</v>
      </c>
      <c r="S96" s="250">
        <f t="shared" si="46"/>
        <v>8.857134653465346E-5</v>
      </c>
      <c r="T96" s="250">
        <f t="shared" si="51"/>
        <v>2.16018343296938E-2</v>
      </c>
      <c r="U96" s="263">
        <f t="shared" si="52"/>
        <v>4162.6916799460441</v>
      </c>
      <c r="V96" s="263">
        <f t="shared" si="47"/>
        <v>5.7735026918962582</v>
      </c>
      <c r="W96" s="1">
        <f t="shared" si="48"/>
        <v>1.8828216172574582E-6</v>
      </c>
      <c r="X96" s="240">
        <f t="shared" si="37"/>
        <v>1.8828216172574582E-6</v>
      </c>
      <c r="Y96" s="240">
        <f t="shared" si="38"/>
        <v>3.2513800166669833E-5</v>
      </c>
      <c r="Z96" s="248">
        <f t="shared" si="49"/>
        <v>-3.9016560200003797E-4</v>
      </c>
      <c r="AA96" s="240"/>
      <c r="AB96" s="243"/>
      <c r="AD96" s="239"/>
      <c r="AE96" s="239"/>
      <c r="AF96" s="239"/>
      <c r="AJ96" s="240"/>
    </row>
    <row r="97" spans="1:36">
      <c r="A97" s="242">
        <f t="shared" si="50"/>
        <v>76</v>
      </c>
      <c r="B97" s="242">
        <f t="shared" si="39"/>
        <v>1</v>
      </c>
      <c r="C97" s="242">
        <f t="shared" si="27"/>
        <v>1.6138613861386139E-2</v>
      </c>
      <c r="D97" s="242">
        <f t="shared" si="28"/>
        <v>2.5463366336633664</v>
      </c>
      <c r="E97" s="242">
        <f t="shared" si="40"/>
        <v>11.547005383792516</v>
      </c>
      <c r="F97" s="242">
        <f t="shared" si="41"/>
        <v>8.2462112512353212</v>
      </c>
      <c r="G97" s="242">
        <f t="shared" si="42"/>
        <v>53.407199999999996</v>
      </c>
      <c r="H97" s="242">
        <f t="shared" si="29"/>
        <v>104.72000000000003</v>
      </c>
      <c r="I97" s="242">
        <f t="shared" si="30"/>
        <v>53.407199999999996</v>
      </c>
      <c r="J97" s="242">
        <f t="shared" si="31"/>
        <v>104.72000000000003</v>
      </c>
      <c r="K97" s="242">
        <f t="shared" si="32"/>
        <v>51.312800000000031</v>
      </c>
      <c r="L97" s="242">
        <f t="shared" si="43"/>
        <v>8.0829037686547629</v>
      </c>
      <c r="M97" s="242">
        <f t="shared" si="33"/>
        <v>1.7320508075688767</v>
      </c>
      <c r="N97" s="242">
        <f t="shared" si="34"/>
        <v>36.27607211372257</v>
      </c>
      <c r="O97" s="242">
        <f t="shared" si="35"/>
        <v>5.8544552025116617E-3</v>
      </c>
      <c r="P97" s="242">
        <f t="shared" si="36"/>
        <v>1.690035643564357E-4</v>
      </c>
      <c r="Q97" s="242">
        <f t="shared" si="44"/>
        <v>21.294377889361513</v>
      </c>
      <c r="R97" s="242">
        <f t="shared" si="45"/>
        <v>3.387612852187568E-2</v>
      </c>
      <c r="S97" s="250">
        <f t="shared" si="46"/>
        <v>8.6191817821782167E-5</v>
      </c>
      <c r="T97" s="250">
        <f t="shared" si="51"/>
        <v>2.1688026147515582E-2</v>
      </c>
      <c r="U97" s="263">
        <f t="shared" si="52"/>
        <v>4162.7078185599057</v>
      </c>
      <c r="V97" s="263">
        <f t="shared" si="47"/>
        <v>5.7735026918962582</v>
      </c>
      <c r="W97" s="1">
        <f t="shared" si="48"/>
        <v>1.8322383499281536E-6</v>
      </c>
      <c r="X97" s="240">
        <f t="shared" si="37"/>
        <v>1.8322383499281536E-6</v>
      </c>
      <c r="Y97" s="240">
        <f t="shared" si="38"/>
        <v>3.0630978549412375E-5</v>
      </c>
      <c r="Z97" s="248">
        <f t="shared" si="49"/>
        <v>-3.6757174259294853E-4</v>
      </c>
      <c r="AA97" s="240"/>
      <c r="AB97" s="243"/>
      <c r="AD97" s="239"/>
      <c r="AE97" s="239"/>
      <c r="AF97" s="239"/>
      <c r="AJ97" s="240"/>
    </row>
    <row r="98" spans="1:36">
      <c r="A98" s="242">
        <f t="shared" si="50"/>
        <v>77</v>
      </c>
      <c r="B98" s="242">
        <f t="shared" si="39"/>
        <v>1</v>
      </c>
      <c r="C98" s="242">
        <f t="shared" si="27"/>
        <v>1.5693069306930693E-2</v>
      </c>
      <c r="D98" s="242">
        <f t="shared" si="28"/>
        <v>2.562029702970297</v>
      </c>
      <c r="E98" s="242">
        <f t="shared" si="40"/>
        <v>11.547005383792516</v>
      </c>
      <c r="F98" s="242">
        <f t="shared" si="41"/>
        <v>8.2462112512353212</v>
      </c>
      <c r="G98" s="242">
        <f t="shared" si="42"/>
        <v>53.407199999999996</v>
      </c>
      <c r="H98" s="242">
        <f t="shared" si="29"/>
        <v>104.72000000000003</v>
      </c>
      <c r="I98" s="242">
        <f t="shared" si="30"/>
        <v>53.407199999999996</v>
      </c>
      <c r="J98" s="242">
        <f t="shared" si="31"/>
        <v>104.72000000000003</v>
      </c>
      <c r="K98" s="242">
        <f t="shared" si="32"/>
        <v>51.312800000000031</v>
      </c>
      <c r="L98" s="242">
        <f t="shared" si="43"/>
        <v>8.0829037686547629</v>
      </c>
      <c r="M98" s="242">
        <f t="shared" si="33"/>
        <v>1.7320508075688767</v>
      </c>
      <c r="N98" s="242">
        <f t="shared" si="34"/>
        <v>36.27607211372257</v>
      </c>
      <c r="O98" s="242">
        <f t="shared" si="35"/>
        <v>5.6928291386386413E-3</v>
      </c>
      <c r="P98" s="242">
        <f t="shared" si="36"/>
        <v>1.6433782178217824E-4</v>
      </c>
      <c r="Q98" s="242">
        <f t="shared" si="44"/>
        <v>21.300070718500152</v>
      </c>
      <c r="R98" s="242">
        <f t="shared" si="45"/>
        <v>3.4040466343657858E-2</v>
      </c>
      <c r="S98" s="250">
        <f t="shared" si="46"/>
        <v>8.3812289108910887E-5</v>
      </c>
      <c r="T98" s="250">
        <f t="shared" si="51"/>
        <v>2.1771838436624492E-2</v>
      </c>
      <c r="U98" s="263">
        <f t="shared" si="52"/>
        <v>4162.7235116292122</v>
      </c>
      <c r="V98" s="263">
        <f t="shared" si="47"/>
        <v>5.7735026918962582</v>
      </c>
      <c r="W98" s="1">
        <f t="shared" si="48"/>
        <v>1.7816550825988486E-6</v>
      </c>
      <c r="X98" s="240">
        <f t="shared" si="37"/>
        <v>1.7816550825988486E-6</v>
      </c>
      <c r="Y98" s="240">
        <f t="shared" si="38"/>
        <v>2.879874019948422E-5</v>
      </c>
      <c r="Z98" s="248">
        <f t="shared" si="49"/>
        <v>-3.4558488239381065E-4</v>
      </c>
      <c r="AA98" s="240"/>
      <c r="AB98" s="243"/>
      <c r="AD98" s="239"/>
      <c r="AE98" s="239"/>
      <c r="AF98" s="239"/>
      <c r="AJ98" s="240"/>
    </row>
    <row r="99" spans="1:36">
      <c r="A99" s="242">
        <f t="shared" si="50"/>
        <v>78</v>
      </c>
      <c r="B99" s="242">
        <f t="shared" si="39"/>
        <v>1</v>
      </c>
      <c r="C99" s="242">
        <f t="shared" si="27"/>
        <v>1.5247524752475247E-2</v>
      </c>
      <c r="D99" s="242">
        <f t="shared" si="28"/>
        <v>2.5772772277227722</v>
      </c>
      <c r="E99" s="242">
        <f t="shared" si="40"/>
        <v>11.547005383792516</v>
      </c>
      <c r="F99" s="242">
        <f t="shared" si="41"/>
        <v>8.2462112512353212</v>
      </c>
      <c r="G99" s="242">
        <f t="shared" si="42"/>
        <v>53.407199999999996</v>
      </c>
      <c r="H99" s="242">
        <f t="shared" si="29"/>
        <v>104.72000000000003</v>
      </c>
      <c r="I99" s="242">
        <f t="shared" si="30"/>
        <v>53.407199999999996</v>
      </c>
      <c r="J99" s="242">
        <f t="shared" si="31"/>
        <v>104.72000000000003</v>
      </c>
      <c r="K99" s="242">
        <f t="shared" si="32"/>
        <v>51.312800000000031</v>
      </c>
      <c r="L99" s="242">
        <f t="shared" si="43"/>
        <v>8.0829037686547629</v>
      </c>
      <c r="M99" s="242">
        <f t="shared" si="33"/>
        <v>1.7320508075688767</v>
      </c>
      <c r="N99" s="242">
        <f t="shared" si="34"/>
        <v>36.27607211372257</v>
      </c>
      <c r="O99" s="242">
        <f t="shared" si="35"/>
        <v>5.5312030747656192E-3</v>
      </c>
      <c r="P99" s="242">
        <f t="shared" si="36"/>
        <v>1.5967207920792082E-4</v>
      </c>
      <c r="Q99" s="242">
        <f t="shared" si="44"/>
        <v>21.305601921574919</v>
      </c>
      <c r="R99" s="242">
        <f t="shared" si="45"/>
        <v>3.4200138422865775E-2</v>
      </c>
      <c r="S99" s="250">
        <f t="shared" si="46"/>
        <v>8.1432760396039593E-5</v>
      </c>
      <c r="T99" s="250">
        <f t="shared" si="51"/>
        <v>2.1853271197020532E-2</v>
      </c>
      <c r="U99" s="263">
        <f t="shared" si="52"/>
        <v>4162.7387591539646</v>
      </c>
      <c r="V99" s="263">
        <f t="shared" si="47"/>
        <v>5.7735026918962582</v>
      </c>
      <c r="W99" s="1">
        <f t="shared" si="48"/>
        <v>1.7310718152695439E-6</v>
      </c>
      <c r="X99" s="240">
        <f t="shared" si="37"/>
        <v>1.7310718152695439E-6</v>
      </c>
      <c r="Y99" s="240">
        <f t="shared" si="38"/>
        <v>2.7017085116885371E-5</v>
      </c>
      <c r="Z99" s="248">
        <f t="shared" si="49"/>
        <v>-3.2420502140262445E-4</v>
      </c>
      <c r="AA99" s="240"/>
      <c r="AB99" s="243"/>
      <c r="AD99" s="239"/>
      <c r="AE99" s="239"/>
      <c r="AF99" s="239"/>
      <c r="AJ99" s="240"/>
    </row>
    <row r="100" spans="1:36">
      <c r="A100" s="242">
        <f t="shared" si="50"/>
        <v>79</v>
      </c>
      <c r="B100" s="242">
        <f t="shared" si="39"/>
        <v>1</v>
      </c>
      <c r="C100" s="242">
        <f t="shared" si="27"/>
        <v>1.4801980198019801E-2</v>
      </c>
      <c r="D100" s="242">
        <f t="shared" si="28"/>
        <v>2.5920792079207922</v>
      </c>
      <c r="E100" s="242">
        <f t="shared" si="40"/>
        <v>11.547005383792516</v>
      </c>
      <c r="F100" s="242">
        <f t="shared" si="41"/>
        <v>8.2462112512353212</v>
      </c>
      <c r="G100" s="242">
        <f t="shared" si="42"/>
        <v>53.407199999999996</v>
      </c>
      <c r="H100" s="242">
        <f t="shared" si="29"/>
        <v>104.72000000000003</v>
      </c>
      <c r="I100" s="242">
        <f t="shared" si="30"/>
        <v>53.407199999999996</v>
      </c>
      <c r="J100" s="242">
        <f t="shared" si="31"/>
        <v>104.72000000000003</v>
      </c>
      <c r="K100" s="242">
        <f t="shared" si="32"/>
        <v>51.312800000000031</v>
      </c>
      <c r="L100" s="242">
        <f t="shared" si="43"/>
        <v>8.0829037686547629</v>
      </c>
      <c r="M100" s="242">
        <f t="shared" si="33"/>
        <v>1.7320508075688767</v>
      </c>
      <c r="N100" s="242">
        <f t="shared" si="34"/>
        <v>36.27607211372257</v>
      </c>
      <c r="O100" s="242">
        <f t="shared" si="35"/>
        <v>5.369577010892598E-3</v>
      </c>
      <c r="P100" s="242">
        <f t="shared" si="36"/>
        <v>1.5500633663366339E-4</v>
      </c>
      <c r="Q100" s="242">
        <f t="shared" si="44"/>
        <v>21.310971498585811</v>
      </c>
      <c r="R100" s="242">
        <f t="shared" si="45"/>
        <v>3.435514475949944E-2</v>
      </c>
      <c r="S100" s="250">
        <f t="shared" si="46"/>
        <v>7.90532316831683E-5</v>
      </c>
      <c r="T100" s="250">
        <f t="shared" si="51"/>
        <v>2.1932324428703701E-2</v>
      </c>
      <c r="U100" s="263">
        <f t="shared" si="52"/>
        <v>4162.7535611341627</v>
      </c>
      <c r="V100" s="263">
        <f t="shared" si="47"/>
        <v>5.7735026918962582</v>
      </c>
      <c r="W100" s="1">
        <f t="shared" si="48"/>
        <v>1.6804885479402389E-6</v>
      </c>
      <c r="X100" s="240">
        <f t="shared" si="37"/>
        <v>1.6804885479402389E-6</v>
      </c>
      <c r="Y100" s="240">
        <f t="shared" si="38"/>
        <v>2.5286013301615826E-5</v>
      </c>
      <c r="Z100" s="248">
        <f t="shared" si="49"/>
        <v>-3.0343215961938994E-4</v>
      </c>
      <c r="AA100" s="240"/>
      <c r="AB100" s="243"/>
      <c r="AD100" s="239"/>
      <c r="AE100" s="239"/>
      <c r="AF100" s="239"/>
      <c r="AJ100" s="240"/>
    </row>
    <row r="101" spans="1:36">
      <c r="A101" s="242">
        <f t="shared" si="50"/>
        <v>80</v>
      </c>
      <c r="B101" s="242">
        <f t="shared" si="39"/>
        <v>1</v>
      </c>
      <c r="C101" s="242">
        <f t="shared" si="27"/>
        <v>1.4356435643564355E-2</v>
      </c>
      <c r="D101" s="242">
        <f t="shared" si="28"/>
        <v>2.6064356435643563</v>
      </c>
      <c r="E101" s="242">
        <f t="shared" si="40"/>
        <v>11.547005383792516</v>
      </c>
      <c r="F101" s="242">
        <f t="shared" si="41"/>
        <v>8.2462112512353212</v>
      </c>
      <c r="G101" s="242">
        <f t="shared" si="42"/>
        <v>53.407199999999996</v>
      </c>
      <c r="H101" s="242">
        <f t="shared" si="29"/>
        <v>104.72000000000003</v>
      </c>
      <c r="I101" s="242">
        <f t="shared" si="30"/>
        <v>53.407199999999996</v>
      </c>
      <c r="J101" s="242">
        <f t="shared" si="31"/>
        <v>104.72000000000003</v>
      </c>
      <c r="K101" s="242">
        <f t="shared" si="32"/>
        <v>51.312800000000031</v>
      </c>
      <c r="L101" s="242">
        <f t="shared" si="43"/>
        <v>8.0829037686547629</v>
      </c>
      <c r="M101" s="242">
        <f t="shared" si="33"/>
        <v>1.7320508075688767</v>
      </c>
      <c r="N101" s="242">
        <f t="shared" si="34"/>
        <v>36.27607211372257</v>
      </c>
      <c r="O101" s="242">
        <f t="shared" si="35"/>
        <v>5.2079509470195759E-3</v>
      </c>
      <c r="P101" s="242">
        <f t="shared" si="36"/>
        <v>1.5034059405940594E-4</v>
      </c>
      <c r="Q101" s="242">
        <f t="shared" si="44"/>
        <v>21.316179449532832</v>
      </c>
      <c r="R101" s="242">
        <f t="shared" si="45"/>
        <v>3.4505485353558844E-2</v>
      </c>
      <c r="S101" s="250">
        <f t="shared" si="46"/>
        <v>7.667370297029702E-5</v>
      </c>
      <c r="T101" s="250">
        <f t="shared" si="51"/>
        <v>2.2008998131673996E-2</v>
      </c>
      <c r="U101" s="263">
        <f t="shared" si="52"/>
        <v>4162.7679175698067</v>
      </c>
      <c r="V101" s="263">
        <f t="shared" si="47"/>
        <v>5.7735026918962582</v>
      </c>
      <c r="W101" s="1">
        <f t="shared" si="48"/>
        <v>1.6299052806109337E-6</v>
      </c>
      <c r="X101" s="240">
        <f t="shared" si="37"/>
        <v>1.6299052806109337E-6</v>
      </c>
      <c r="Y101" s="240">
        <f t="shared" si="38"/>
        <v>2.3605524753675587E-5</v>
      </c>
      <c r="Z101" s="248">
        <f t="shared" si="49"/>
        <v>-2.8326629704410704E-4</v>
      </c>
      <c r="AA101" s="240"/>
      <c r="AB101" s="243"/>
      <c r="AD101" s="239"/>
      <c r="AE101" s="239"/>
      <c r="AF101" s="239"/>
      <c r="AJ101" s="240"/>
    </row>
    <row r="102" spans="1:36">
      <c r="A102" s="242">
        <f t="shared" si="50"/>
        <v>81</v>
      </c>
      <c r="B102" s="242">
        <f t="shared" si="39"/>
        <v>1</v>
      </c>
      <c r="C102" s="242">
        <f t="shared" si="27"/>
        <v>1.3910891089108909E-2</v>
      </c>
      <c r="D102" s="242">
        <f t="shared" si="28"/>
        <v>2.6203465346534656</v>
      </c>
      <c r="E102" s="242">
        <f t="shared" si="40"/>
        <v>11.547005383792516</v>
      </c>
      <c r="F102" s="242">
        <f t="shared" si="41"/>
        <v>8.2462112512353212</v>
      </c>
      <c r="G102" s="242">
        <f t="shared" si="42"/>
        <v>53.407199999999996</v>
      </c>
      <c r="H102" s="242">
        <f t="shared" si="29"/>
        <v>104.72000000000003</v>
      </c>
      <c r="I102" s="242">
        <f t="shared" si="30"/>
        <v>53.407199999999996</v>
      </c>
      <c r="J102" s="242">
        <f t="shared" si="31"/>
        <v>104.72000000000003</v>
      </c>
      <c r="K102" s="242">
        <f t="shared" si="32"/>
        <v>51.312800000000031</v>
      </c>
      <c r="L102" s="242">
        <f t="shared" si="43"/>
        <v>8.0829037686547629</v>
      </c>
      <c r="M102" s="242">
        <f t="shared" si="33"/>
        <v>1.7320508075688767</v>
      </c>
      <c r="N102" s="242">
        <f t="shared" si="34"/>
        <v>36.27607211372257</v>
      </c>
      <c r="O102" s="242">
        <f t="shared" si="35"/>
        <v>5.0463248831465546E-3</v>
      </c>
      <c r="P102" s="242">
        <f t="shared" si="36"/>
        <v>1.4567485148514855E-4</v>
      </c>
      <c r="Q102" s="242">
        <f t="shared" si="44"/>
        <v>21.321225774415979</v>
      </c>
      <c r="R102" s="242">
        <f t="shared" si="45"/>
        <v>3.4651160205043996E-2</v>
      </c>
      <c r="S102" s="250">
        <f t="shared" si="46"/>
        <v>7.4294174257425727E-5</v>
      </c>
      <c r="T102" s="250">
        <f t="shared" si="51"/>
        <v>2.2083292305931423E-2</v>
      </c>
      <c r="U102" s="263">
        <f t="shared" si="52"/>
        <v>4162.7818284608957</v>
      </c>
      <c r="V102" s="263">
        <f t="shared" si="47"/>
        <v>5.7735026918962582</v>
      </c>
      <c r="W102" s="1">
        <f t="shared" si="48"/>
        <v>1.5793220132816291E-6</v>
      </c>
      <c r="X102" s="240">
        <f t="shared" si="37"/>
        <v>1.5793220132816291E-6</v>
      </c>
      <c r="Y102" s="240">
        <f t="shared" si="38"/>
        <v>2.1975619473064654E-5</v>
      </c>
      <c r="Z102" s="248">
        <f t="shared" si="49"/>
        <v>-2.6370743367677587E-4</v>
      </c>
      <c r="AA102" s="240"/>
      <c r="AB102" s="243"/>
      <c r="AD102" s="239"/>
      <c r="AE102" s="239"/>
      <c r="AF102" s="239"/>
      <c r="AJ102" s="240"/>
    </row>
    <row r="103" spans="1:36">
      <c r="A103" s="242">
        <f t="shared" si="50"/>
        <v>82</v>
      </c>
      <c r="B103" s="242">
        <f t="shared" si="39"/>
        <v>1</v>
      </c>
      <c r="C103" s="242">
        <f t="shared" si="27"/>
        <v>1.3465346534653463E-2</v>
      </c>
      <c r="D103" s="242">
        <f t="shared" si="28"/>
        <v>2.633811881188119</v>
      </c>
      <c r="E103" s="242">
        <f t="shared" si="40"/>
        <v>11.547005383792516</v>
      </c>
      <c r="F103" s="242">
        <f t="shared" si="41"/>
        <v>8.2462112512353212</v>
      </c>
      <c r="G103" s="242">
        <f t="shared" si="42"/>
        <v>53.407199999999996</v>
      </c>
      <c r="H103" s="242">
        <f t="shared" si="29"/>
        <v>104.72000000000003</v>
      </c>
      <c r="I103" s="242">
        <f t="shared" si="30"/>
        <v>53.407199999999996</v>
      </c>
      <c r="J103" s="242">
        <f t="shared" si="31"/>
        <v>104.72000000000003</v>
      </c>
      <c r="K103" s="242">
        <f t="shared" si="32"/>
        <v>51.312800000000031</v>
      </c>
      <c r="L103" s="242">
        <f t="shared" si="43"/>
        <v>8.0829037686547629</v>
      </c>
      <c r="M103" s="242">
        <f t="shared" si="33"/>
        <v>1.7320508075688767</v>
      </c>
      <c r="N103" s="242">
        <f t="shared" si="34"/>
        <v>36.27607211372257</v>
      </c>
      <c r="O103" s="242">
        <f t="shared" si="35"/>
        <v>4.8846988192735334E-3</v>
      </c>
      <c r="P103" s="242">
        <f t="shared" si="36"/>
        <v>1.4100910891089109E-4</v>
      </c>
      <c r="Q103" s="242">
        <f t="shared" si="44"/>
        <v>21.326110473235254</v>
      </c>
      <c r="R103" s="242">
        <f t="shared" si="45"/>
        <v>3.4792169313954888E-2</v>
      </c>
      <c r="S103" s="250">
        <f t="shared" si="46"/>
        <v>7.1914645544554433E-5</v>
      </c>
      <c r="T103" s="250">
        <f t="shared" si="51"/>
        <v>2.2155206951475978E-2</v>
      </c>
      <c r="U103" s="263">
        <f t="shared" si="52"/>
        <v>4162.7952938074304</v>
      </c>
      <c r="V103" s="263">
        <f t="shared" si="47"/>
        <v>5.7735026918962582</v>
      </c>
      <c r="W103" s="1">
        <f t="shared" si="48"/>
        <v>1.5287387459523241E-6</v>
      </c>
      <c r="X103" s="240">
        <f t="shared" si="37"/>
        <v>1.5287387459523241E-6</v>
      </c>
      <c r="Y103" s="240">
        <f t="shared" si="38"/>
        <v>2.0396297459783024E-5</v>
      </c>
      <c r="Z103" s="248">
        <f t="shared" si="49"/>
        <v>-2.4475556951739628E-4</v>
      </c>
      <c r="AA103" s="240"/>
      <c r="AB103" s="243"/>
      <c r="AD103" s="239"/>
      <c r="AE103" s="239"/>
      <c r="AF103" s="239"/>
      <c r="AJ103" s="240"/>
    </row>
    <row r="104" spans="1:36">
      <c r="A104" s="242">
        <f t="shared" si="50"/>
        <v>83</v>
      </c>
      <c r="B104" s="242">
        <f t="shared" si="39"/>
        <v>1</v>
      </c>
      <c r="C104" s="242">
        <f t="shared" si="27"/>
        <v>1.3019801980198017E-2</v>
      </c>
      <c r="D104" s="242">
        <f t="shared" si="28"/>
        <v>2.6468316831683167</v>
      </c>
      <c r="E104" s="242">
        <f t="shared" si="40"/>
        <v>11.547005383792516</v>
      </c>
      <c r="F104" s="242">
        <f t="shared" si="41"/>
        <v>8.2462112512353212</v>
      </c>
      <c r="G104" s="242">
        <f t="shared" si="42"/>
        <v>53.407199999999996</v>
      </c>
      <c r="H104" s="242">
        <f t="shared" si="29"/>
        <v>104.72000000000003</v>
      </c>
      <c r="I104" s="242">
        <f t="shared" si="30"/>
        <v>53.407199999999996</v>
      </c>
      <c r="J104" s="242">
        <f t="shared" si="31"/>
        <v>104.72000000000003</v>
      </c>
      <c r="K104" s="242">
        <f t="shared" si="32"/>
        <v>51.312800000000031</v>
      </c>
      <c r="L104" s="242">
        <f t="shared" si="43"/>
        <v>8.0829037686547629</v>
      </c>
      <c r="M104" s="242">
        <f t="shared" si="33"/>
        <v>1.7320508075688767</v>
      </c>
      <c r="N104" s="242">
        <f t="shared" si="34"/>
        <v>36.27607211372257</v>
      </c>
      <c r="O104" s="242">
        <f t="shared" si="35"/>
        <v>4.7230727554005121E-3</v>
      </c>
      <c r="P104" s="242">
        <f t="shared" si="36"/>
        <v>1.3634336633663367E-4</v>
      </c>
      <c r="Q104" s="242">
        <f t="shared" si="44"/>
        <v>21.330833545990654</v>
      </c>
      <c r="R104" s="242">
        <f t="shared" si="45"/>
        <v>3.4928512680291519E-2</v>
      </c>
      <c r="S104" s="250">
        <f t="shared" si="46"/>
        <v>6.9535116831683153E-5</v>
      </c>
      <c r="T104" s="250">
        <f t="shared" si="51"/>
        <v>2.222474206830766E-2</v>
      </c>
      <c r="U104" s="263">
        <f t="shared" si="52"/>
        <v>4162.808313609411</v>
      </c>
      <c r="V104" s="263">
        <f t="shared" si="47"/>
        <v>5.7735026918962582</v>
      </c>
      <c r="W104" s="1">
        <f t="shared" si="48"/>
        <v>1.4781554786230194E-6</v>
      </c>
      <c r="X104" s="240">
        <f t="shared" si="37"/>
        <v>1.4781554786230194E-6</v>
      </c>
      <c r="Y104" s="240">
        <f t="shared" si="38"/>
        <v>1.8867558713830701E-5</v>
      </c>
      <c r="Z104" s="248">
        <f t="shared" si="49"/>
        <v>-2.2641070456596842E-4</v>
      </c>
      <c r="AA104" s="240"/>
      <c r="AB104" s="243"/>
      <c r="AD104" s="239"/>
      <c r="AE104" s="239"/>
      <c r="AF104" s="239"/>
      <c r="AJ104" s="240"/>
    </row>
    <row r="105" spans="1:36">
      <c r="A105" s="242">
        <f t="shared" si="50"/>
        <v>84</v>
      </c>
      <c r="B105" s="242">
        <f t="shared" si="39"/>
        <v>1</v>
      </c>
      <c r="C105" s="242">
        <f t="shared" si="27"/>
        <v>1.2574257425742572E-2</v>
      </c>
      <c r="D105" s="242">
        <f t="shared" si="28"/>
        <v>2.6594059405940595</v>
      </c>
      <c r="E105" s="242">
        <f t="shared" si="40"/>
        <v>11.547005383792516</v>
      </c>
      <c r="F105" s="242">
        <f t="shared" si="41"/>
        <v>8.2462112512353212</v>
      </c>
      <c r="G105" s="242">
        <f t="shared" si="42"/>
        <v>53.407199999999996</v>
      </c>
      <c r="H105" s="242">
        <f t="shared" si="29"/>
        <v>104.72000000000003</v>
      </c>
      <c r="I105" s="242">
        <f t="shared" si="30"/>
        <v>53.407199999999996</v>
      </c>
      <c r="J105" s="242">
        <f t="shared" si="31"/>
        <v>104.72000000000003</v>
      </c>
      <c r="K105" s="242">
        <f t="shared" si="32"/>
        <v>51.312800000000031</v>
      </c>
      <c r="L105" s="242">
        <f t="shared" si="43"/>
        <v>8.0829037686547629</v>
      </c>
      <c r="M105" s="242">
        <f t="shared" si="33"/>
        <v>1.7320508075688767</v>
      </c>
      <c r="N105" s="242">
        <f t="shared" si="34"/>
        <v>36.27607211372257</v>
      </c>
      <c r="O105" s="242">
        <f t="shared" si="35"/>
        <v>4.5614466915274909E-3</v>
      </c>
      <c r="P105" s="242">
        <f t="shared" si="36"/>
        <v>1.3167762376237624E-4</v>
      </c>
      <c r="Q105" s="242">
        <f t="shared" si="44"/>
        <v>21.335394992682183</v>
      </c>
      <c r="R105" s="242">
        <f t="shared" si="45"/>
        <v>3.5060190304053898E-2</v>
      </c>
      <c r="S105" s="250">
        <f t="shared" si="46"/>
        <v>6.715558811881186E-5</v>
      </c>
      <c r="T105" s="250">
        <f t="shared" si="51"/>
        <v>2.2291897656426474E-2</v>
      </c>
      <c r="U105" s="263">
        <f t="shared" si="52"/>
        <v>4162.8208878668365</v>
      </c>
      <c r="V105" s="263">
        <f t="shared" si="47"/>
        <v>5.7735026918962582</v>
      </c>
      <c r="W105" s="1">
        <f t="shared" si="48"/>
        <v>1.4275722112937142E-6</v>
      </c>
      <c r="X105" s="240">
        <f t="shared" si="37"/>
        <v>1.4275722112937142E-6</v>
      </c>
      <c r="Y105" s="240">
        <f t="shared" si="38"/>
        <v>1.7389403235207681E-5</v>
      </c>
      <c r="Z105" s="248">
        <f t="shared" si="49"/>
        <v>-2.0867283882249218E-4</v>
      </c>
      <c r="AA105" s="240"/>
      <c r="AB105" s="243"/>
      <c r="AD105" s="239"/>
      <c r="AE105" s="239"/>
      <c r="AF105" s="239"/>
      <c r="AJ105" s="240"/>
    </row>
    <row r="106" spans="1:36">
      <c r="A106" s="242">
        <f t="shared" si="50"/>
        <v>85</v>
      </c>
      <c r="B106" s="242">
        <f t="shared" si="39"/>
        <v>1</v>
      </c>
      <c r="C106" s="242">
        <f t="shared" si="27"/>
        <v>1.2128712871287126E-2</v>
      </c>
      <c r="D106" s="242">
        <f t="shared" si="28"/>
        <v>2.6715346534653466</v>
      </c>
      <c r="E106" s="242">
        <f t="shared" si="40"/>
        <v>11.547005383792516</v>
      </c>
      <c r="F106" s="242">
        <f t="shared" si="41"/>
        <v>8.2462112512353212</v>
      </c>
      <c r="G106" s="242">
        <f t="shared" si="42"/>
        <v>53.407199999999996</v>
      </c>
      <c r="H106" s="242">
        <f t="shared" si="29"/>
        <v>104.72000000000003</v>
      </c>
      <c r="I106" s="242">
        <f t="shared" si="30"/>
        <v>53.407199999999996</v>
      </c>
      <c r="J106" s="242">
        <f t="shared" si="31"/>
        <v>104.72000000000003</v>
      </c>
      <c r="K106" s="242">
        <f t="shared" si="32"/>
        <v>51.312800000000031</v>
      </c>
      <c r="L106" s="242">
        <f t="shared" si="43"/>
        <v>8.0829037686547629</v>
      </c>
      <c r="M106" s="242">
        <f t="shared" si="33"/>
        <v>1.7320508075688767</v>
      </c>
      <c r="N106" s="242">
        <f t="shared" si="34"/>
        <v>36.27607211372257</v>
      </c>
      <c r="O106" s="242">
        <f t="shared" si="35"/>
        <v>4.3998206276544688E-3</v>
      </c>
      <c r="P106" s="242">
        <f t="shared" si="36"/>
        <v>1.2701188118811879E-4</v>
      </c>
      <c r="Q106" s="242">
        <f t="shared" si="44"/>
        <v>21.339794813309837</v>
      </c>
      <c r="R106" s="242">
        <f t="shared" si="45"/>
        <v>3.5187202185242017E-2</v>
      </c>
      <c r="S106" s="250">
        <f t="shared" si="46"/>
        <v>6.4776059405940566E-5</v>
      </c>
      <c r="T106" s="250">
        <f t="shared" si="51"/>
        <v>2.2356673715832415E-2</v>
      </c>
      <c r="U106" s="263">
        <f t="shared" si="52"/>
        <v>4162.8330165797079</v>
      </c>
      <c r="V106" s="263">
        <f t="shared" si="47"/>
        <v>5.7735026918962582</v>
      </c>
      <c r="W106" s="1">
        <f t="shared" si="48"/>
        <v>1.3769889439644094E-6</v>
      </c>
      <c r="X106" s="240">
        <f t="shared" si="37"/>
        <v>1.3769889439644094E-6</v>
      </c>
      <c r="Y106" s="240">
        <f t="shared" si="38"/>
        <v>1.5961831023913968E-5</v>
      </c>
      <c r="Z106" s="248">
        <f t="shared" si="49"/>
        <v>-1.9154197228696761E-4</v>
      </c>
      <c r="AA106" s="240"/>
      <c r="AB106" s="243"/>
      <c r="AD106" s="239"/>
      <c r="AE106" s="239"/>
      <c r="AF106" s="239"/>
      <c r="AJ106" s="240"/>
    </row>
    <row r="107" spans="1:36">
      <c r="A107" s="242">
        <f t="shared" si="50"/>
        <v>86</v>
      </c>
      <c r="B107" s="242">
        <f t="shared" si="39"/>
        <v>1</v>
      </c>
      <c r="C107" s="242">
        <f t="shared" si="27"/>
        <v>1.168316831683168E-2</v>
      </c>
      <c r="D107" s="242">
        <f t="shared" si="28"/>
        <v>2.6832178217821783</v>
      </c>
      <c r="E107" s="242">
        <f t="shared" si="40"/>
        <v>11.547005383792516</v>
      </c>
      <c r="F107" s="242">
        <f t="shared" si="41"/>
        <v>8.2462112512353212</v>
      </c>
      <c r="G107" s="242">
        <f t="shared" si="42"/>
        <v>53.407199999999996</v>
      </c>
      <c r="H107" s="242">
        <f t="shared" si="29"/>
        <v>104.72000000000003</v>
      </c>
      <c r="I107" s="242">
        <f t="shared" si="30"/>
        <v>53.407199999999996</v>
      </c>
      <c r="J107" s="242">
        <f t="shared" si="31"/>
        <v>104.72000000000003</v>
      </c>
      <c r="K107" s="242">
        <f t="shared" si="32"/>
        <v>51.312800000000031</v>
      </c>
      <c r="L107" s="242">
        <f t="shared" si="43"/>
        <v>8.0829037686547629</v>
      </c>
      <c r="M107" s="242">
        <f t="shared" si="33"/>
        <v>1.7320508075688767</v>
      </c>
      <c r="N107" s="242">
        <f t="shared" si="34"/>
        <v>36.27607211372257</v>
      </c>
      <c r="O107" s="242">
        <f t="shared" si="35"/>
        <v>4.2381945637814476E-3</v>
      </c>
      <c r="P107" s="242">
        <f t="shared" si="36"/>
        <v>1.2234613861386139E-4</v>
      </c>
      <c r="Q107" s="242">
        <f t="shared" si="44"/>
        <v>21.34403300787362</v>
      </c>
      <c r="R107" s="242">
        <f t="shared" si="45"/>
        <v>3.5309548323855876E-2</v>
      </c>
      <c r="S107" s="250">
        <f t="shared" si="46"/>
        <v>6.2396530693069286E-5</v>
      </c>
      <c r="T107" s="250">
        <f t="shared" si="51"/>
        <v>2.2419070246525483E-2</v>
      </c>
      <c r="U107" s="263">
        <f t="shared" si="52"/>
        <v>4162.8446997480251</v>
      </c>
      <c r="V107" s="263">
        <f t="shared" si="47"/>
        <v>5.7735026918962582</v>
      </c>
      <c r="W107" s="1">
        <f t="shared" si="48"/>
        <v>1.3264056766351048E-6</v>
      </c>
      <c r="X107" s="240">
        <f t="shared" si="37"/>
        <v>1.3264056766351048E-6</v>
      </c>
      <c r="Y107" s="240">
        <f t="shared" si="38"/>
        <v>1.4584842079949557E-5</v>
      </c>
      <c r="Z107" s="248">
        <f t="shared" si="49"/>
        <v>-1.7501810495939467E-4</v>
      </c>
      <c r="AA107" s="240"/>
      <c r="AB107" s="243"/>
      <c r="AD107" s="239"/>
      <c r="AE107" s="239"/>
      <c r="AF107" s="239"/>
      <c r="AJ107" s="240"/>
    </row>
    <row r="108" spans="1:36">
      <c r="A108" s="242">
        <f t="shared" si="50"/>
        <v>87</v>
      </c>
      <c r="B108" s="242">
        <f t="shared" si="39"/>
        <v>1</v>
      </c>
      <c r="C108" s="242">
        <f t="shared" si="27"/>
        <v>1.1237623762376234E-2</v>
      </c>
      <c r="D108" s="242">
        <f t="shared" si="28"/>
        <v>2.6944554455445546</v>
      </c>
      <c r="E108" s="242">
        <f t="shared" si="40"/>
        <v>11.547005383792516</v>
      </c>
      <c r="F108" s="242">
        <f t="shared" si="41"/>
        <v>8.2462112512353212</v>
      </c>
      <c r="G108" s="242">
        <f t="shared" si="42"/>
        <v>53.407199999999996</v>
      </c>
      <c r="H108" s="242">
        <f t="shared" si="29"/>
        <v>104.72000000000003</v>
      </c>
      <c r="I108" s="242">
        <f t="shared" si="30"/>
        <v>53.407199999999996</v>
      </c>
      <c r="J108" s="242">
        <f t="shared" si="31"/>
        <v>104.72000000000003</v>
      </c>
      <c r="K108" s="242">
        <f t="shared" si="32"/>
        <v>51.312800000000031</v>
      </c>
      <c r="L108" s="242">
        <f t="shared" si="43"/>
        <v>8.0829037686547629</v>
      </c>
      <c r="M108" s="242">
        <f t="shared" si="33"/>
        <v>1.7320508075688767</v>
      </c>
      <c r="N108" s="242">
        <f t="shared" si="34"/>
        <v>36.27607211372257</v>
      </c>
      <c r="O108" s="242">
        <f t="shared" si="35"/>
        <v>4.0765684999084263E-3</v>
      </c>
      <c r="P108" s="242">
        <f t="shared" si="36"/>
        <v>1.1768039603960393E-4</v>
      </c>
      <c r="Q108" s="242">
        <f t="shared" si="44"/>
        <v>21.348109576373528</v>
      </c>
      <c r="R108" s="242">
        <f t="shared" si="45"/>
        <v>3.5427228719895482E-2</v>
      </c>
      <c r="S108" s="250">
        <f t="shared" si="46"/>
        <v>6.0017001980197993E-5</v>
      </c>
      <c r="T108" s="250">
        <f t="shared" si="51"/>
        <v>2.247908724850568E-2</v>
      </c>
      <c r="U108" s="263">
        <f t="shared" si="52"/>
        <v>4162.8559373717871</v>
      </c>
      <c r="V108" s="263">
        <f t="shared" si="47"/>
        <v>5.7735026918962582</v>
      </c>
      <c r="W108" s="1">
        <f t="shared" si="48"/>
        <v>1.2758224093057996E-6</v>
      </c>
      <c r="X108" s="240">
        <f t="shared" si="37"/>
        <v>1.2758224093057996E-6</v>
      </c>
      <c r="Y108" s="240">
        <f t="shared" si="38"/>
        <v>1.3258436403314452E-5</v>
      </c>
      <c r="Z108" s="248">
        <f t="shared" si="49"/>
        <v>-1.5910123683977341E-4</v>
      </c>
      <c r="AA108" s="240"/>
      <c r="AB108" s="243"/>
      <c r="AD108" s="239"/>
      <c r="AE108" s="239"/>
      <c r="AF108" s="239"/>
      <c r="AJ108" s="240"/>
    </row>
    <row r="109" spans="1:36">
      <c r="A109" s="242">
        <f t="shared" si="50"/>
        <v>88</v>
      </c>
      <c r="B109" s="242">
        <f t="shared" si="39"/>
        <v>1</v>
      </c>
      <c r="C109" s="242">
        <f t="shared" si="27"/>
        <v>1.0792079207920788E-2</v>
      </c>
      <c r="D109" s="242">
        <f t="shared" si="28"/>
        <v>2.7052475247524752</v>
      </c>
      <c r="E109" s="242">
        <f t="shared" si="40"/>
        <v>11.547005383792516</v>
      </c>
      <c r="F109" s="242">
        <f t="shared" si="41"/>
        <v>8.2462112512353212</v>
      </c>
      <c r="G109" s="242">
        <f t="shared" si="42"/>
        <v>53.407199999999996</v>
      </c>
      <c r="H109" s="242">
        <f t="shared" si="29"/>
        <v>104.72000000000003</v>
      </c>
      <c r="I109" s="242">
        <f t="shared" si="30"/>
        <v>53.407199999999996</v>
      </c>
      <c r="J109" s="242">
        <f t="shared" si="31"/>
        <v>104.72000000000003</v>
      </c>
      <c r="K109" s="242">
        <f t="shared" si="32"/>
        <v>51.312800000000031</v>
      </c>
      <c r="L109" s="242">
        <f t="shared" si="43"/>
        <v>8.0829037686547629</v>
      </c>
      <c r="M109" s="242">
        <f t="shared" si="33"/>
        <v>1.7320508075688767</v>
      </c>
      <c r="N109" s="242">
        <f t="shared" si="34"/>
        <v>36.27607211372257</v>
      </c>
      <c r="O109" s="242">
        <f t="shared" si="35"/>
        <v>3.9149424360354042E-3</v>
      </c>
      <c r="P109" s="242">
        <f t="shared" si="36"/>
        <v>1.130146534653465E-4</v>
      </c>
      <c r="Q109" s="242">
        <f t="shared" si="44"/>
        <v>21.352024518809564</v>
      </c>
      <c r="R109" s="242">
        <f t="shared" si="45"/>
        <v>3.5540243373360828E-2</v>
      </c>
      <c r="S109" s="250">
        <f t="shared" si="46"/>
        <v>5.7637473267326699E-5</v>
      </c>
      <c r="T109" s="250">
        <f t="shared" si="51"/>
        <v>2.2536724721773007E-2</v>
      </c>
      <c r="U109" s="263">
        <f t="shared" si="52"/>
        <v>4162.8667294509951</v>
      </c>
      <c r="V109" s="263">
        <f t="shared" si="47"/>
        <v>5.7735026918962582</v>
      </c>
      <c r="W109" s="1">
        <f t="shared" si="48"/>
        <v>1.2252391419764947E-6</v>
      </c>
      <c r="X109" s="240">
        <f t="shared" si="37"/>
        <v>1.2252391419764947E-6</v>
      </c>
      <c r="Y109" s="240">
        <f t="shared" si="38"/>
        <v>1.1982613994008652E-5</v>
      </c>
      <c r="Z109" s="248">
        <f t="shared" si="49"/>
        <v>-1.4379136792810383E-4</v>
      </c>
      <c r="AA109" s="240"/>
      <c r="AB109" s="243"/>
      <c r="AD109" s="239"/>
      <c r="AE109" s="239"/>
      <c r="AF109" s="239"/>
      <c r="AJ109" s="240"/>
    </row>
    <row r="110" spans="1:36">
      <c r="A110" s="242">
        <f t="shared" si="50"/>
        <v>89</v>
      </c>
      <c r="B110" s="242">
        <f t="shared" si="39"/>
        <v>1</v>
      </c>
      <c r="C110" s="242">
        <f t="shared" si="27"/>
        <v>1.0346534653465342E-2</v>
      </c>
      <c r="D110" s="242">
        <f t="shared" si="28"/>
        <v>2.7155940594059405</v>
      </c>
      <c r="E110" s="242">
        <f t="shared" si="40"/>
        <v>11.547005383792516</v>
      </c>
      <c r="F110" s="242">
        <f t="shared" si="41"/>
        <v>8.2462112512353212</v>
      </c>
      <c r="G110" s="242">
        <f t="shared" si="42"/>
        <v>53.407199999999996</v>
      </c>
      <c r="H110" s="242">
        <f t="shared" si="29"/>
        <v>104.72000000000003</v>
      </c>
      <c r="I110" s="242">
        <f t="shared" si="30"/>
        <v>53.407199999999996</v>
      </c>
      <c r="J110" s="242">
        <f t="shared" si="31"/>
        <v>104.72000000000003</v>
      </c>
      <c r="K110" s="242">
        <f t="shared" si="32"/>
        <v>51.312800000000031</v>
      </c>
      <c r="L110" s="242">
        <f t="shared" si="43"/>
        <v>8.0829037686547629</v>
      </c>
      <c r="M110" s="242">
        <f t="shared" si="33"/>
        <v>1.7320508075688767</v>
      </c>
      <c r="N110" s="242">
        <f t="shared" si="34"/>
        <v>36.27607211372257</v>
      </c>
      <c r="O110" s="242">
        <f t="shared" si="35"/>
        <v>3.7533163721623825E-3</v>
      </c>
      <c r="P110" s="242">
        <f t="shared" si="36"/>
        <v>1.0834891089108909E-4</v>
      </c>
      <c r="Q110" s="242">
        <f t="shared" si="44"/>
        <v>21.355777835181726</v>
      </c>
      <c r="R110" s="242">
        <f t="shared" si="45"/>
        <v>3.5648592284251913E-2</v>
      </c>
      <c r="S110" s="250">
        <f t="shared" si="46"/>
        <v>5.5257944554455413E-5</v>
      </c>
      <c r="T110" s="250">
        <f t="shared" si="51"/>
        <v>2.2591982666327462E-2</v>
      </c>
      <c r="U110" s="263">
        <f t="shared" si="52"/>
        <v>4162.8770759856488</v>
      </c>
      <c r="V110" s="263">
        <f t="shared" si="47"/>
        <v>5.7735026918962582</v>
      </c>
      <c r="W110" s="1">
        <f t="shared" si="48"/>
        <v>1.1746558746471899E-6</v>
      </c>
      <c r="X110" s="240">
        <f t="shared" si="37"/>
        <v>1.1746558746471899E-6</v>
      </c>
      <c r="Y110" s="240">
        <f t="shared" si="38"/>
        <v>1.0757374852032158E-5</v>
      </c>
      <c r="Z110" s="248">
        <f t="shared" si="49"/>
        <v>-1.290884982243859E-4</v>
      </c>
      <c r="AA110" s="240"/>
      <c r="AB110" s="243"/>
      <c r="AD110" s="239"/>
      <c r="AE110" s="239"/>
      <c r="AF110" s="239"/>
      <c r="AJ110" s="240"/>
    </row>
    <row r="111" spans="1:36">
      <c r="A111" s="242">
        <f t="shared" si="50"/>
        <v>90</v>
      </c>
      <c r="B111" s="242">
        <f t="shared" si="39"/>
        <v>1</v>
      </c>
      <c r="C111" s="242">
        <f t="shared" si="27"/>
        <v>9.9009900990098959E-3</v>
      </c>
      <c r="D111" s="242">
        <f t="shared" si="28"/>
        <v>2.7254950495049504</v>
      </c>
      <c r="E111" s="242">
        <f t="shared" si="40"/>
        <v>11.547005383792516</v>
      </c>
      <c r="F111" s="242">
        <f t="shared" si="41"/>
        <v>8.2462112512353212</v>
      </c>
      <c r="G111" s="242">
        <f t="shared" si="42"/>
        <v>53.407199999999996</v>
      </c>
      <c r="H111" s="242">
        <f t="shared" si="29"/>
        <v>104.72000000000003</v>
      </c>
      <c r="I111" s="242">
        <f t="shared" si="30"/>
        <v>53.407199999999996</v>
      </c>
      <c r="J111" s="242">
        <f t="shared" si="31"/>
        <v>104.72000000000003</v>
      </c>
      <c r="K111" s="242">
        <f t="shared" si="32"/>
        <v>51.312800000000031</v>
      </c>
      <c r="L111" s="242">
        <f t="shared" si="43"/>
        <v>8.0829037686547629</v>
      </c>
      <c r="M111" s="242">
        <f t="shared" si="33"/>
        <v>1.7320508075688767</v>
      </c>
      <c r="N111" s="242">
        <f t="shared" si="34"/>
        <v>36.27607211372257</v>
      </c>
      <c r="O111" s="242">
        <f t="shared" si="35"/>
        <v>3.5916903082893613E-3</v>
      </c>
      <c r="P111" s="242">
        <f t="shared" si="36"/>
        <v>1.0368316831683165E-4</v>
      </c>
      <c r="Q111" s="242">
        <f t="shared" si="44"/>
        <v>21.359369525490017</v>
      </c>
      <c r="R111" s="242">
        <f t="shared" si="45"/>
        <v>3.5752275452568746E-2</v>
      </c>
      <c r="S111" s="250">
        <f t="shared" si="46"/>
        <v>5.2878415841584126E-5</v>
      </c>
      <c r="T111" s="250">
        <f t="shared" si="51"/>
        <v>2.2644861082169045E-2</v>
      </c>
      <c r="U111" s="263">
        <f t="shared" si="52"/>
        <v>4162.8869769757475</v>
      </c>
      <c r="V111" s="263">
        <f t="shared" si="47"/>
        <v>5.7735026918962582</v>
      </c>
      <c r="W111" s="1">
        <f t="shared" si="48"/>
        <v>1.1240726073178849E-6</v>
      </c>
      <c r="X111" s="240">
        <f t="shared" si="37"/>
        <v>1.1240726073178849E-6</v>
      </c>
      <c r="Y111" s="240">
        <f t="shared" si="38"/>
        <v>9.5827189773849683E-6</v>
      </c>
      <c r="Z111" s="248">
        <f t="shared" si="49"/>
        <v>-1.1499262772861961E-4</v>
      </c>
      <c r="AA111" s="240"/>
      <c r="AB111" s="243"/>
      <c r="AD111" s="239"/>
      <c r="AE111" s="239"/>
      <c r="AF111" s="239"/>
      <c r="AJ111" s="240"/>
    </row>
    <row r="112" spans="1:36">
      <c r="A112" s="242">
        <f t="shared" si="50"/>
        <v>91</v>
      </c>
      <c r="B112" s="242">
        <f t="shared" si="39"/>
        <v>1</v>
      </c>
      <c r="C112" s="242">
        <f t="shared" si="27"/>
        <v>9.45544554455445E-3</v>
      </c>
      <c r="D112" s="242">
        <f t="shared" si="28"/>
        <v>2.7349504950495049</v>
      </c>
      <c r="E112" s="242">
        <f t="shared" si="40"/>
        <v>11.547005383792516</v>
      </c>
      <c r="F112" s="242">
        <f t="shared" si="41"/>
        <v>8.2462112512353212</v>
      </c>
      <c r="G112" s="242">
        <f t="shared" si="42"/>
        <v>53.407199999999996</v>
      </c>
      <c r="H112" s="242">
        <f t="shared" si="29"/>
        <v>104.72000000000003</v>
      </c>
      <c r="I112" s="242">
        <f t="shared" si="30"/>
        <v>53.407199999999996</v>
      </c>
      <c r="J112" s="242">
        <f t="shared" si="31"/>
        <v>104.72000000000003</v>
      </c>
      <c r="K112" s="242">
        <f t="shared" si="32"/>
        <v>51.312800000000031</v>
      </c>
      <c r="L112" s="242">
        <f t="shared" si="43"/>
        <v>8.0829037686547629</v>
      </c>
      <c r="M112" s="242">
        <f t="shared" si="33"/>
        <v>1.7320508075688767</v>
      </c>
      <c r="N112" s="242">
        <f t="shared" si="34"/>
        <v>36.27607211372257</v>
      </c>
      <c r="O112" s="242">
        <f t="shared" si="35"/>
        <v>3.4300642444163396E-3</v>
      </c>
      <c r="P112" s="242">
        <f t="shared" si="36"/>
        <v>9.9017425742574215E-5</v>
      </c>
      <c r="Q112" s="242">
        <f t="shared" si="44"/>
        <v>21.362799589734433</v>
      </c>
      <c r="R112" s="242">
        <f t="shared" si="45"/>
        <v>3.5851292878311319E-2</v>
      </c>
      <c r="S112" s="250">
        <f t="shared" si="46"/>
        <v>5.0498887128712833E-5</v>
      </c>
      <c r="T112" s="250">
        <f t="shared" si="51"/>
        <v>2.2695359969297758E-2</v>
      </c>
      <c r="U112" s="263">
        <f t="shared" si="52"/>
        <v>4162.896432421292</v>
      </c>
      <c r="V112" s="263">
        <f t="shared" si="47"/>
        <v>5.7735026918962582</v>
      </c>
      <c r="W112" s="1">
        <f t="shared" si="48"/>
        <v>1.0734893399885801E-6</v>
      </c>
      <c r="X112" s="240">
        <f t="shared" si="37"/>
        <v>1.0734893399885801E-6</v>
      </c>
      <c r="Y112" s="240">
        <f t="shared" si="38"/>
        <v>8.4586463700670834E-6</v>
      </c>
      <c r="Z112" s="248">
        <f t="shared" si="49"/>
        <v>-1.0150375644080501E-4</v>
      </c>
      <c r="AA112" s="240"/>
      <c r="AB112" s="243"/>
      <c r="AD112" s="239"/>
      <c r="AE112" s="239"/>
      <c r="AF112" s="239"/>
      <c r="AJ112" s="240"/>
    </row>
    <row r="113" spans="1:37">
      <c r="A113" s="242">
        <f t="shared" si="50"/>
        <v>92</v>
      </c>
      <c r="B113" s="242">
        <f t="shared" si="39"/>
        <v>1</v>
      </c>
      <c r="C113" s="242">
        <f t="shared" si="27"/>
        <v>9.009900990099004E-3</v>
      </c>
      <c r="D113" s="242">
        <f t="shared" si="28"/>
        <v>2.7439603960396037</v>
      </c>
      <c r="E113" s="242">
        <f t="shared" si="40"/>
        <v>11.547005383792516</v>
      </c>
      <c r="F113" s="242">
        <f t="shared" si="41"/>
        <v>8.2462112512353212</v>
      </c>
      <c r="G113" s="242">
        <f t="shared" si="42"/>
        <v>53.407199999999996</v>
      </c>
      <c r="H113" s="242">
        <f t="shared" si="29"/>
        <v>104.72000000000003</v>
      </c>
      <c r="I113" s="242">
        <f t="shared" si="30"/>
        <v>53.407199999999996</v>
      </c>
      <c r="J113" s="242">
        <f t="shared" si="31"/>
        <v>104.72000000000003</v>
      </c>
      <c r="K113" s="242">
        <f t="shared" si="32"/>
        <v>51.312800000000031</v>
      </c>
      <c r="L113" s="242">
        <f t="shared" si="43"/>
        <v>8.0829037686547629</v>
      </c>
      <c r="M113" s="242">
        <f t="shared" si="33"/>
        <v>1.7320508075688767</v>
      </c>
      <c r="N113" s="242">
        <f t="shared" si="34"/>
        <v>36.27607211372257</v>
      </c>
      <c r="O113" s="242">
        <f t="shared" si="35"/>
        <v>3.2684381805433188E-3</v>
      </c>
      <c r="P113" s="242">
        <f t="shared" si="36"/>
        <v>9.435168316831679E-5</v>
      </c>
      <c r="Q113" s="242">
        <f t="shared" si="44"/>
        <v>21.366068027914977</v>
      </c>
      <c r="R113" s="242">
        <f t="shared" si="45"/>
        <v>3.5945644561479639E-2</v>
      </c>
      <c r="S113" s="250">
        <f t="shared" si="46"/>
        <v>4.8119358415841546E-5</v>
      </c>
      <c r="T113" s="250">
        <f t="shared" si="51"/>
        <v>2.27434793277136E-2</v>
      </c>
      <c r="U113" s="263">
        <f t="shared" si="52"/>
        <v>4162.9054423222824</v>
      </c>
      <c r="V113" s="263">
        <f t="shared" si="47"/>
        <v>5.7735026918962582</v>
      </c>
      <c r="W113" s="1">
        <f t="shared" si="48"/>
        <v>1.0229060726592752E-6</v>
      </c>
      <c r="X113" s="240">
        <f t="shared" si="37"/>
        <v>1.0229060726592752E-6</v>
      </c>
      <c r="Y113" s="240">
        <f t="shared" si="38"/>
        <v>7.3851570300785032E-6</v>
      </c>
      <c r="Z113" s="248">
        <f t="shared" si="49"/>
        <v>-8.8621884360942039E-5</v>
      </c>
      <c r="AA113" s="240"/>
      <c r="AB113" s="243"/>
      <c r="AD113" s="239"/>
      <c r="AE113" s="239"/>
      <c r="AF113" s="239"/>
      <c r="AJ113" s="240"/>
    </row>
    <row r="114" spans="1:37">
      <c r="A114" s="242">
        <f t="shared" si="50"/>
        <v>93</v>
      </c>
      <c r="B114" s="242">
        <f t="shared" si="39"/>
        <v>1</v>
      </c>
      <c r="C114" s="242">
        <f t="shared" si="27"/>
        <v>8.5643564356435581E-3</v>
      </c>
      <c r="D114" s="242">
        <f t="shared" si="28"/>
        <v>2.7525247524752472</v>
      </c>
      <c r="E114" s="242">
        <f t="shared" si="40"/>
        <v>11.547005383792516</v>
      </c>
      <c r="F114" s="242">
        <f t="shared" si="41"/>
        <v>8.2462112512353212</v>
      </c>
      <c r="G114" s="242">
        <f t="shared" si="42"/>
        <v>53.407199999999996</v>
      </c>
      <c r="H114" s="242">
        <f t="shared" si="29"/>
        <v>104.72000000000003</v>
      </c>
      <c r="I114" s="242">
        <f t="shared" si="30"/>
        <v>53.407199999999996</v>
      </c>
      <c r="J114" s="242">
        <f t="shared" si="31"/>
        <v>104.72000000000003</v>
      </c>
      <c r="K114" s="242">
        <f t="shared" si="32"/>
        <v>51.312800000000031</v>
      </c>
      <c r="L114" s="242">
        <f t="shared" si="43"/>
        <v>8.0829037686547629</v>
      </c>
      <c r="M114" s="242">
        <f t="shared" si="33"/>
        <v>1.7320508075688767</v>
      </c>
      <c r="N114" s="242">
        <f t="shared" si="34"/>
        <v>36.27607211372257</v>
      </c>
      <c r="O114" s="242">
        <f t="shared" si="35"/>
        <v>3.1068121166702967E-3</v>
      </c>
      <c r="P114" s="242">
        <f t="shared" si="36"/>
        <v>8.9685940594059365E-5</v>
      </c>
      <c r="Q114" s="242">
        <f t="shared" si="44"/>
        <v>21.369174840031647</v>
      </c>
      <c r="R114" s="242">
        <f t="shared" si="45"/>
        <v>3.6035330502073699E-2</v>
      </c>
      <c r="S114" s="250">
        <f t="shared" si="46"/>
        <v>4.5739829702970259E-5</v>
      </c>
      <c r="T114" s="250">
        <f t="shared" si="51"/>
        <v>2.2789219157416569E-2</v>
      </c>
      <c r="U114" s="263">
        <f t="shared" si="52"/>
        <v>4162.9140066787177</v>
      </c>
      <c r="V114" s="263">
        <f t="shared" si="47"/>
        <v>5.7735026918962582</v>
      </c>
      <c r="W114" s="1">
        <f t="shared" si="48"/>
        <v>9.7232280532997018E-7</v>
      </c>
      <c r="X114" s="240">
        <f t="shared" si="37"/>
        <v>9.7232280532997018E-7</v>
      </c>
      <c r="Y114" s="240">
        <f t="shared" si="38"/>
        <v>6.3622509574192279E-6</v>
      </c>
      <c r="Z114" s="248">
        <f t="shared" si="49"/>
        <v>-7.6347011489030734E-5</v>
      </c>
      <c r="AA114" s="240"/>
      <c r="AB114" s="243"/>
      <c r="AD114" s="239"/>
      <c r="AE114" s="239"/>
      <c r="AF114" s="239"/>
      <c r="AJ114" s="240"/>
    </row>
    <row r="115" spans="1:37">
      <c r="A115" s="242">
        <f t="shared" si="50"/>
        <v>94</v>
      </c>
      <c r="B115" s="242">
        <f t="shared" si="39"/>
        <v>1</v>
      </c>
      <c r="C115" s="242">
        <f t="shared" si="27"/>
        <v>8.1188118811881121E-3</v>
      </c>
      <c r="D115" s="242">
        <f t="shared" si="28"/>
        <v>2.7606435643564353</v>
      </c>
      <c r="E115" s="242">
        <f t="shared" si="40"/>
        <v>11.547005383792516</v>
      </c>
      <c r="F115" s="242">
        <f t="shared" si="41"/>
        <v>8.2462112512353212</v>
      </c>
      <c r="G115" s="242">
        <f t="shared" si="42"/>
        <v>53.407199999999996</v>
      </c>
      <c r="H115" s="242">
        <f t="shared" si="29"/>
        <v>104.72000000000003</v>
      </c>
      <c r="I115" s="242">
        <f t="shared" si="30"/>
        <v>53.407199999999996</v>
      </c>
      <c r="J115" s="242">
        <f t="shared" si="31"/>
        <v>104.72000000000003</v>
      </c>
      <c r="K115" s="242">
        <f t="shared" si="32"/>
        <v>51.312800000000031</v>
      </c>
      <c r="L115" s="242">
        <f t="shared" si="43"/>
        <v>8.0829037686547629</v>
      </c>
      <c r="M115" s="242">
        <f t="shared" si="33"/>
        <v>1.7320508075688767</v>
      </c>
      <c r="N115" s="242">
        <f t="shared" si="34"/>
        <v>36.27607211372257</v>
      </c>
      <c r="O115" s="242">
        <f t="shared" si="35"/>
        <v>2.9451860527972755E-3</v>
      </c>
      <c r="P115" s="242">
        <f t="shared" si="36"/>
        <v>8.5020198019801927E-5</v>
      </c>
      <c r="Q115" s="242">
        <f t="shared" si="44"/>
        <v>21.372120026084445</v>
      </c>
      <c r="R115" s="242">
        <f t="shared" si="45"/>
        <v>3.61203507000935E-2</v>
      </c>
      <c r="S115" s="250">
        <f t="shared" si="46"/>
        <v>4.3360300990098966E-5</v>
      </c>
      <c r="T115" s="250">
        <f t="shared" si="51"/>
        <v>2.2832579458406669E-2</v>
      </c>
      <c r="U115" s="263">
        <f t="shared" si="52"/>
        <v>4162.9221254905988</v>
      </c>
      <c r="V115" s="263">
        <f t="shared" si="47"/>
        <v>5.7735026918962582</v>
      </c>
      <c r="W115" s="1">
        <f t="shared" si="48"/>
        <v>9.217395380006653E-7</v>
      </c>
      <c r="X115" s="240">
        <f t="shared" si="37"/>
        <v>9.217395380006653E-7</v>
      </c>
      <c r="Y115" s="240">
        <f t="shared" si="38"/>
        <v>5.3899281520892573E-6</v>
      </c>
      <c r="Z115" s="248">
        <f t="shared" si="49"/>
        <v>-6.4679137825071094E-5</v>
      </c>
      <c r="AA115" s="240"/>
      <c r="AB115" s="243"/>
      <c r="AD115" s="239"/>
      <c r="AE115" s="239"/>
      <c r="AF115" s="239"/>
      <c r="AJ115" s="240"/>
    </row>
    <row r="116" spans="1:37">
      <c r="A116" s="242">
        <f t="shared" si="50"/>
        <v>95</v>
      </c>
      <c r="B116" s="242">
        <f t="shared" si="39"/>
        <v>1</v>
      </c>
      <c r="C116" s="242">
        <f t="shared" si="27"/>
        <v>7.6732673267326662E-3</v>
      </c>
      <c r="D116" s="242">
        <f t="shared" si="28"/>
        <v>2.7683168316831681</v>
      </c>
      <c r="E116" s="242">
        <f t="shared" si="40"/>
        <v>11.547005383792516</v>
      </c>
      <c r="F116" s="242">
        <f t="shared" si="41"/>
        <v>8.2462112512353212</v>
      </c>
      <c r="G116" s="242">
        <f t="shared" si="42"/>
        <v>53.407199999999996</v>
      </c>
      <c r="H116" s="242">
        <f t="shared" si="29"/>
        <v>104.72000000000003</v>
      </c>
      <c r="I116" s="242">
        <f t="shared" si="30"/>
        <v>53.407199999999996</v>
      </c>
      <c r="J116" s="242">
        <f t="shared" si="31"/>
        <v>104.72000000000003</v>
      </c>
      <c r="K116" s="242">
        <f t="shared" si="32"/>
        <v>51.312800000000031</v>
      </c>
      <c r="L116" s="242">
        <f t="shared" si="43"/>
        <v>8.0829037686547629</v>
      </c>
      <c r="M116" s="242">
        <f t="shared" si="33"/>
        <v>1.7320508075688767</v>
      </c>
      <c r="N116" s="242">
        <f t="shared" si="34"/>
        <v>36.27607211372257</v>
      </c>
      <c r="O116" s="242">
        <f t="shared" si="35"/>
        <v>2.7835599889242542E-3</v>
      </c>
      <c r="P116" s="242">
        <f t="shared" si="36"/>
        <v>8.0354455445544488E-5</v>
      </c>
      <c r="Q116" s="242">
        <f t="shared" si="44"/>
        <v>21.374903586073369</v>
      </c>
      <c r="R116" s="242">
        <f t="shared" si="45"/>
        <v>3.6200705155539047E-2</v>
      </c>
      <c r="S116" s="250">
        <f t="shared" si="46"/>
        <v>4.0980772277227679E-5</v>
      </c>
      <c r="T116" s="250">
        <f t="shared" si="51"/>
        <v>2.2873560230683897E-2</v>
      </c>
      <c r="U116" s="263">
        <f t="shared" si="52"/>
        <v>4162.9297987579257</v>
      </c>
      <c r="V116" s="263">
        <f t="shared" si="47"/>
        <v>5.7735026918962582</v>
      </c>
      <c r="W116" s="1">
        <f t="shared" si="48"/>
        <v>8.7115627067136043E-7</v>
      </c>
      <c r="X116" s="240">
        <f t="shared" si="37"/>
        <v>8.7115627067136043E-7</v>
      </c>
      <c r="Y116" s="240">
        <f t="shared" si="38"/>
        <v>4.4681886140885923E-6</v>
      </c>
      <c r="Z116" s="248">
        <f t="shared" si="49"/>
        <v>-5.3618263369063104E-5</v>
      </c>
      <c r="AA116" s="240"/>
      <c r="AB116" s="243"/>
      <c r="AD116" s="239"/>
      <c r="AE116" s="239"/>
      <c r="AF116" s="239"/>
      <c r="AJ116" s="240"/>
    </row>
    <row r="117" spans="1:37">
      <c r="A117" s="242">
        <f t="shared" si="50"/>
        <v>96</v>
      </c>
      <c r="B117" s="242">
        <f t="shared" si="39"/>
        <v>1</v>
      </c>
      <c r="C117" s="242">
        <f t="shared" si="27"/>
        <v>7.2277227722772203E-3</v>
      </c>
      <c r="D117" s="242">
        <f t="shared" si="28"/>
        <v>2.7755445544554451</v>
      </c>
      <c r="E117" s="242">
        <f t="shared" si="40"/>
        <v>11.547005383792516</v>
      </c>
      <c r="F117" s="242">
        <f t="shared" si="41"/>
        <v>8.2462112512353212</v>
      </c>
      <c r="G117" s="242">
        <f t="shared" si="42"/>
        <v>53.407199999999996</v>
      </c>
      <c r="H117" s="242">
        <f t="shared" si="29"/>
        <v>104.72000000000003</v>
      </c>
      <c r="I117" s="242">
        <f t="shared" si="30"/>
        <v>53.407199999999996</v>
      </c>
      <c r="J117" s="242">
        <f t="shared" si="31"/>
        <v>104.72000000000003</v>
      </c>
      <c r="K117" s="242">
        <f t="shared" si="32"/>
        <v>51.312800000000031</v>
      </c>
      <c r="L117" s="242">
        <f t="shared" si="43"/>
        <v>8.0829037686547629</v>
      </c>
      <c r="M117" s="242">
        <f t="shared" si="33"/>
        <v>1.7320508075688767</v>
      </c>
      <c r="N117" s="242">
        <f t="shared" si="34"/>
        <v>36.27607211372257</v>
      </c>
      <c r="O117" s="242">
        <f t="shared" si="35"/>
        <v>2.6219339250512326E-3</v>
      </c>
      <c r="P117" s="242">
        <f t="shared" si="36"/>
        <v>7.5688712871287064E-5</v>
      </c>
      <c r="Q117" s="242">
        <f t="shared" si="44"/>
        <v>21.377525519998422</v>
      </c>
      <c r="R117" s="242">
        <f t="shared" si="45"/>
        <v>3.6276393868410334E-2</v>
      </c>
      <c r="S117" s="250">
        <f t="shared" si="46"/>
        <v>3.8601243564356392E-5</v>
      </c>
      <c r="T117" s="250">
        <f t="shared" si="51"/>
        <v>2.2912161474248252E-2</v>
      </c>
      <c r="U117" s="263">
        <f t="shared" si="52"/>
        <v>4162.9370264806976</v>
      </c>
      <c r="V117" s="263">
        <f t="shared" si="47"/>
        <v>5.7735026918962582</v>
      </c>
      <c r="W117" s="1">
        <f t="shared" si="48"/>
        <v>8.2057300334205566E-7</v>
      </c>
      <c r="X117" s="240">
        <f>W117/B117</f>
        <v>8.2057300334205566E-7</v>
      </c>
      <c r="Y117" s="240">
        <f t="shared" si="38"/>
        <v>3.5970323434172321E-6</v>
      </c>
      <c r="Z117" s="248">
        <f t="shared" si="49"/>
        <v>-4.3164388121006785E-5</v>
      </c>
      <c r="AA117" s="240"/>
      <c r="AB117" s="243"/>
      <c r="AD117" s="239"/>
      <c r="AE117" s="239"/>
      <c r="AF117" s="239"/>
      <c r="AJ117" s="240"/>
    </row>
    <row r="118" spans="1:37">
      <c r="A118" s="242">
        <f t="shared" si="50"/>
        <v>97</v>
      </c>
      <c r="B118" s="242">
        <f t="shared" si="39"/>
        <v>1</v>
      </c>
      <c r="C118" s="242">
        <f t="shared" si="27"/>
        <v>6.7821782178217813E-3</v>
      </c>
      <c r="D118" s="242">
        <f t="shared" si="28"/>
        <v>2.7823267326732672</v>
      </c>
      <c r="E118" s="242">
        <f t="shared" si="40"/>
        <v>11.547005383792516</v>
      </c>
      <c r="F118" s="242">
        <f t="shared" si="41"/>
        <v>8.2462112512353212</v>
      </c>
      <c r="G118" s="242">
        <f t="shared" si="42"/>
        <v>53.407199999999996</v>
      </c>
      <c r="H118" s="242">
        <f t="shared" si="29"/>
        <v>104.72000000000003</v>
      </c>
      <c r="I118" s="242">
        <f t="shared" si="30"/>
        <v>53.407199999999996</v>
      </c>
      <c r="J118" s="242">
        <f t="shared" si="31"/>
        <v>104.72000000000003</v>
      </c>
      <c r="K118" s="242">
        <f t="shared" si="32"/>
        <v>51.312800000000031</v>
      </c>
      <c r="L118" s="242">
        <f t="shared" si="43"/>
        <v>8.0829037686547629</v>
      </c>
      <c r="M118" s="242">
        <f t="shared" si="33"/>
        <v>1.7320508075688767</v>
      </c>
      <c r="N118" s="242">
        <f t="shared" si="34"/>
        <v>36.27607211372257</v>
      </c>
      <c r="O118" s="242">
        <f t="shared" si="35"/>
        <v>2.4603078611782135E-3</v>
      </c>
      <c r="P118" s="242">
        <f t="shared" si="36"/>
        <v>7.1022970297029706E-5</v>
      </c>
      <c r="Q118" s="242">
        <f t="shared" si="44"/>
        <v>21.379985827859599</v>
      </c>
      <c r="R118" s="242">
        <f t="shared" si="45"/>
        <v>3.6347416838707361E-2</v>
      </c>
      <c r="S118" s="250">
        <f t="shared" si="46"/>
        <v>3.622171485148514E-5</v>
      </c>
      <c r="T118" s="250">
        <f t="shared" si="51"/>
        <v>2.2948383189099739E-2</v>
      </c>
      <c r="U118" s="263">
        <f t="shared" si="52"/>
        <v>4162.9438086589153</v>
      </c>
      <c r="V118" s="263">
        <f t="shared" si="47"/>
        <v>5.7735026918962582</v>
      </c>
      <c r="W118" s="1">
        <f t="shared" si="48"/>
        <v>7.6998973601275142E-7</v>
      </c>
      <c r="X118" s="240">
        <f>W118/B118</f>
        <v>7.6998973601275142E-7</v>
      </c>
      <c r="Y118" s="240">
        <f t="shared" si="38"/>
        <v>2.7764593400751766E-6</v>
      </c>
      <c r="Z118" s="248">
        <f t="shared" si="49"/>
        <v>-3.3317512080902116E-5</v>
      </c>
      <c r="AA118" s="240"/>
      <c r="AB118" s="243"/>
      <c r="AD118" s="239"/>
      <c r="AE118" s="239"/>
      <c r="AF118" s="239"/>
      <c r="AJ118" s="240"/>
    </row>
    <row r="119" spans="1:37">
      <c r="A119" s="242">
        <f t="shared" si="50"/>
        <v>98</v>
      </c>
      <c r="B119" s="242">
        <f t="shared" si="39"/>
        <v>1</v>
      </c>
      <c r="C119" s="242">
        <f t="shared" si="27"/>
        <v>6.3366336633663353E-3</v>
      </c>
      <c r="D119" s="242">
        <f t="shared" si="28"/>
        <v>2.7886633663366336</v>
      </c>
      <c r="E119" s="242">
        <f t="shared" si="40"/>
        <v>11.547005383792516</v>
      </c>
      <c r="F119" s="242">
        <f t="shared" si="41"/>
        <v>8.2462112512353212</v>
      </c>
      <c r="G119" s="242">
        <f t="shared" si="42"/>
        <v>53.407199999999996</v>
      </c>
      <c r="H119" s="242">
        <f t="shared" si="29"/>
        <v>104.72000000000003</v>
      </c>
      <c r="I119" s="242">
        <f t="shared" si="30"/>
        <v>53.407199999999996</v>
      </c>
      <c r="J119" s="242">
        <f t="shared" si="31"/>
        <v>104.72000000000003</v>
      </c>
      <c r="K119" s="242">
        <f t="shared" si="32"/>
        <v>51.312800000000031</v>
      </c>
      <c r="L119" s="242">
        <f t="shared" si="43"/>
        <v>8.0829037686547629</v>
      </c>
      <c r="M119" s="242">
        <f t="shared" si="33"/>
        <v>1.7320508075688767</v>
      </c>
      <c r="N119" s="242">
        <f t="shared" si="34"/>
        <v>36.27607211372257</v>
      </c>
      <c r="O119" s="242">
        <f t="shared" si="35"/>
        <v>2.2986817973051923E-3</v>
      </c>
      <c r="P119" s="242">
        <f t="shared" si="36"/>
        <v>6.6357227722772282E-5</v>
      </c>
      <c r="Q119" s="242">
        <f t="shared" si="44"/>
        <v>21.382284509656905</v>
      </c>
      <c r="R119" s="242">
        <f t="shared" si="45"/>
        <v>3.6413774066430135E-2</v>
      </c>
      <c r="S119" s="250">
        <f t="shared" si="46"/>
        <v>3.3842186138613853E-5</v>
      </c>
      <c r="T119" s="250">
        <f t="shared" si="51"/>
        <v>2.2982225375238353E-2</v>
      </c>
      <c r="U119" s="263">
        <f t="shared" si="52"/>
        <v>4162.9501452925788</v>
      </c>
      <c r="V119" s="263">
        <f t="shared" si="47"/>
        <v>5.7735026918962582</v>
      </c>
      <c r="W119" s="1">
        <f t="shared" si="48"/>
        <v>7.1940646868344654E-7</v>
      </c>
      <c r="X119" s="240">
        <f>W119/B119</f>
        <v>7.1940646868344654E-7</v>
      </c>
      <c r="Y119" s="240">
        <f t="shared" si="38"/>
        <v>2.0064696040624251E-6</v>
      </c>
      <c r="Z119" s="248">
        <f t="shared" si="49"/>
        <v>-2.4077635248749101E-5</v>
      </c>
      <c r="AA119" s="240"/>
      <c r="AB119" s="243"/>
      <c r="AD119" s="239"/>
      <c r="AE119" s="239"/>
      <c r="AF119" s="239"/>
      <c r="AJ119" s="240"/>
    </row>
    <row r="120" spans="1:37">
      <c r="A120" s="242">
        <f t="shared" si="50"/>
        <v>99</v>
      </c>
      <c r="B120" s="242">
        <f t="shared" si="39"/>
        <v>1</v>
      </c>
      <c r="C120" s="242">
        <f t="shared" si="27"/>
        <v>5.8910891089108894E-3</v>
      </c>
      <c r="D120" s="242">
        <f t="shared" si="28"/>
        <v>2.7945544554455446</v>
      </c>
      <c r="E120" s="242">
        <f t="shared" si="40"/>
        <v>11.547005383792516</v>
      </c>
      <c r="F120" s="242">
        <f t="shared" si="41"/>
        <v>8.2462112512353212</v>
      </c>
      <c r="G120" s="242">
        <f t="shared" si="42"/>
        <v>53.407199999999996</v>
      </c>
      <c r="H120" s="242">
        <f t="shared" si="29"/>
        <v>104.72000000000003</v>
      </c>
      <c r="I120" s="242">
        <f t="shared" si="30"/>
        <v>53.407199999999996</v>
      </c>
      <c r="J120" s="242">
        <f t="shared" si="31"/>
        <v>104.72000000000003</v>
      </c>
      <c r="K120" s="242">
        <f t="shared" si="32"/>
        <v>51.312800000000031</v>
      </c>
      <c r="L120" s="242">
        <f t="shared" si="43"/>
        <v>8.0829037686547629</v>
      </c>
      <c r="M120" s="242">
        <f t="shared" si="33"/>
        <v>1.7320508075688767</v>
      </c>
      <c r="N120" s="242">
        <f t="shared" si="34"/>
        <v>36.27607211372257</v>
      </c>
      <c r="O120" s="242">
        <f t="shared" si="35"/>
        <v>2.1370557334321706E-3</v>
      </c>
      <c r="P120" s="242">
        <f t="shared" si="36"/>
        <v>6.1691485148514843E-5</v>
      </c>
      <c r="Q120" s="242">
        <f t="shared" si="44"/>
        <v>21.384421565390337</v>
      </c>
      <c r="R120" s="242">
        <f t="shared" si="45"/>
        <v>3.6475465551578649E-2</v>
      </c>
      <c r="S120" s="250">
        <f t="shared" si="46"/>
        <v>3.1462657425742559E-5</v>
      </c>
      <c r="T120" s="250">
        <f t="shared" si="51"/>
        <v>2.3013688032664095E-2</v>
      </c>
      <c r="U120" s="263">
        <f t="shared" si="52"/>
        <v>4162.9560363816881</v>
      </c>
      <c r="V120" s="263">
        <f t="shared" si="47"/>
        <v>5.7735026918962582</v>
      </c>
      <c r="W120" s="1">
        <f t="shared" si="48"/>
        <v>6.6882320135414177E-7</v>
      </c>
      <c r="X120" s="240">
        <f>W120/B120</f>
        <v>6.6882320135414177E-7</v>
      </c>
      <c r="Y120" s="240">
        <f>Y121+X120</f>
        <v>1.2870631353789786E-6</v>
      </c>
      <c r="Z120" s="248">
        <f t="shared" si="49"/>
        <v>-1.5444757624547744E-5</v>
      </c>
      <c r="AA120" s="240"/>
      <c r="AB120" s="243"/>
      <c r="AD120" s="239"/>
      <c r="AE120" s="239"/>
      <c r="AF120" s="239"/>
      <c r="AJ120" s="240"/>
    </row>
    <row r="121" spans="1:37">
      <c r="A121" s="242">
        <f t="shared" si="50"/>
        <v>100</v>
      </c>
      <c r="B121" s="242">
        <f t="shared" si="39"/>
        <v>1</v>
      </c>
      <c r="C121" s="242">
        <f t="shared" si="27"/>
        <v>5.4455445544554434E-3</v>
      </c>
      <c r="D121" s="242">
        <f t="shared" si="28"/>
        <v>2.8</v>
      </c>
      <c r="E121" s="242">
        <f t="shared" si="40"/>
        <v>11.547005383792516</v>
      </c>
      <c r="F121" s="242">
        <f t="shared" si="41"/>
        <v>8.2462112512353212</v>
      </c>
      <c r="G121" s="242">
        <f t="shared" si="42"/>
        <v>53.407199999999996</v>
      </c>
      <c r="H121" s="242">
        <f t="shared" si="29"/>
        <v>104.72000000000003</v>
      </c>
      <c r="I121" s="242">
        <f t="shared" si="30"/>
        <v>53.407199999999996</v>
      </c>
      <c r="J121" s="242">
        <f t="shared" si="31"/>
        <v>104.72000000000003</v>
      </c>
      <c r="K121" s="242">
        <f t="shared" si="32"/>
        <v>51.312800000000031</v>
      </c>
      <c r="L121" s="242">
        <f t="shared" si="43"/>
        <v>8.0829037686547629</v>
      </c>
      <c r="M121" s="242">
        <f t="shared" si="33"/>
        <v>1.7320508075688767</v>
      </c>
      <c r="N121" s="242">
        <f t="shared" si="34"/>
        <v>36.27607211372257</v>
      </c>
      <c r="O121" s="242">
        <f>C121*3.1416*E121*B121/100</f>
        <v>1.9754296695591489E-3</v>
      </c>
      <c r="P121" s="242">
        <f t="shared" si="36"/>
        <v>5.7025742574257405E-5</v>
      </c>
      <c r="Q121" s="242">
        <f t="shared" si="44"/>
        <v>21.386396995059897</v>
      </c>
      <c r="R121" s="242">
        <f t="shared" si="45"/>
        <v>3.6532491294152904E-2</v>
      </c>
      <c r="S121" s="250">
        <f t="shared" si="46"/>
        <v>2.9083128712871273E-5</v>
      </c>
      <c r="T121" s="250">
        <f t="shared" si="51"/>
        <v>2.3042771161376967E-2</v>
      </c>
      <c r="U121" s="263">
        <f t="shared" si="52"/>
        <v>4162.9614819262424</v>
      </c>
      <c r="V121" s="263">
        <f t="shared" si="47"/>
        <v>5.7735026918962582</v>
      </c>
      <c r="W121" s="1">
        <f t="shared" si="48"/>
        <v>6.1823993402483679E-7</v>
      </c>
      <c r="X121" s="240">
        <f>W121/B121</f>
        <v>6.1823993402483679E-7</v>
      </c>
      <c r="Y121" s="240">
        <f>X121</f>
        <v>6.1823993402483679E-7</v>
      </c>
      <c r="Z121" s="248">
        <f t="shared" si="49"/>
        <v>-7.4188792082980414E-6</v>
      </c>
      <c r="AA121" s="240"/>
      <c r="AB121" s="243"/>
      <c r="AD121" s="239"/>
      <c r="AE121" s="239"/>
      <c r="AF121" s="239"/>
      <c r="AJ121" s="240"/>
    </row>
    <row r="122" spans="1:37">
      <c r="W122" s="1"/>
      <c r="X122" s="215"/>
      <c r="Y122" s="239"/>
      <c r="Z122" s="239"/>
      <c r="AA122" s="239"/>
      <c r="AB122" s="239"/>
      <c r="AC122" s="243"/>
      <c r="AE122" s="239"/>
      <c r="AF122" s="239"/>
      <c r="AG122" s="239"/>
      <c r="AK122" s="240"/>
    </row>
    <row r="123" spans="1:37">
      <c r="W123" s="1"/>
      <c r="X123" s="215"/>
      <c r="Y123" s="239"/>
      <c r="Z123" s="239"/>
      <c r="AA123" s="239"/>
      <c r="AB123" s="239"/>
      <c r="AC123" s="243"/>
      <c r="AE123" s="239"/>
      <c r="AF123" s="239"/>
      <c r="AG123" s="239"/>
      <c r="AK123" s="240"/>
    </row>
    <row r="124" spans="1:37">
      <c r="W124" s="1"/>
      <c r="X124" s="215"/>
      <c r="Y124" s="239"/>
      <c r="Z124" s="239"/>
      <c r="AA124" s="239"/>
      <c r="AB124" s="239"/>
      <c r="AC124" s="243"/>
      <c r="AE124" s="239"/>
      <c r="AF124" s="239"/>
      <c r="AG124" s="239"/>
      <c r="AK124" s="240"/>
    </row>
    <row r="125" spans="1:37">
      <c r="W125" s="1"/>
      <c r="X125" s="215"/>
      <c r="Y125" s="239"/>
      <c r="Z125" s="239"/>
      <c r="AA125" s="239"/>
      <c r="AB125" s="239"/>
      <c r="AC125" s="243"/>
      <c r="AE125" s="239"/>
      <c r="AF125" s="239"/>
      <c r="AG125" s="239"/>
      <c r="AK125" s="240"/>
    </row>
    <row r="126" spans="1:37">
      <c r="W126" s="1"/>
      <c r="X126" s="215"/>
      <c r="Y126" s="239"/>
      <c r="Z126" s="239"/>
      <c r="AA126" s="239"/>
      <c r="AB126" s="239"/>
      <c r="AC126" s="243"/>
      <c r="AE126" s="239"/>
      <c r="AF126" s="239"/>
      <c r="AG126" s="239"/>
      <c r="AK126" s="240"/>
    </row>
    <row r="127" spans="1:37">
      <c r="W127" s="1"/>
      <c r="X127" s="215"/>
      <c r="Y127" s="239"/>
      <c r="Z127" s="239"/>
      <c r="AA127" s="239"/>
      <c r="AB127" s="239"/>
      <c r="AC127" s="243"/>
      <c r="AE127" s="239"/>
      <c r="AF127" s="239"/>
      <c r="AG127" s="239"/>
      <c r="AK127" s="240"/>
    </row>
    <row r="128" spans="1:37">
      <c r="W128" s="1"/>
      <c r="X128" s="215"/>
      <c r="Y128" s="239"/>
      <c r="Z128" s="239"/>
      <c r="AA128" s="239"/>
      <c r="AB128" s="239"/>
      <c r="AC128" s="243"/>
      <c r="AE128" s="239"/>
      <c r="AF128" s="239"/>
      <c r="AG128" s="239"/>
      <c r="AK128" s="240"/>
    </row>
    <row r="129" spans="23:41">
      <c r="W129" s="1"/>
      <c r="X129" s="215"/>
      <c r="Y129" s="239"/>
      <c r="Z129" s="239"/>
      <c r="AA129" s="239"/>
      <c r="AB129" s="239"/>
      <c r="AC129" s="243"/>
      <c r="AE129" s="239"/>
      <c r="AF129" s="239"/>
      <c r="AG129" s="239"/>
      <c r="AK129" s="240"/>
    </row>
    <row r="130" spans="23:41">
      <c r="W130" s="1"/>
      <c r="X130" s="215"/>
      <c r="Y130" s="239"/>
      <c r="Z130" s="239"/>
      <c r="AA130" s="239"/>
      <c r="AB130" s="239"/>
      <c r="AC130" s="243"/>
      <c r="AE130" s="239"/>
      <c r="AF130" s="239"/>
      <c r="AG130" s="239"/>
      <c r="AK130" s="240"/>
    </row>
    <row r="131" spans="23:41">
      <c r="W131" s="1"/>
      <c r="X131" s="240"/>
      <c r="Y131" s="240"/>
      <c r="Z131" s="240"/>
      <c r="AA131" s="240"/>
      <c r="AB131" s="215"/>
      <c r="AC131" s="239"/>
      <c r="AD131" s="239"/>
      <c r="AE131" s="239"/>
      <c r="AF131" s="239"/>
      <c r="AG131" s="243"/>
      <c r="AI131" s="239"/>
      <c r="AJ131" s="239"/>
      <c r="AK131" s="239"/>
      <c r="AO131" s="240"/>
    </row>
    <row r="132" spans="23:41">
      <c r="W132" s="1"/>
      <c r="X132" s="240"/>
      <c r="Y132" s="240"/>
      <c r="Z132" s="240"/>
      <c r="AA132" s="240"/>
      <c r="AB132" s="215"/>
      <c r="AC132" s="239"/>
      <c r="AD132" s="239"/>
      <c r="AE132" s="239"/>
      <c r="AF132" s="239"/>
      <c r="AG132" s="243"/>
      <c r="AI132" s="239"/>
      <c r="AJ132" s="239"/>
      <c r="AK132" s="239"/>
      <c r="AO132" s="240"/>
    </row>
    <row r="133" spans="23:41">
      <c r="W133" s="1"/>
      <c r="X133" s="240"/>
      <c r="Y133" s="240"/>
      <c r="Z133" s="240"/>
      <c r="AA133" s="240"/>
      <c r="AB133" s="215"/>
      <c r="AC133" s="239"/>
      <c r="AD133" s="239"/>
      <c r="AE133" s="239"/>
      <c r="AF133" s="239"/>
      <c r="AG133" s="243"/>
      <c r="AI133" s="239"/>
      <c r="AJ133" s="239"/>
      <c r="AK133" s="239"/>
      <c r="AO133" s="240"/>
    </row>
    <row r="134" spans="23:41">
      <c r="W134" s="1"/>
      <c r="X134" s="240"/>
      <c r="Y134" s="240"/>
      <c r="Z134" s="240"/>
      <c r="AA134" s="240"/>
      <c r="AB134" s="215"/>
      <c r="AC134" s="239"/>
      <c r="AD134" s="239"/>
      <c r="AE134" s="239"/>
      <c r="AF134" s="239"/>
      <c r="AG134" s="243"/>
      <c r="AI134" s="239"/>
      <c r="AJ134" s="239"/>
      <c r="AK134" s="239"/>
      <c r="AO134" s="240"/>
    </row>
    <row r="135" spans="23:41">
      <c r="W135" s="1"/>
      <c r="X135" s="240"/>
      <c r="Y135" s="240"/>
      <c r="Z135" s="240"/>
      <c r="AA135" s="240"/>
      <c r="AB135" s="215"/>
      <c r="AC135" s="239"/>
      <c r="AD135" s="239"/>
      <c r="AE135" s="239"/>
      <c r="AF135" s="239"/>
      <c r="AG135" s="243"/>
      <c r="AI135" s="239"/>
      <c r="AJ135" s="239"/>
      <c r="AK135" s="239"/>
      <c r="AO135" s="240"/>
    </row>
    <row r="136" spans="23:41">
      <c r="W136" s="1"/>
      <c r="X136" s="240"/>
      <c r="Y136" s="240"/>
      <c r="Z136" s="240"/>
      <c r="AA136" s="240"/>
      <c r="AB136" s="215"/>
      <c r="AC136" s="239"/>
      <c r="AD136" s="239"/>
      <c r="AE136" s="239"/>
      <c r="AF136" s="239"/>
      <c r="AG136" s="243"/>
      <c r="AI136" s="239"/>
      <c r="AJ136" s="239"/>
      <c r="AK136" s="239"/>
      <c r="AO136" s="240"/>
    </row>
    <row r="137" spans="23:41">
      <c r="W137" s="1"/>
      <c r="X137" s="240"/>
      <c r="Y137" s="240"/>
      <c r="Z137" s="240"/>
      <c r="AA137" s="240"/>
      <c r="AB137" s="215"/>
      <c r="AC137" s="239"/>
      <c r="AD137" s="239"/>
      <c r="AE137" s="239"/>
      <c r="AF137" s="239"/>
      <c r="AG137" s="243"/>
      <c r="AI137" s="239"/>
      <c r="AJ137" s="239"/>
      <c r="AK137" s="239"/>
      <c r="AO137" s="240"/>
    </row>
    <row r="138" spans="23:41">
      <c r="W138" s="1"/>
      <c r="X138" s="240"/>
      <c r="Y138" s="240"/>
      <c r="Z138" s="240"/>
      <c r="AA138" s="240"/>
      <c r="AB138" s="215"/>
      <c r="AC138" s="239"/>
      <c r="AD138" s="239"/>
      <c r="AE138" s="239"/>
      <c r="AF138" s="239"/>
      <c r="AG138" s="243"/>
      <c r="AI138" s="239"/>
      <c r="AJ138" s="239"/>
      <c r="AK138" s="239"/>
      <c r="AO138" s="240"/>
    </row>
    <row r="139" spans="23:41">
      <c r="W139" s="1"/>
      <c r="X139" s="240"/>
      <c r="Y139" s="240"/>
      <c r="Z139" s="240"/>
      <c r="AA139" s="240"/>
      <c r="AB139" s="215"/>
      <c r="AC139" s="239"/>
      <c r="AD139" s="239"/>
      <c r="AE139" s="239"/>
      <c r="AF139" s="239"/>
      <c r="AG139" s="243"/>
      <c r="AI139" s="239"/>
      <c r="AJ139" s="239"/>
      <c r="AK139" s="239"/>
      <c r="AO139" s="240"/>
    </row>
    <row r="140" spans="23:41">
      <c r="W140" s="1"/>
      <c r="X140" s="240"/>
      <c r="Y140" s="240"/>
      <c r="Z140" s="240"/>
      <c r="AA140" s="240"/>
      <c r="AB140" s="215"/>
      <c r="AC140" s="239"/>
      <c r="AD140" s="239"/>
      <c r="AE140" s="239"/>
      <c r="AF140" s="239"/>
      <c r="AG140" s="243"/>
      <c r="AI140" s="239"/>
      <c r="AJ140" s="239"/>
      <c r="AK140" s="239"/>
      <c r="AO140" s="240"/>
    </row>
    <row r="141" spans="23:41">
      <c r="W141" s="1"/>
      <c r="X141" s="240"/>
      <c r="Y141" s="240"/>
      <c r="Z141" s="240"/>
      <c r="AA141" s="240"/>
      <c r="AB141" s="215"/>
      <c r="AC141" s="239"/>
      <c r="AD141" s="239"/>
      <c r="AE141" s="239"/>
      <c r="AF141" s="239"/>
      <c r="AG141" s="243"/>
      <c r="AI141" s="239"/>
      <c r="AJ141" s="239"/>
      <c r="AK141" s="239"/>
      <c r="AO141" s="240"/>
    </row>
    <row r="142" spans="23:41">
      <c r="W142" s="1"/>
      <c r="X142" s="240"/>
      <c r="Y142" s="240"/>
      <c r="Z142" s="240"/>
      <c r="AA142" s="240"/>
      <c r="AB142" s="215"/>
      <c r="AC142" s="239"/>
      <c r="AD142" s="239"/>
      <c r="AE142" s="239"/>
      <c r="AF142" s="239"/>
      <c r="AG142" s="243"/>
      <c r="AI142" s="239"/>
      <c r="AJ142" s="239"/>
      <c r="AK142" s="239"/>
      <c r="AO142" s="240"/>
    </row>
    <row r="143" spans="23:41">
      <c r="W143" s="1"/>
      <c r="X143" s="240"/>
      <c r="Y143" s="240"/>
      <c r="Z143" s="240"/>
      <c r="AA143" s="240"/>
      <c r="AB143" s="215"/>
      <c r="AC143" s="239"/>
      <c r="AD143" s="239"/>
      <c r="AE143" s="239"/>
      <c r="AF143" s="239"/>
      <c r="AG143" s="243"/>
      <c r="AI143" s="239"/>
      <c r="AJ143" s="239"/>
      <c r="AK143" s="239"/>
      <c r="AO143" s="240"/>
    </row>
    <row r="144" spans="23:41">
      <c r="W144" s="1"/>
      <c r="X144" s="240"/>
      <c r="Y144" s="240"/>
      <c r="Z144" s="240"/>
      <c r="AA144" s="240"/>
      <c r="AB144" s="215"/>
      <c r="AC144" s="239"/>
      <c r="AD144" s="239"/>
      <c r="AE144" s="239"/>
      <c r="AF144" s="239"/>
      <c r="AG144" s="243"/>
      <c r="AI144" s="239"/>
      <c r="AJ144" s="239"/>
      <c r="AK144" s="239"/>
      <c r="AO144" s="240"/>
    </row>
    <row r="145" spans="23:41">
      <c r="W145" s="1"/>
      <c r="X145" s="240"/>
      <c r="Y145" s="240"/>
      <c r="Z145" s="240"/>
      <c r="AA145" s="240"/>
      <c r="AB145" s="215"/>
      <c r="AC145" s="239"/>
      <c r="AD145" s="239"/>
      <c r="AE145" s="239"/>
      <c r="AF145" s="239"/>
      <c r="AG145" s="243"/>
      <c r="AI145" s="239"/>
      <c r="AJ145" s="239"/>
      <c r="AK145" s="239"/>
      <c r="AO145" s="240"/>
    </row>
    <row r="146" spans="23:41">
      <c r="W146" s="1"/>
      <c r="X146" s="240"/>
      <c r="Y146" s="240"/>
      <c r="Z146" s="240"/>
      <c r="AA146" s="240"/>
      <c r="AB146" s="215"/>
      <c r="AC146" s="239"/>
      <c r="AD146" s="239"/>
      <c r="AE146" s="239"/>
      <c r="AF146" s="239"/>
      <c r="AG146" s="243"/>
      <c r="AI146" s="239"/>
      <c r="AJ146" s="239"/>
      <c r="AK146" s="239"/>
      <c r="AO146" s="240"/>
    </row>
    <row r="147" spans="23:41">
      <c r="W147" s="1"/>
      <c r="X147" s="240"/>
      <c r="Y147" s="240"/>
      <c r="Z147" s="240"/>
      <c r="AA147" s="240"/>
      <c r="AB147" s="215"/>
      <c r="AC147" s="239"/>
      <c r="AD147" s="239"/>
      <c r="AE147" s="239"/>
      <c r="AF147" s="239"/>
      <c r="AG147" s="243"/>
      <c r="AI147" s="239"/>
      <c r="AJ147" s="239"/>
      <c r="AK147" s="239"/>
      <c r="AO147" s="240"/>
    </row>
    <row r="148" spans="23:41">
      <c r="W148" s="1"/>
      <c r="X148" s="240"/>
      <c r="Y148" s="240"/>
      <c r="Z148" s="240"/>
      <c r="AA148" s="240"/>
      <c r="AB148" s="215"/>
      <c r="AC148" s="239"/>
      <c r="AD148" s="239"/>
      <c r="AE148" s="239"/>
      <c r="AF148" s="239"/>
      <c r="AG148" s="243"/>
      <c r="AI148" s="239"/>
      <c r="AJ148" s="239"/>
      <c r="AK148" s="239"/>
      <c r="AO148" s="240"/>
    </row>
    <row r="149" spans="23:41">
      <c r="W149" s="1"/>
      <c r="X149" s="240"/>
      <c r="Y149" s="240"/>
      <c r="Z149" s="240"/>
      <c r="AA149" s="240"/>
      <c r="AB149" s="215"/>
      <c r="AC149" s="239"/>
      <c r="AD149" s="239"/>
      <c r="AE149" s="239"/>
      <c r="AF149" s="239"/>
      <c r="AG149" s="243"/>
      <c r="AI149" s="239"/>
      <c r="AJ149" s="239"/>
      <c r="AK149" s="239"/>
      <c r="AO149" s="240"/>
    </row>
    <row r="150" spans="23:41">
      <c r="W150" s="1"/>
      <c r="X150" s="240"/>
      <c r="Y150" s="240"/>
      <c r="Z150" s="240"/>
      <c r="AA150" s="240"/>
      <c r="AB150" s="215"/>
      <c r="AC150" s="239"/>
      <c r="AD150" s="239"/>
      <c r="AE150" s="239"/>
      <c r="AF150" s="239"/>
      <c r="AG150" s="243"/>
      <c r="AI150" s="239"/>
      <c r="AJ150" s="239"/>
      <c r="AK150" s="239"/>
      <c r="AO150" s="240"/>
    </row>
    <row r="151" spans="23:41">
      <c r="W151" s="1"/>
      <c r="X151" s="240"/>
      <c r="Y151" s="240"/>
      <c r="Z151" s="240"/>
      <c r="AA151" s="240"/>
      <c r="AB151" s="215"/>
      <c r="AC151" s="239"/>
      <c r="AD151" s="239"/>
      <c r="AE151" s="239"/>
      <c r="AF151" s="239"/>
      <c r="AG151" s="243"/>
      <c r="AI151" s="239"/>
      <c r="AJ151" s="239"/>
      <c r="AK151" s="239"/>
      <c r="AO151" s="240"/>
    </row>
    <row r="152" spans="23:41">
      <c r="W152" s="1"/>
      <c r="X152" s="240"/>
      <c r="Y152" s="240"/>
      <c r="Z152" s="240"/>
      <c r="AA152" s="240"/>
      <c r="AB152" s="215"/>
      <c r="AC152" s="239"/>
      <c r="AD152" s="239"/>
      <c r="AE152" s="239"/>
      <c r="AF152" s="239"/>
      <c r="AG152" s="243"/>
      <c r="AI152" s="239"/>
      <c r="AJ152" s="239"/>
      <c r="AK152" s="239"/>
      <c r="AO152" s="240"/>
    </row>
    <row r="153" spans="23:41">
      <c r="W153" s="1"/>
      <c r="X153" s="240"/>
      <c r="Y153" s="240"/>
      <c r="Z153" s="240"/>
      <c r="AA153" s="240"/>
      <c r="AB153" s="215"/>
      <c r="AC153" s="239"/>
      <c r="AD153" s="239"/>
      <c r="AE153" s="239"/>
      <c r="AF153" s="239"/>
      <c r="AG153" s="243"/>
      <c r="AI153" s="239"/>
      <c r="AJ153" s="239"/>
      <c r="AK153" s="239"/>
      <c r="AO153" s="240"/>
    </row>
    <row r="154" spans="23:41">
      <c r="W154" s="1"/>
      <c r="X154" s="240"/>
      <c r="Y154" s="240"/>
      <c r="Z154" s="240"/>
      <c r="AA154" s="240"/>
      <c r="AB154" s="215"/>
      <c r="AC154" s="239"/>
      <c r="AD154" s="239"/>
      <c r="AE154" s="239"/>
      <c r="AF154" s="239"/>
      <c r="AG154" s="243"/>
      <c r="AI154" s="239"/>
      <c r="AJ154" s="239"/>
      <c r="AK154" s="239"/>
      <c r="AO154" s="240"/>
    </row>
    <row r="155" spans="23:41">
      <c r="W155" s="1"/>
      <c r="X155" s="240"/>
      <c r="Y155" s="240"/>
      <c r="Z155" s="240"/>
      <c r="AA155" s="240"/>
      <c r="AB155" s="215"/>
      <c r="AC155" s="239"/>
      <c r="AD155" s="239"/>
      <c r="AE155" s="239"/>
      <c r="AF155" s="239"/>
      <c r="AG155" s="243"/>
      <c r="AI155" s="239"/>
      <c r="AJ155" s="239"/>
      <c r="AK155" s="239"/>
      <c r="AO155" s="240"/>
    </row>
    <row r="156" spans="23:41">
      <c r="W156" s="1"/>
      <c r="X156" s="240"/>
      <c r="Y156" s="240"/>
      <c r="Z156" s="240"/>
      <c r="AA156" s="240"/>
      <c r="AB156" s="215"/>
      <c r="AC156" s="239"/>
      <c r="AD156" s="239"/>
      <c r="AE156" s="239"/>
      <c r="AF156" s="239"/>
      <c r="AG156" s="243"/>
      <c r="AI156" s="239"/>
      <c r="AJ156" s="239"/>
      <c r="AK156" s="239"/>
      <c r="AO156" s="240"/>
    </row>
    <row r="157" spans="23:41">
      <c r="W157" s="1"/>
      <c r="X157" s="240"/>
      <c r="Y157" s="240"/>
      <c r="Z157" s="240"/>
      <c r="AA157" s="240"/>
      <c r="AB157" s="215"/>
      <c r="AC157" s="239"/>
      <c r="AD157" s="239"/>
      <c r="AE157" s="239"/>
      <c r="AF157" s="239"/>
      <c r="AG157" s="243"/>
      <c r="AI157" s="239"/>
      <c r="AJ157" s="239"/>
      <c r="AK157" s="239"/>
      <c r="AO157" s="240"/>
    </row>
    <row r="158" spans="23:41">
      <c r="W158" s="1"/>
      <c r="X158" s="240"/>
      <c r="Y158" s="240"/>
      <c r="Z158" s="240"/>
      <c r="AA158" s="240"/>
      <c r="AB158" s="215"/>
      <c r="AC158" s="239"/>
      <c r="AD158" s="239"/>
      <c r="AE158" s="239"/>
      <c r="AF158" s="239"/>
      <c r="AG158" s="243"/>
      <c r="AI158" s="239"/>
      <c r="AJ158" s="239"/>
      <c r="AK158" s="239"/>
      <c r="AO158" s="240"/>
    </row>
    <row r="159" spans="23:41">
      <c r="W159" s="1"/>
      <c r="X159" s="240"/>
      <c r="Y159" s="240"/>
      <c r="Z159" s="240"/>
      <c r="AA159" s="240"/>
      <c r="AB159" s="215"/>
      <c r="AC159" s="239"/>
      <c r="AD159" s="239"/>
      <c r="AE159" s="239"/>
      <c r="AF159" s="239"/>
      <c r="AG159" s="243"/>
      <c r="AI159" s="239"/>
      <c r="AJ159" s="239"/>
      <c r="AK159" s="239"/>
      <c r="AO159" s="240"/>
    </row>
    <row r="160" spans="23:41">
      <c r="W160" s="1"/>
      <c r="X160" s="240"/>
      <c r="Y160" s="240"/>
      <c r="Z160" s="240"/>
      <c r="AA160" s="240"/>
      <c r="AB160" s="215"/>
      <c r="AC160" s="239"/>
      <c r="AD160" s="239"/>
      <c r="AE160" s="239"/>
      <c r="AF160" s="239"/>
      <c r="AG160" s="243"/>
      <c r="AI160" s="239"/>
      <c r="AJ160" s="239"/>
      <c r="AK160" s="239"/>
      <c r="AO160" s="240"/>
    </row>
    <row r="161" spans="23:41">
      <c r="W161" s="1"/>
      <c r="X161" s="240"/>
      <c r="Y161" s="240"/>
      <c r="Z161" s="240"/>
      <c r="AA161" s="240"/>
      <c r="AB161" s="215"/>
      <c r="AC161" s="239"/>
      <c r="AD161" s="239"/>
      <c r="AE161" s="239"/>
      <c r="AF161" s="239"/>
      <c r="AG161" s="243"/>
      <c r="AI161" s="239"/>
      <c r="AJ161" s="239"/>
      <c r="AK161" s="239"/>
      <c r="AO161" s="240"/>
    </row>
    <row r="162" spans="23:41">
      <c r="W162" s="1"/>
      <c r="X162" s="240"/>
      <c r="Y162" s="240"/>
      <c r="Z162" s="240"/>
      <c r="AA162" s="240"/>
      <c r="AB162" s="215"/>
      <c r="AC162" s="239"/>
      <c r="AD162" s="239"/>
      <c r="AE162" s="239"/>
      <c r="AF162" s="239"/>
      <c r="AG162" s="243"/>
      <c r="AI162" s="239"/>
      <c r="AJ162" s="239"/>
      <c r="AK162" s="239"/>
      <c r="AO162" s="240"/>
    </row>
    <row r="163" spans="23:41">
      <c r="W163" s="1"/>
      <c r="X163" s="240"/>
      <c r="Y163" s="240"/>
      <c r="Z163" s="240"/>
      <c r="AA163" s="240"/>
      <c r="AB163" s="215"/>
      <c r="AC163" s="239"/>
      <c r="AD163" s="239"/>
      <c r="AE163" s="239"/>
      <c r="AF163" s="239"/>
      <c r="AG163" s="243"/>
      <c r="AI163" s="239"/>
      <c r="AJ163" s="239"/>
      <c r="AK163" s="239"/>
      <c r="AO163" s="240"/>
    </row>
    <row r="164" spans="23:41">
      <c r="W164" s="1"/>
      <c r="X164" s="240"/>
      <c r="Y164" s="240"/>
      <c r="Z164" s="240"/>
      <c r="AA164" s="240"/>
      <c r="AB164" s="215"/>
      <c r="AC164" s="239"/>
      <c r="AD164" s="239"/>
      <c r="AE164" s="239"/>
      <c r="AF164" s="239"/>
      <c r="AG164" s="243"/>
      <c r="AI164" s="239"/>
      <c r="AJ164" s="239"/>
      <c r="AK164" s="239"/>
      <c r="AO164" s="240"/>
    </row>
    <row r="165" spans="23:41">
      <c r="W165" s="1"/>
      <c r="X165" s="240"/>
      <c r="Y165" s="240"/>
      <c r="Z165" s="240"/>
      <c r="AA165" s="240"/>
      <c r="AB165" s="215"/>
      <c r="AC165" s="239"/>
      <c r="AD165" s="239"/>
      <c r="AE165" s="239"/>
      <c r="AF165" s="239"/>
      <c r="AG165" s="243"/>
      <c r="AI165" s="239"/>
      <c r="AJ165" s="239"/>
      <c r="AK165" s="239"/>
      <c r="AO165" s="240"/>
    </row>
    <row r="166" spans="23:41">
      <c r="W166" s="1"/>
      <c r="X166" s="240"/>
      <c r="Y166" s="240"/>
      <c r="Z166" s="240"/>
      <c r="AA166" s="240"/>
      <c r="AB166" s="215"/>
      <c r="AC166" s="239"/>
      <c r="AD166" s="239"/>
      <c r="AE166" s="239"/>
      <c r="AF166" s="239"/>
      <c r="AG166" s="243"/>
      <c r="AI166" s="239"/>
      <c r="AJ166" s="239"/>
      <c r="AK166" s="239"/>
      <c r="AO166" s="240"/>
    </row>
    <row r="167" spans="23:41">
      <c r="W167" s="1"/>
      <c r="X167" s="240"/>
      <c r="Y167" s="240"/>
      <c r="Z167" s="240"/>
      <c r="AA167" s="240"/>
      <c r="AB167" s="215"/>
      <c r="AC167" s="239"/>
      <c r="AD167" s="239"/>
      <c r="AE167" s="239"/>
      <c r="AF167" s="239"/>
      <c r="AG167" s="243"/>
      <c r="AI167" s="239"/>
      <c r="AJ167" s="239"/>
      <c r="AK167" s="239"/>
      <c r="AO167" s="240"/>
    </row>
    <row r="168" spans="23:41">
      <c r="W168" s="1"/>
      <c r="X168" s="240"/>
      <c r="Y168" s="240"/>
      <c r="Z168" s="240"/>
      <c r="AA168" s="240"/>
      <c r="AB168" s="215"/>
      <c r="AC168" s="239"/>
      <c r="AD168" s="239"/>
      <c r="AE168" s="239"/>
      <c r="AF168" s="239"/>
      <c r="AG168" s="243"/>
      <c r="AI168" s="239"/>
      <c r="AJ168" s="239"/>
      <c r="AK168" s="239"/>
      <c r="AO168" s="240"/>
    </row>
    <row r="169" spans="23:41">
      <c r="W169" s="1"/>
      <c r="X169" s="240"/>
      <c r="Y169" s="240"/>
      <c r="Z169" s="240"/>
      <c r="AA169" s="240"/>
      <c r="AB169" s="215"/>
      <c r="AC169" s="239"/>
      <c r="AD169" s="239"/>
      <c r="AE169" s="239"/>
      <c r="AF169" s="239"/>
      <c r="AG169" s="243"/>
      <c r="AI169" s="239"/>
      <c r="AJ169" s="239"/>
      <c r="AK169" s="239"/>
      <c r="AO169" s="240"/>
    </row>
    <row r="170" spans="23:41">
      <c r="W170" s="1"/>
      <c r="X170" s="240"/>
      <c r="Y170" s="240"/>
      <c r="Z170" s="240"/>
      <c r="AA170" s="240"/>
      <c r="AB170" s="215"/>
      <c r="AC170" s="239"/>
      <c r="AD170" s="239"/>
      <c r="AE170" s="239"/>
      <c r="AF170" s="239"/>
      <c r="AG170" s="243"/>
      <c r="AI170" s="239"/>
      <c r="AJ170" s="239"/>
      <c r="AK170" s="239"/>
      <c r="AO170" s="240"/>
    </row>
    <row r="171" spans="23:41">
      <c r="W171" s="1"/>
      <c r="X171" s="240"/>
      <c r="Y171" s="240"/>
      <c r="Z171" s="240"/>
      <c r="AA171" s="240"/>
      <c r="AB171" s="215"/>
      <c r="AC171" s="239"/>
      <c r="AD171" s="239"/>
      <c r="AE171" s="239"/>
      <c r="AF171" s="239"/>
      <c r="AG171" s="243"/>
      <c r="AI171" s="239"/>
      <c r="AJ171" s="239"/>
      <c r="AK171" s="239"/>
      <c r="AO171" s="240"/>
    </row>
    <row r="172" spans="23:41">
      <c r="W172" s="1"/>
      <c r="X172" s="240"/>
      <c r="Y172" s="240"/>
      <c r="Z172" s="240"/>
      <c r="AA172" s="240"/>
      <c r="AB172" s="215"/>
      <c r="AC172" s="239"/>
      <c r="AD172" s="239"/>
      <c r="AE172" s="239"/>
      <c r="AF172" s="239"/>
      <c r="AG172" s="243"/>
      <c r="AI172" s="239"/>
      <c r="AJ172" s="239"/>
      <c r="AK172" s="239"/>
      <c r="AO172" s="240"/>
    </row>
    <row r="173" spans="23:41">
      <c r="W173" s="1"/>
      <c r="X173" s="240"/>
      <c r="Y173" s="240"/>
      <c r="Z173" s="240"/>
      <c r="AA173" s="240"/>
      <c r="AB173" s="215"/>
      <c r="AC173" s="239"/>
      <c r="AD173" s="239"/>
      <c r="AE173" s="239"/>
      <c r="AF173" s="239"/>
      <c r="AG173" s="243"/>
      <c r="AI173" s="239"/>
      <c r="AJ173" s="239"/>
      <c r="AK173" s="239"/>
      <c r="AO173" s="240"/>
    </row>
    <row r="174" spans="23:41">
      <c r="W174" s="1"/>
      <c r="X174" s="240"/>
      <c r="Y174" s="240"/>
      <c r="Z174" s="240"/>
      <c r="AA174" s="240"/>
      <c r="AB174" s="215"/>
      <c r="AC174" s="239"/>
      <c r="AD174" s="239"/>
      <c r="AE174" s="239"/>
      <c r="AF174" s="239"/>
      <c r="AG174" s="243"/>
      <c r="AI174" s="239"/>
      <c r="AJ174" s="239"/>
      <c r="AK174" s="239"/>
      <c r="AO174" s="240"/>
    </row>
    <row r="175" spans="23:41">
      <c r="W175" s="1"/>
      <c r="X175" s="240"/>
      <c r="Y175" s="240"/>
      <c r="Z175" s="240"/>
      <c r="AA175" s="240"/>
      <c r="AB175" s="215"/>
      <c r="AC175" s="239"/>
      <c r="AD175" s="239"/>
      <c r="AE175" s="239"/>
      <c r="AF175" s="239"/>
      <c r="AG175" s="243"/>
      <c r="AI175" s="239"/>
      <c r="AJ175" s="239"/>
      <c r="AK175" s="239"/>
      <c r="AO175" s="240"/>
    </row>
    <row r="176" spans="23:41">
      <c r="W176" s="1"/>
      <c r="X176" s="240"/>
      <c r="Y176" s="240"/>
      <c r="Z176" s="240"/>
      <c r="AA176" s="240"/>
      <c r="AB176" s="215"/>
      <c r="AC176" s="239"/>
      <c r="AD176" s="239"/>
      <c r="AE176" s="239"/>
      <c r="AF176" s="239"/>
      <c r="AG176" s="243"/>
      <c r="AI176" s="239"/>
      <c r="AJ176" s="239"/>
      <c r="AK176" s="239"/>
      <c r="AO176" s="240"/>
    </row>
    <row r="177" spans="14:41">
      <c r="W177" s="1"/>
      <c r="X177" s="240"/>
      <c r="Y177" s="240"/>
      <c r="Z177" s="240"/>
      <c r="AA177" s="240"/>
      <c r="AB177" s="215"/>
      <c r="AC177" s="239"/>
      <c r="AD177" s="239"/>
      <c r="AE177" s="239"/>
      <c r="AF177" s="239"/>
      <c r="AG177" s="243"/>
      <c r="AI177" s="239"/>
      <c r="AJ177" s="239"/>
      <c r="AK177" s="239"/>
      <c r="AO177" s="240"/>
    </row>
    <row r="178" spans="14:41">
      <c r="W178" s="1"/>
      <c r="X178" s="240"/>
      <c r="Y178" s="240"/>
      <c r="Z178" s="240"/>
      <c r="AA178" s="240"/>
      <c r="AB178" s="215"/>
      <c r="AC178" s="239"/>
      <c r="AD178" s="239"/>
      <c r="AE178" s="239"/>
      <c r="AF178" s="239"/>
      <c r="AG178" s="243"/>
      <c r="AI178" s="239"/>
      <c r="AJ178" s="239"/>
      <c r="AK178" s="239"/>
      <c r="AO178" s="240"/>
    </row>
    <row r="179" spans="14:41">
      <c r="W179" s="1"/>
      <c r="X179" s="240"/>
      <c r="Y179" s="240"/>
      <c r="Z179" s="240"/>
      <c r="AA179" s="240"/>
      <c r="AB179" s="215"/>
      <c r="AC179" s="239"/>
      <c r="AD179" s="239"/>
      <c r="AE179" s="239"/>
      <c r="AF179" s="239"/>
      <c r="AG179" s="243"/>
      <c r="AI179" s="239"/>
      <c r="AJ179" s="239"/>
      <c r="AK179" s="239"/>
      <c r="AO179" s="240"/>
    </row>
    <row r="180" spans="14:41">
      <c r="W180" s="1"/>
      <c r="X180" s="240"/>
      <c r="Y180" s="240"/>
      <c r="Z180" s="240"/>
      <c r="AA180" s="240"/>
      <c r="AB180" s="215"/>
      <c r="AC180" s="239"/>
      <c r="AD180" s="239"/>
      <c r="AE180" s="239"/>
      <c r="AF180" s="239"/>
      <c r="AG180" s="243"/>
      <c r="AI180" s="239"/>
      <c r="AJ180" s="239"/>
      <c r="AK180" s="239"/>
      <c r="AO180" s="240"/>
    </row>
    <row r="181" spans="14:41">
      <c r="W181" s="1"/>
      <c r="X181" s="240"/>
      <c r="Y181" s="240"/>
      <c r="Z181" s="240"/>
      <c r="AA181" s="240"/>
      <c r="AB181" s="215"/>
      <c r="AC181" s="239"/>
      <c r="AD181" s="239"/>
      <c r="AE181" s="239"/>
      <c r="AF181" s="239"/>
      <c r="AG181" s="243"/>
      <c r="AI181" s="239"/>
      <c r="AJ181" s="239"/>
      <c r="AK181" s="239"/>
      <c r="AO181" s="240"/>
    </row>
    <row r="182" spans="14:41">
      <c r="W182" s="1"/>
      <c r="X182" s="240"/>
      <c r="Y182" s="240"/>
      <c r="Z182" s="240"/>
      <c r="AA182" s="240"/>
      <c r="AB182" s="215"/>
      <c r="AC182" s="239"/>
      <c r="AD182" s="239"/>
      <c r="AE182" s="239"/>
      <c r="AF182" s="239"/>
      <c r="AG182" s="243"/>
      <c r="AI182" s="239"/>
      <c r="AJ182" s="239"/>
      <c r="AK182" s="239"/>
      <c r="AO182" s="240"/>
    </row>
    <row r="183" spans="14:41">
      <c r="W183" s="1"/>
      <c r="X183" s="240"/>
      <c r="Y183" s="240"/>
      <c r="Z183" s="240"/>
      <c r="AA183" s="240"/>
      <c r="AB183" s="215"/>
      <c r="AC183" s="239"/>
      <c r="AD183" s="239"/>
      <c r="AE183" s="239"/>
      <c r="AF183" s="239"/>
      <c r="AG183" s="243"/>
      <c r="AI183" s="239"/>
      <c r="AJ183" s="239"/>
      <c r="AK183" s="239"/>
      <c r="AO183" s="240"/>
    </row>
    <row r="184" spans="14:41">
      <c r="W184" s="1"/>
      <c r="X184" s="240"/>
      <c r="Y184" s="240"/>
      <c r="Z184" s="240"/>
      <c r="AA184" s="240"/>
      <c r="AB184" s="215"/>
      <c r="AC184" s="239"/>
      <c r="AD184" s="239"/>
      <c r="AE184" s="239"/>
      <c r="AF184" s="239"/>
      <c r="AG184" s="243"/>
      <c r="AI184" s="239"/>
      <c r="AJ184" s="239"/>
      <c r="AK184" s="239"/>
      <c r="AO184" s="240"/>
    </row>
    <row r="185" spans="14:41">
      <c r="W185" s="1"/>
      <c r="X185" s="240"/>
      <c r="Y185" s="240"/>
      <c r="Z185" s="240"/>
      <c r="AA185" s="240"/>
      <c r="AB185" s="215"/>
      <c r="AC185" s="239"/>
      <c r="AD185" s="239"/>
      <c r="AE185" s="239"/>
      <c r="AF185" s="239"/>
      <c r="AG185" s="243"/>
      <c r="AI185" s="239"/>
      <c r="AJ185" s="239"/>
      <c r="AK185" s="239"/>
      <c r="AO185" s="240"/>
    </row>
    <row r="186" spans="14:41">
      <c r="W186" s="1"/>
      <c r="X186" s="240"/>
      <c r="Y186" s="240"/>
      <c r="Z186" s="240"/>
      <c r="AA186" s="240"/>
      <c r="AB186" s="215"/>
      <c r="AC186" s="239"/>
      <c r="AD186" s="239"/>
      <c r="AE186" s="239"/>
      <c r="AF186" s="239"/>
      <c r="AG186" s="243"/>
      <c r="AI186" s="239"/>
      <c r="AJ186" s="239"/>
      <c r="AK186" s="239"/>
      <c r="AO186" s="240"/>
    </row>
    <row r="187" spans="14:41">
      <c r="W187" s="1"/>
      <c r="X187" s="240"/>
      <c r="Y187" s="240"/>
      <c r="Z187" s="240"/>
      <c r="AA187" s="240"/>
      <c r="AB187" s="215"/>
      <c r="AC187" s="239"/>
      <c r="AD187" s="239"/>
      <c r="AE187" s="239"/>
      <c r="AF187" s="239"/>
      <c r="AG187" s="243"/>
      <c r="AI187" s="239"/>
      <c r="AJ187" s="239"/>
      <c r="AK187" s="239"/>
      <c r="AO187" s="240"/>
    </row>
    <row r="188" spans="14:41">
      <c r="W188" s="1"/>
      <c r="X188" s="240"/>
      <c r="Y188" s="240"/>
      <c r="Z188" s="240"/>
      <c r="AA188" s="240"/>
      <c r="AB188" s="215"/>
      <c r="AC188" s="239"/>
      <c r="AD188" s="239"/>
      <c r="AE188" s="239"/>
      <c r="AF188" s="239"/>
      <c r="AG188" s="243"/>
      <c r="AI188" s="239"/>
      <c r="AJ188" s="239"/>
      <c r="AK188" s="239"/>
      <c r="AO188" s="240"/>
    </row>
    <row r="189" spans="14:41">
      <c r="W189" s="1"/>
      <c r="X189" s="240"/>
      <c r="Y189" s="240"/>
      <c r="Z189" s="240"/>
      <c r="AA189" s="240"/>
      <c r="AB189" s="215"/>
      <c r="AC189" s="239"/>
      <c r="AD189" s="239"/>
      <c r="AE189" s="239"/>
      <c r="AF189" s="239"/>
      <c r="AG189" s="243"/>
      <c r="AI189" s="239"/>
      <c r="AJ189" s="239"/>
      <c r="AK189" s="239"/>
      <c r="AO189" s="240"/>
    </row>
    <row r="190" spans="14:41">
      <c r="W190" s="1"/>
      <c r="X190" s="240"/>
      <c r="Y190" s="240"/>
      <c r="Z190" s="240"/>
      <c r="AA190" s="240"/>
      <c r="AB190" s="215"/>
      <c r="AC190" s="239"/>
      <c r="AD190" s="239"/>
      <c r="AE190" s="239"/>
      <c r="AF190" s="239"/>
      <c r="AG190" s="243"/>
      <c r="AI190" s="239"/>
      <c r="AJ190" s="239"/>
      <c r="AK190" s="239"/>
      <c r="AO190" s="240"/>
    </row>
    <row r="191" spans="14:41">
      <c r="N191" s="1"/>
      <c r="W191" s="1"/>
      <c r="X191" s="240"/>
      <c r="Y191" s="240"/>
      <c r="Z191" s="240"/>
      <c r="AA191" s="240"/>
      <c r="AB191" s="215"/>
      <c r="AC191" s="239"/>
      <c r="AD191" s="239"/>
      <c r="AE191" s="239"/>
      <c r="AF191" s="239"/>
      <c r="AG191" s="243"/>
      <c r="AI191" s="239"/>
      <c r="AJ191" s="239"/>
      <c r="AK191" s="239"/>
      <c r="AO191" s="240"/>
    </row>
    <row r="192" spans="14:41">
      <c r="N192" s="1"/>
      <c r="W192" s="1"/>
      <c r="X192" s="240"/>
      <c r="Y192" s="240"/>
      <c r="Z192" s="240"/>
      <c r="AA192" s="240"/>
      <c r="AB192" s="215"/>
      <c r="AC192" s="239"/>
      <c r="AD192" s="239"/>
      <c r="AE192" s="239"/>
      <c r="AF192" s="239"/>
      <c r="AG192" s="243"/>
      <c r="AI192" s="239"/>
      <c r="AJ192" s="239"/>
      <c r="AK192" s="239"/>
      <c r="AO192" s="240"/>
    </row>
    <row r="193" spans="14:41">
      <c r="N193" s="1"/>
      <c r="W193" s="1"/>
      <c r="X193" s="240"/>
      <c r="Y193" s="240"/>
      <c r="Z193" s="240"/>
      <c r="AA193" s="240"/>
      <c r="AB193" s="215"/>
      <c r="AC193" s="239"/>
      <c r="AD193" s="239"/>
      <c r="AE193" s="239"/>
      <c r="AF193" s="239"/>
      <c r="AG193" s="243"/>
      <c r="AI193" s="239"/>
      <c r="AJ193" s="239"/>
      <c r="AK193" s="239"/>
      <c r="AO193" s="240"/>
    </row>
    <row r="194" spans="14:41">
      <c r="N194" s="1"/>
      <c r="W194" s="1"/>
      <c r="X194" s="240"/>
      <c r="Y194" s="240"/>
      <c r="Z194" s="240"/>
      <c r="AA194" s="240"/>
      <c r="AB194" s="215"/>
      <c r="AC194" s="239"/>
      <c r="AD194" s="239"/>
      <c r="AE194" s="239"/>
      <c r="AF194" s="239"/>
      <c r="AG194" s="243"/>
      <c r="AI194" s="239"/>
      <c r="AJ194" s="239"/>
      <c r="AK194" s="239"/>
      <c r="AO194" s="240"/>
    </row>
    <row r="195" spans="14:41">
      <c r="N195" s="1"/>
      <c r="W195" s="1"/>
      <c r="X195" s="240"/>
      <c r="Y195" s="240"/>
      <c r="Z195" s="240"/>
      <c r="AA195" s="240"/>
      <c r="AB195" s="215"/>
      <c r="AC195" s="239"/>
      <c r="AD195" s="239"/>
      <c r="AE195" s="239"/>
      <c r="AF195" s="239"/>
      <c r="AG195" s="243"/>
      <c r="AI195" s="239"/>
      <c r="AJ195" s="239"/>
      <c r="AK195" s="239"/>
      <c r="AO195" s="240"/>
    </row>
    <row r="196" spans="14:41">
      <c r="N196" s="1"/>
      <c r="W196" s="1"/>
      <c r="X196" s="240"/>
      <c r="Y196" s="240"/>
      <c r="Z196" s="240"/>
      <c r="AA196" s="240"/>
      <c r="AB196" s="215"/>
      <c r="AC196" s="239"/>
      <c r="AD196" s="239"/>
      <c r="AE196" s="239"/>
      <c r="AF196" s="239"/>
      <c r="AG196" s="243"/>
      <c r="AI196" s="239"/>
      <c r="AJ196" s="239"/>
      <c r="AK196" s="239"/>
      <c r="AO196" s="240"/>
    </row>
    <row r="197" spans="14:41">
      <c r="N197" s="1"/>
      <c r="W197" s="1"/>
      <c r="X197" s="240"/>
      <c r="Y197" s="240"/>
      <c r="Z197" s="240"/>
      <c r="AA197" s="240"/>
      <c r="AB197" s="215"/>
      <c r="AC197" s="239"/>
      <c r="AD197" s="239"/>
      <c r="AE197" s="239"/>
      <c r="AF197" s="239"/>
      <c r="AG197" s="243"/>
      <c r="AI197" s="239"/>
      <c r="AJ197" s="239"/>
      <c r="AK197" s="239"/>
      <c r="AO197" s="240"/>
    </row>
    <row r="198" spans="14:41">
      <c r="N198" s="1"/>
      <c r="W198" s="1"/>
      <c r="X198" s="240"/>
      <c r="Y198" s="240"/>
      <c r="Z198" s="240"/>
      <c r="AA198" s="240"/>
      <c r="AB198" s="215"/>
      <c r="AC198" s="239"/>
      <c r="AD198" s="239"/>
      <c r="AE198" s="239"/>
      <c r="AF198" s="239"/>
      <c r="AG198" s="243"/>
      <c r="AI198" s="239"/>
      <c r="AJ198" s="239"/>
      <c r="AK198" s="239"/>
      <c r="AO198" s="240"/>
    </row>
    <row r="199" spans="14:41">
      <c r="N199" s="1"/>
      <c r="W199" s="1"/>
      <c r="X199" s="240"/>
      <c r="Y199" s="240"/>
      <c r="Z199" s="240"/>
      <c r="AA199" s="240"/>
      <c r="AB199" s="215"/>
      <c r="AC199" s="239"/>
      <c r="AD199" s="239"/>
      <c r="AE199" s="239"/>
      <c r="AF199" s="239"/>
      <c r="AG199" s="243"/>
      <c r="AI199" s="239"/>
      <c r="AJ199" s="239"/>
      <c r="AK199" s="239"/>
      <c r="AO199" s="240"/>
    </row>
    <row r="200" spans="14:41">
      <c r="N200" s="1"/>
      <c r="W200" s="1"/>
      <c r="X200" s="240"/>
      <c r="Y200" s="240"/>
      <c r="Z200" s="240"/>
      <c r="AA200" s="240"/>
      <c r="AB200" s="215"/>
      <c r="AC200" s="239"/>
      <c r="AD200" s="239"/>
      <c r="AE200" s="239"/>
      <c r="AF200" s="239"/>
      <c r="AG200" s="243"/>
      <c r="AI200" s="239"/>
      <c r="AJ200" s="239"/>
      <c r="AK200" s="239"/>
      <c r="AO200" s="240"/>
    </row>
    <row r="201" spans="14:41">
      <c r="N201" s="1"/>
      <c r="W201" s="1"/>
      <c r="X201" s="240"/>
      <c r="Y201" s="240"/>
      <c r="Z201" s="240"/>
      <c r="AA201" s="240"/>
      <c r="AB201" s="215"/>
      <c r="AC201" s="239"/>
      <c r="AD201" s="239"/>
      <c r="AE201" s="239"/>
      <c r="AF201" s="239"/>
      <c r="AG201" s="243"/>
      <c r="AI201" s="239"/>
      <c r="AJ201" s="239"/>
      <c r="AK201" s="239"/>
      <c r="AO201" s="240"/>
    </row>
    <row r="202" spans="14:41">
      <c r="N202" s="1"/>
      <c r="W202" s="1"/>
      <c r="X202" s="240"/>
      <c r="Y202" s="240"/>
      <c r="Z202" s="240"/>
      <c r="AA202" s="240"/>
      <c r="AB202" s="215"/>
      <c r="AC202" s="239"/>
      <c r="AD202" s="239"/>
      <c r="AE202" s="239"/>
      <c r="AF202" s="239"/>
      <c r="AG202" s="243"/>
      <c r="AI202" s="239"/>
      <c r="AJ202" s="239"/>
      <c r="AK202" s="239"/>
      <c r="AO202" s="240"/>
    </row>
    <row r="203" spans="14:41">
      <c r="N203" s="1"/>
      <c r="W203" s="1"/>
      <c r="X203" s="240"/>
      <c r="Y203" s="240"/>
      <c r="Z203" s="240"/>
      <c r="AA203" s="240"/>
      <c r="AB203" s="215"/>
      <c r="AC203" s="239"/>
      <c r="AD203" s="239"/>
      <c r="AE203" s="239"/>
      <c r="AF203" s="239"/>
      <c r="AG203" s="243"/>
      <c r="AI203" s="239"/>
      <c r="AJ203" s="239"/>
      <c r="AK203" s="239"/>
      <c r="AO203" s="240"/>
    </row>
    <row r="204" spans="14:41">
      <c r="N204" s="1"/>
      <c r="W204" s="1"/>
      <c r="X204" s="240"/>
      <c r="Y204" s="240"/>
      <c r="Z204" s="240"/>
      <c r="AA204" s="240"/>
      <c r="AB204" s="215"/>
      <c r="AC204" s="239"/>
      <c r="AD204" s="239"/>
      <c r="AE204" s="239"/>
      <c r="AF204" s="239"/>
      <c r="AG204" s="243"/>
      <c r="AI204" s="239"/>
      <c r="AJ204" s="239"/>
      <c r="AK204" s="239"/>
      <c r="AO204" s="240"/>
    </row>
    <row r="205" spans="14:41">
      <c r="N205" s="1"/>
      <c r="W205" s="1"/>
      <c r="X205" s="240"/>
      <c r="Y205" s="240"/>
      <c r="Z205" s="240"/>
      <c r="AA205" s="240"/>
      <c r="AB205" s="215"/>
      <c r="AC205" s="239"/>
      <c r="AD205" s="239"/>
      <c r="AE205" s="239"/>
      <c r="AF205" s="239"/>
      <c r="AG205" s="243"/>
      <c r="AI205" s="239"/>
      <c r="AJ205" s="239"/>
      <c r="AK205" s="239"/>
      <c r="AO205" s="240"/>
    </row>
    <row r="206" spans="14:41">
      <c r="N206" s="1"/>
      <c r="W206" s="1"/>
      <c r="X206" s="240"/>
      <c r="Y206" s="240"/>
      <c r="Z206" s="240"/>
      <c r="AA206" s="240"/>
      <c r="AB206" s="215"/>
      <c r="AC206" s="239"/>
      <c r="AD206" s="239"/>
      <c r="AE206" s="239"/>
      <c r="AF206" s="239"/>
      <c r="AG206" s="243"/>
      <c r="AI206" s="239"/>
      <c r="AJ206" s="239"/>
      <c r="AK206" s="239"/>
      <c r="AO206" s="240"/>
    </row>
    <row r="207" spans="14:41">
      <c r="N207" s="1"/>
      <c r="W207" s="1"/>
      <c r="X207" s="240"/>
      <c r="Y207" s="240"/>
      <c r="Z207" s="240"/>
      <c r="AA207" s="240"/>
      <c r="AB207" s="215"/>
      <c r="AC207" s="239"/>
      <c r="AD207" s="239"/>
      <c r="AE207" s="239"/>
      <c r="AF207" s="239"/>
      <c r="AG207" s="243"/>
      <c r="AI207" s="239"/>
      <c r="AJ207" s="239"/>
      <c r="AK207" s="239"/>
      <c r="AO207" s="240"/>
    </row>
    <row r="208" spans="14:41">
      <c r="N208" s="1"/>
      <c r="W208" s="1"/>
      <c r="X208" s="240"/>
      <c r="Y208" s="240"/>
      <c r="Z208" s="240"/>
      <c r="AA208" s="240"/>
      <c r="AB208" s="215"/>
      <c r="AC208" s="239"/>
      <c r="AD208" s="239"/>
      <c r="AE208" s="239"/>
      <c r="AF208" s="239"/>
      <c r="AG208" s="243"/>
      <c r="AI208" s="239"/>
      <c r="AJ208" s="239"/>
      <c r="AK208" s="239"/>
      <c r="AO208" s="240"/>
    </row>
    <row r="209" spans="14:41">
      <c r="N209" s="1"/>
      <c r="W209" s="1"/>
      <c r="X209" s="240"/>
      <c r="Y209" s="240"/>
      <c r="Z209" s="240"/>
      <c r="AA209" s="240"/>
      <c r="AB209" s="215"/>
      <c r="AC209" s="239"/>
      <c r="AD209" s="239"/>
      <c r="AE209" s="239"/>
      <c r="AF209" s="239"/>
      <c r="AG209" s="243"/>
      <c r="AI209" s="239"/>
      <c r="AJ209" s="239"/>
      <c r="AK209" s="239"/>
      <c r="AO209" s="240"/>
    </row>
    <row r="210" spans="14:41">
      <c r="N210" s="1"/>
      <c r="W210" s="1"/>
      <c r="X210" s="240"/>
      <c r="Y210" s="240"/>
      <c r="Z210" s="240"/>
      <c r="AA210" s="240"/>
      <c r="AB210" s="215"/>
      <c r="AC210" s="239"/>
      <c r="AD210" s="239"/>
      <c r="AE210" s="239"/>
      <c r="AF210" s="239"/>
      <c r="AG210" s="243"/>
      <c r="AI210" s="239"/>
      <c r="AJ210" s="239"/>
      <c r="AK210" s="239"/>
      <c r="AO210" s="240"/>
    </row>
    <row r="211" spans="14:41">
      <c r="N211" s="1"/>
      <c r="W211" s="1"/>
      <c r="X211" s="240"/>
      <c r="Y211" s="240"/>
      <c r="Z211" s="240"/>
      <c r="AA211" s="240"/>
      <c r="AB211" s="215"/>
      <c r="AC211" s="239"/>
      <c r="AD211" s="239"/>
      <c r="AE211" s="239"/>
      <c r="AF211" s="239"/>
      <c r="AG211" s="243"/>
      <c r="AI211" s="239"/>
      <c r="AJ211" s="239"/>
      <c r="AK211" s="239"/>
      <c r="AO211" s="240"/>
    </row>
    <row r="212" spans="14:41">
      <c r="N212" s="1"/>
      <c r="W212" s="1"/>
      <c r="X212" s="240"/>
      <c r="Y212" s="240"/>
      <c r="Z212" s="240"/>
      <c r="AA212" s="240"/>
      <c r="AB212" s="215"/>
      <c r="AC212" s="239"/>
      <c r="AD212" s="239"/>
      <c r="AE212" s="239"/>
      <c r="AF212" s="239"/>
      <c r="AG212" s="243"/>
      <c r="AI212" s="239"/>
      <c r="AJ212" s="239"/>
      <c r="AK212" s="239"/>
      <c r="AO212" s="240"/>
    </row>
    <row r="213" spans="14:41">
      <c r="N213" s="1"/>
      <c r="W213" s="1"/>
      <c r="X213" s="240"/>
      <c r="Y213" s="240"/>
      <c r="Z213" s="240"/>
      <c r="AA213" s="240"/>
      <c r="AB213" s="215"/>
      <c r="AC213" s="239"/>
      <c r="AD213" s="239"/>
      <c r="AE213" s="239"/>
      <c r="AF213" s="239"/>
      <c r="AG213" s="243"/>
      <c r="AI213" s="239"/>
      <c r="AJ213" s="239"/>
      <c r="AK213" s="239"/>
      <c r="AO213" s="240"/>
    </row>
    <row r="214" spans="14:41">
      <c r="N214" s="1"/>
      <c r="W214" s="1"/>
      <c r="X214" s="240"/>
      <c r="Y214" s="240"/>
      <c r="Z214" s="240"/>
      <c r="AA214" s="240"/>
      <c r="AB214" s="215"/>
      <c r="AC214" s="239"/>
      <c r="AD214" s="239"/>
      <c r="AE214" s="239"/>
      <c r="AF214" s="239"/>
      <c r="AG214" s="243"/>
      <c r="AI214" s="239"/>
      <c r="AJ214" s="239"/>
      <c r="AK214" s="239"/>
      <c r="AO214" s="240"/>
    </row>
    <row r="215" spans="14:41">
      <c r="N215" s="1"/>
      <c r="W215" s="1"/>
      <c r="X215" s="240"/>
      <c r="Y215" s="240"/>
      <c r="Z215" s="240"/>
      <c r="AA215" s="240"/>
      <c r="AB215" s="215"/>
      <c r="AC215" s="239"/>
      <c r="AD215" s="239"/>
      <c r="AE215" s="239"/>
      <c r="AF215" s="239"/>
      <c r="AG215" s="243"/>
      <c r="AI215" s="239"/>
      <c r="AJ215" s="239"/>
      <c r="AK215" s="239"/>
      <c r="AO215" s="240"/>
    </row>
    <row r="216" spans="14:41">
      <c r="N216" s="1"/>
      <c r="W216" s="1"/>
      <c r="X216" s="240"/>
      <c r="Y216" s="240"/>
      <c r="Z216" s="240"/>
      <c r="AA216" s="240"/>
      <c r="AB216" s="215"/>
      <c r="AC216" s="239"/>
      <c r="AD216" s="239"/>
      <c r="AE216" s="239"/>
      <c r="AF216" s="239"/>
      <c r="AG216" s="243"/>
      <c r="AI216" s="239"/>
      <c r="AJ216" s="239"/>
      <c r="AK216" s="239"/>
      <c r="AO216" s="240"/>
    </row>
    <row r="217" spans="14:41">
      <c r="N217" s="1"/>
      <c r="W217" s="1"/>
      <c r="X217" s="240"/>
      <c r="Y217" s="240"/>
      <c r="Z217" s="240"/>
      <c r="AA217" s="240"/>
      <c r="AB217" s="215"/>
      <c r="AC217" s="239"/>
      <c r="AD217" s="239"/>
      <c r="AE217" s="239"/>
      <c r="AF217" s="239"/>
      <c r="AG217" s="243"/>
      <c r="AI217" s="239"/>
      <c r="AJ217" s="239"/>
      <c r="AK217" s="239"/>
      <c r="AO217" s="240"/>
    </row>
    <row r="218" spans="14:41">
      <c r="N218" s="1"/>
      <c r="W218" s="1"/>
      <c r="X218" s="240"/>
      <c r="Y218" s="240"/>
      <c r="Z218" s="240"/>
      <c r="AA218" s="240"/>
      <c r="AB218" s="215"/>
      <c r="AC218" s="239"/>
      <c r="AD218" s="239"/>
      <c r="AE218" s="239"/>
      <c r="AF218" s="239"/>
      <c r="AG218" s="243"/>
      <c r="AI218" s="239"/>
      <c r="AJ218" s="239"/>
      <c r="AK218" s="239"/>
      <c r="AO218" s="240"/>
    </row>
    <row r="219" spans="14:41">
      <c r="N219" s="1"/>
      <c r="W219" s="1"/>
      <c r="X219" s="240"/>
      <c r="Y219" s="240"/>
      <c r="Z219" s="240"/>
      <c r="AA219" s="240"/>
      <c r="AB219" s="215"/>
      <c r="AC219" s="239"/>
      <c r="AD219" s="239"/>
      <c r="AE219" s="239"/>
      <c r="AF219" s="239"/>
      <c r="AG219" s="243"/>
      <c r="AI219" s="239"/>
      <c r="AJ219" s="239"/>
      <c r="AK219" s="239"/>
      <c r="AO219" s="240"/>
    </row>
    <row r="220" spans="14:41">
      <c r="N220" s="1"/>
      <c r="W220" s="1"/>
      <c r="X220" s="240"/>
      <c r="Y220" s="240"/>
      <c r="Z220" s="240"/>
      <c r="AA220" s="240"/>
      <c r="AB220" s="215"/>
      <c r="AC220" s="239"/>
      <c r="AD220" s="239"/>
      <c r="AE220" s="239"/>
      <c r="AF220" s="239"/>
      <c r="AG220" s="243"/>
      <c r="AI220" s="239"/>
      <c r="AJ220" s="239"/>
      <c r="AK220" s="239"/>
      <c r="AO220" s="240"/>
    </row>
    <row r="221" spans="14:41">
      <c r="N221" s="1"/>
      <c r="W221" s="1"/>
      <c r="X221" s="240"/>
      <c r="Y221" s="240"/>
      <c r="Z221" s="240"/>
      <c r="AA221" s="240"/>
      <c r="AB221" s="215"/>
      <c r="AC221" s="239"/>
      <c r="AD221" s="239"/>
      <c r="AE221" s="239"/>
      <c r="AF221" s="239"/>
      <c r="AG221" s="243"/>
      <c r="AI221" s="239"/>
      <c r="AJ221" s="239"/>
      <c r="AK221" s="239"/>
      <c r="AO221" s="240"/>
    </row>
    <row r="222" spans="14:41">
      <c r="N222" s="1"/>
      <c r="W222" s="1"/>
      <c r="X222" s="240"/>
      <c r="Y222" s="240"/>
      <c r="Z222" s="240"/>
      <c r="AA222" s="240"/>
      <c r="AB222" s="215"/>
      <c r="AC222" s="239"/>
      <c r="AD222" s="239"/>
      <c r="AE222" s="239"/>
      <c r="AF222" s="239"/>
      <c r="AG222" s="243"/>
      <c r="AI222" s="239"/>
      <c r="AJ222" s="239"/>
      <c r="AK222" s="239"/>
      <c r="AO222" s="240"/>
    </row>
    <row r="223" spans="14:41">
      <c r="N223" s="1"/>
      <c r="W223" s="1"/>
      <c r="X223" s="240"/>
      <c r="Y223" s="240"/>
      <c r="Z223" s="240"/>
      <c r="AA223" s="240"/>
      <c r="AB223" s="215"/>
      <c r="AC223" s="239"/>
      <c r="AD223" s="239"/>
      <c r="AE223" s="239"/>
      <c r="AF223" s="239"/>
      <c r="AG223" s="243"/>
      <c r="AI223" s="239"/>
      <c r="AJ223" s="239"/>
      <c r="AK223" s="239"/>
      <c r="AO223" s="240"/>
    </row>
    <row r="224" spans="14:41">
      <c r="N224" s="1"/>
      <c r="W224" s="1"/>
      <c r="X224" s="240"/>
      <c r="Y224" s="240"/>
      <c r="Z224" s="240"/>
      <c r="AA224" s="240"/>
      <c r="AB224" s="215"/>
      <c r="AC224" s="239"/>
      <c r="AD224" s="239"/>
      <c r="AE224" s="239"/>
      <c r="AF224" s="239"/>
      <c r="AG224" s="243"/>
      <c r="AI224" s="239"/>
      <c r="AJ224" s="239"/>
      <c r="AK224" s="239"/>
      <c r="AO224" s="240"/>
    </row>
    <row r="225" spans="14:41">
      <c r="N225" s="1"/>
      <c r="W225" s="1"/>
      <c r="X225" s="240"/>
      <c r="Y225" s="240"/>
      <c r="Z225" s="240"/>
      <c r="AA225" s="240"/>
      <c r="AB225" s="215"/>
      <c r="AC225" s="239"/>
      <c r="AD225" s="239"/>
      <c r="AE225" s="239"/>
      <c r="AF225" s="239"/>
      <c r="AG225" s="243"/>
      <c r="AI225" s="239"/>
      <c r="AJ225" s="239"/>
      <c r="AK225" s="239"/>
      <c r="AO225" s="240"/>
    </row>
    <row r="226" spans="14:41">
      <c r="N226" s="1"/>
      <c r="W226" s="1"/>
      <c r="X226" s="240"/>
      <c r="Y226" s="240"/>
      <c r="Z226" s="240"/>
      <c r="AA226" s="240"/>
      <c r="AB226" s="215"/>
      <c r="AC226" s="239"/>
      <c r="AD226" s="239"/>
      <c r="AE226" s="239"/>
      <c r="AF226" s="239"/>
      <c r="AG226" s="243"/>
      <c r="AI226" s="239"/>
      <c r="AJ226" s="239"/>
      <c r="AK226" s="239"/>
      <c r="AO226" s="240"/>
    </row>
    <row r="227" spans="14:41">
      <c r="N227" s="1"/>
      <c r="W227" s="1"/>
      <c r="X227" s="240"/>
      <c r="Y227" s="240"/>
      <c r="Z227" s="240"/>
      <c r="AA227" s="240"/>
      <c r="AB227" s="215"/>
      <c r="AC227" s="239"/>
      <c r="AD227" s="239"/>
      <c r="AE227" s="239"/>
      <c r="AF227" s="239"/>
      <c r="AG227" s="243"/>
      <c r="AI227" s="239"/>
      <c r="AJ227" s="239"/>
      <c r="AK227" s="239"/>
      <c r="AO227" s="240"/>
    </row>
    <row r="228" spans="14:41">
      <c r="N228" s="1"/>
      <c r="W228" s="1"/>
      <c r="X228" s="240"/>
      <c r="Y228" s="240"/>
      <c r="Z228" s="240"/>
      <c r="AA228" s="240"/>
      <c r="AB228" s="215"/>
      <c r="AC228" s="239"/>
      <c r="AD228" s="239"/>
      <c r="AE228" s="239"/>
      <c r="AF228" s="239"/>
      <c r="AG228" s="243"/>
      <c r="AI228" s="239"/>
      <c r="AJ228" s="239"/>
      <c r="AK228" s="239"/>
      <c r="AO228" s="240"/>
    </row>
    <row r="229" spans="14:41">
      <c r="N229" s="1"/>
      <c r="W229" s="1"/>
      <c r="X229" s="240"/>
      <c r="Y229" s="240"/>
      <c r="Z229" s="240"/>
      <c r="AA229" s="240"/>
      <c r="AB229" s="215"/>
      <c r="AC229" s="239"/>
      <c r="AD229" s="239"/>
      <c r="AE229" s="239"/>
      <c r="AF229" s="239"/>
      <c r="AG229" s="243"/>
      <c r="AI229" s="239"/>
      <c r="AJ229" s="239"/>
      <c r="AK229" s="239"/>
      <c r="AO229" s="240"/>
    </row>
    <row r="230" spans="14:41">
      <c r="N230" s="1"/>
      <c r="W230" s="1"/>
      <c r="X230" s="240"/>
      <c r="Y230" s="240"/>
      <c r="Z230" s="240"/>
      <c r="AA230" s="240"/>
      <c r="AB230" s="215"/>
      <c r="AC230" s="239"/>
      <c r="AD230" s="239"/>
      <c r="AE230" s="239"/>
      <c r="AF230" s="239"/>
      <c r="AG230" s="243"/>
      <c r="AI230" s="239"/>
      <c r="AJ230" s="239"/>
      <c r="AK230" s="239"/>
      <c r="AO230" s="240"/>
    </row>
    <row r="231" spans="14:41">
      <c r="N231" s="1"/>
      <c r="W231" s="1"/>
      <c r="X231" s="240"/>
      <c r="Y231" s="240"/>
      <c r="Z231" s="240"/>
      <c r="AA231" s="240"/>
      <c r="AB231" s="215"/>
      <c r="AC231" s="239"/>
      <c r="AD231" s="239"/>
      <c r="AE231" s="239"/>
      <c r="AF231" s="239"/>
      <c r="AG231" s="243"/>
      <c r="AI231" s="239"/>
      <c r="AJ231" s="239"/>
      <c r="AK231" s="239"/>
      <c r="AO231" s="240"/>
    </row>
    <row r="232" spans="14:41">
      <c r="N232" s="1"/>
      <c r="W232" s="1"/>
      <c r="X232" s="240"/>
      <c r="Y232" s="240"/>
      <c r="Z232" s="240"/>
      <c r="AA232" s="240"/>
      <c r="AB232" s="215"/>
      <c r="AC232" s="239"/>
      <c r="AD232" s="239"/>
      <c r="AE232" s="239"/>
      <c r="AF232" s="239"/>
      <c r="AG232" s="243"/>
      <c r="AI232" s="239"/>
      <c r="AJ232" s="239"/>
      <c r="AK232" s="239"/>
      <c r="AO232" s="240"/>
    </row>
    <row r="233" spans="14:41">
      <c r="N233" s="1"/>
      <c r="W233" s="1"/>
      <c r="X233" s="240"/>
      <c r="Y233" s="240"/>
      <c r="Z233" s="240"/>
      <c r="AA233" s="240"/>
      <c r="AB233" s="215"/>
      <c r="AC233" s="239"/>
      <c r="AD233" s="239"/>
      <c r="AE233" s="239"/>
      <c r="AF233" s="239"/>
      <c r="AG233" s="243"/>
      <c r="AI233" s="239"/>
      <c r="AJ233" s="239"/>
      <c r="AK233" s="239"/>
      <c r="AO233" s="240"/>
    </row>
    <row r="234" spans="14:41">
      <c r="N234" s="1"/>
      <c r="W234" s="1"/>
      <c r="X234" s="240"/>
      <c r="Y234" s="240"/>
      <c r="Z234" s="240"/>
      <c r="AA234" s="240"/>
      <c r="AB234" s="215"/>
      <c r="AC234" s="239"/>
      <c r="AD234" s="239"/>
      <c r="AE234" s="239"/>
      <c r="AF234" s="239"/>
      <c r="AG234" s="243"/>
      <c r="AI234" s="239"/>
      <c r="AJ234" s="239"/>
      <c r="AK234" s="239"/>
      <c r="AO234" s="240"/>
    </row>
    <row r="235" spans="14:41">
      <c r="N235" s="1"/>
      <c r="W235" s="1"/>
      <c r="X235" s="240"/>
      <c r="Y235" s="240"/>
      <c r="Z235" s="240"/>
      <c r="AA235" s="240"/>
      <c r="AB235" s="215"/>
      <c r="AC235" s="239"/>
      <c r="AD235" s="239"/>
      <c r="AE235" s="239"/>
      <c r="AF235" s="239"/>
      <c r="AG235" s="243"/>
      <c r="AI235" s="239"/>
      <c r="AJ235" s="239"/>
      <c r="AK235" s="239"/>
      <c r="AO235" s="240"/>
    </row>
    <row r="236" spans="14:41">
      <c r="N236" s="1"/>
      <c r="W236" s="1"/>
      <c r="X236" s="240"/>
      <c r="Y236" s="240"/>
      <c r="Z236" s="240"/>
      <c r="AA236" s="240"/>
      <c r="AB236" s="215"/>
      <c r="AC236" s="239"/>
      <c r="AD236" s="239"/>
      <c r="AE236" s="239"/>
      <c r="AF236" s="239"/>
      <c r="AG236" s="243"/>
      <c r="AI236" s="239"/>
      <c r="AJ236" s="239"/>
      <c r="AK236" s="239"/>
      <c r="AO236" s="240"/>
    </row>
    <row r="237" spans="14:41">
      <c r="N237" s="1"/>
      <c r="W237" s="1"/>
      <c r="X237" s="240"/>
      <c r="Y237" s="240"/>
      <c r="Z237" s="240"/>
      <c r="AA237" s="240"/>
      <c r="AB237" s="215"/>
      <c r="AC237" s="239"/>
      <c r="AD237" s="239"/>
      <c r="AE237" s="239"/>
      <c r="AF237" s="239"/>
      <c r="AG237" s="243"/>
      <c r="AI237" s="239"/>
      <c r="AJ237" s="239"/>
      <c r="AK237" s="239"/>
      <c r="AO237" s="240"/>
    </row>
    <row r="238" spans="14:41">
      <c r="N238" s="1"/>
      <c r="W238" s="1"/>
      <c r="X238" s="240"/>
      <c r="Y238" s="240"/>
      <c r="Z238" s="240"/>
      <c r="AA238" s="240"/>
      <c r="AB238" s="215"/>
      <c r="AC238" s="239"/>
      <c r="AD238" s="239"/>
      <c r="AE238" s="239"/>
      <c r="AF238" s="239"/>
      <c r="AG238" s="243"/>
      <c r="AI238" s="239"/>
      <c r="AJ238" s="239"/>
      <c r="AK238" s="239"/>
      <c r="AO238" s="240"/>
    </row>
    <row r="239" spans="14:41">
      <c r="N239" s="1"/>
      <c r="W239" s="1"/>
      <c r="X239" s="240"/>
      <c r="Y239" s="240"/>
      <c r="Z239" s="240"/>
      <c r="AA239" s="240"/>
      <c r="AB239" s="215"/>
      <c r="AC239" s="239"/>
      <c r="AD239" s="239"/>
      <c r="AE239" s="239"/>
      <c r="AF239" s="239"/>
      <c r="AG239" s="243"/>
      <c r="AI239" s="239"/>
      <c r="AJ239" s="239"/>
      <c r="AK239" s="239"/>
      <c r="AO239" s="240"/>
    </row>
    <row r="240" spans="14:41">
      <c r="N240" s="1"/>
      <c r="W240" s="1"/>
      <c r="X240" s="240"/>
      <c r="Y240" s="240"/>
      <c r="Z240" s="240"/>
      <c r="AA240" s="240"/>
      <c r="AB240" s="215"/>
      <c r="AC240" s="239"/>
      <c r="AD240" s="239"/>
      <c r="AE240" s="239"/>
      <c r="AF240" s="239"/>
      <c r="AG240" s="243"/>
      <c r="AI240" s="239"/>
      <c r="AJ240" s="239"/>
      <c r="AK240" s="239"/>
      <c r="AO240" s="240"/>
    </row>
    <row r="241" spans="14:41">
      <c r="N241" s="1"/>
      <c r="W241" s="1"/>
      <c r="X241" s="240"/>
      <c r="Y241" s="240"/>
      <c r="Z241" s="240"/>
      <c r="AA241" s="240"/>
      <c r="AB241" s="215"/>
      <c r="AC241" s="239"/>
      <c r="AD241" s="239"/>
      <c r="AE241" s="239"/>
      <c r="AF241" s="239"/>
      <c r="AG241" s="243"/>
      <c r="AI241" s="239"/>
      <c r="AJ241" s="239"/>
      <c r="AK241" s="239"/>
      <c r="AO241" s="240"/>
    </row>
    <row r="242" spans="14:41">
      <c r="N242" s="1"/>
      <c r="W242" s="1"/>
      <c r="X242" s="240"/>
      <c r="Y242" s="240"/>
      <c r="Z242" s="240"/>
      <c r="AA242" s="240"/>
      <c r="AB242" s="215"/>
      <c r="AC242" s="239"/>
      <c r="AD242" s="239"/>
      <c r="AE242" s="239"/>
      <c r="AF242" s="239"/>
      <c r="AG242" s="243"/>
      <c r="AI242" s="239"/>
      <c r="AJ242" s="239"/>
      <c r="AK242" s="239"/>
      <c r="AO242" s="240"/>
    </row>
    <row r="243" spans="14:41">
      <c r="N243" s="1"/>
      <c r="W243" s="1"/>
      <c r="X243" s="240"/>
      <c r="Y243" s="240"/>
      <c r="Z243" s="240"/>
      <c r="AA243" s="240"/>
      <c r="AB243" s="215"/>
      <c r="AC243" s="239"/>
      <c r="AD243" s="239"/>
      <c r="AE243" s="239"/>
      <c r="AF243" s="239"/>
      <c r="AG243" s="243"/>
      <c r="AI243" s="239"/>
      <c r="AJ243" s="239"/>
      <c r="AK243" s="239"/>
      <c r="AO243" s="240"/>
    </row>
    <row r="244" spans="14:41">
      <c r="N244" s="1"/>
      <c r="W244" s="1"/>
      <c r="X244" s="240"/>
      <c r="Y244" s="240"/>
      <c r="Z244" s="240"/>
      <c r="AA244" s="240"/>
      <c r="AB244" s="215"/>
      <c r="AC244" s="239"/>
      <c r="AD244" s="239"/>
      <c r="AE244" s="239"/>
      <c r="AF244" s="239"/>
      <c r="AG244" s="243"/>
      <c r="AI244" s="239"/>
      <c r="AJ244" s="239"/>
      <c r="AK244" s="239"/>
      <c r="AO244" s="240"/>
    </row>
    <row r="245" spans="14:41">
      <c r="N245" s="1"/>
      <c r="W245" s="1"/>
      <c r="X245" s="240"/>
      <c r="Y245" s="240"/>
      <c r="Z245" s="240"/>
      <c r="AA245" s="240"/>
      <c r="AB245" s="215"/>
      <c r="AC245" s="239"/>
      <c r="AD245" s="239"/>
      <c r="AE245" s="239"/>
      <c r="AF245" s="239"/>
      <c r="AG245" s="243"/>
      <c r="AI245" s="239"/>
      <c r="AJ245" s="239"/>
      <c r="AK245" s="239"/>
      <c r="AO245" s="240"/>
    </row>
    <row r="246" spans="14:41">
      <c r="N246" s="1"/>
      <c r="W246" s="1"/>
      <c r="X246" s="240"/>
      <c r="Y246" s="240"/>
      <c r="Z246" s="240"/>
      <c r="AA246" s="240"/>
      <c r="AB246" s="215"/>
      <c r="AC246" s="239"/>
      <c r="AD246" s="239"/>
      <c r="AE246" s="239"/>
      <c r="AF246" s="239"/>
      <c r="AG246" s="243"/>
      <c r="AI246" s="239"/>
      <c r="AJ246" s="239"/>
      <c r="AK246" s="239"/>
      <c r="AO246" s="240"/>
    </row>
    <row r="247" spans="14:41">
      <c r="N247" s="1"/>
      <c r="W247" s="1"/>
      <c r="X247" s="240"/>
      <c r="Y247" s="240"/>
      <c r="Z247" s="240"/>
      <c r="AA247" s="240"/>
      <c r="AB247" s="215"/>
      <c r="AC247" s="239"/>
      <c r="AD247" s="239"/>
      <c r="AE247" s="239"/>
      <c r="AF247" s="239"/>
      <c r="AG247" s="243"/>
      <c r="AI247" s="239"/>
      <c r="AJ247" s="239"/>
      <c r="AK247" s="239"/>
      <c r="AO247" s="240"/>
    </row>
    <row r="248" spans="14:41">
      <c r="N248" s="1"/>
      <c r="W248" s="1"/>
      <c r="X248" s="240"/>
      <c r="Y248" s="240"/>
      <c r="Z248" s="240"/>
      <c r="AA248" s="240"/>
      <c r="AB248" s="215"/>
      <c r="AC248" s="239"/>
      <c r="AD248" s="239"/>
      <c r="AE248" s="239"/>
      <c r="AF248" s="239"/>
      <c r="AG248" s="243"/>
      <c r="AI248" s="239"/>
      <c r="AJ248" s="239"/>
      <c r="AK248" s="239"/>
      <c r="AO248" s="240"/>
    </row>
    <row r="249" spans="14:41">
      <c r="N249" s="1"/>
      <c r="W249" s="1"/>
      <c r="X249" s="240"/>
      <c r="Y249" s="240"/>
      <c r="Z249" s="240"/>
      <c r="AA249" s="240"/>
      <c r="AB249" s="215"/>
      <c r="AC249" s="239"/>
      <c r="AD249" s="239"/>
      <c r="AE249" s="239"/>
      <c r="AF249" s="239"/>
      <c r="AG249" s="243"/>
      <c r="AI249" s="239"/>
      <c r="AJ249" s="239"/>
      <c r="AK249" s="239"/>
      <c r="AO249" s="240"/>
    </row>
    <row r="250" spans="14:41">
      <c r="N250" s="1"/>
      <c r="W250" s="1"/>
      <c r="X250" s="240"/>
      <c r="Y250" s="240"/>
      <c r="Z250" s="240"/>
      <c r="AA250" s="240"/>
      <c r="AB250" s="215"/>
      <c r="AC250" s="239"/>
      <c r="AD250" s="239"/>
      <c r="AE250" s="239"/>
      <c r="AF250" s="239"/>
      <c r="AG250" s="243"/>
      <c r="AI250" s="239"/>
      <c r="AJ250" s="239"/>
      <c r="AK250" s="239"/>
      <c r="AO250" s="240"/>
    </row>
    <row r="251" spans="14:41">
      <c r="N251" s="1"/>
      <c r="W251" s="1"/>
      <c r="X251" s="240"/>
      <c r="Y251" s="240"/>
      <c r="Z251" s="240"/>
      <c r="AA251" s="240"/>
      <c r="AB251" s="215"/>
      <c r="AC251" s="239"/>
      <c r="AD251" s="239"/>
      <c r="AE251" s="239"/>
      <c r="AF251" s="239"/>
      <c r="AG251" s="243"/>
      <c r="AI251" s="239"/>
      <c r="AJ251" s="239"/>
      <c r="AK251" s="239"/>
      <c r="AO251" s="240"/>
    </row>
    <row r="252" spans="14:41">
      <c r="N252" s="1"/>
      <c r="W252" s="1"/>
      <c r="X252" s="240"/>
      <c r="Y252" s="240"/>
      <c r="Z252" s="240"/>
      <c r="AA252" s="240"/>
      <c r="AB252" s="215"/>
      <c r="AC252" s="239"/>
      <c r="AD252" s="239"/>
      <c r="AE252" s="239"/>
      <c r="AF252" s="239"/>
      <c r="AG252" s="243"/>
      <c r="AI252" s="239"/>
      <c r="AJ252" s="239"/>
      <c r="AK252" s="239"/>
      <c r="AO252" s="240"/>
    </row>
    <row r="253" spans="14:41">
      <c r="N253" s="1"/>
      <c r="W253" s="1"/>
      <c r="X253" s="240"/>
      <c r="Y253" s="240"/>
      <c r="Z253" s="240"/>
      <c r="AA253" s="240"/>
      <c r="AB253" s="215"/>
      <c r="AC253" s="239"/>
      <c r="AD253" s="239"/>
      <c r="AE253" s="239"/>
      <c r="AF253" s="239"/>
      <c r="AG253" s="243"/>
      <c r="AI253" s="239"/>
      <c r="AJ253" s="239"/>
      <c r="AK253" s="239"/>
      <c r="AO253" s="240"/>
    </row>
    <row r="254" spans="14:41">
      <c r="N254" s="1"/>
      <c r="W254" s="1"/>
      <c r="X254" s="240"/>
      <c r="Y254" s="240"/>
      <c r="Z254" s="240"/>
      <c r="AA254" s="240"/>
      <c r="AB254" s="215"/>
      <c r="AC254" s="239"/>
      <c r="AD254" s="239"/>
      <c r="AE254" s="244"/>
      <c r="AF254" s="239"/>
      <c r="AG254" s="243"/>
      <c r="AI254" s="239"/>
      <c r="AJ254" s="239"/>
      <c r="AK254" s="239"/>
      <c r="AO254" s="240"/>
    </row>
    <row r="255" spans="14:41">
      <c r="N255" s="1"/>
      <c r="W255" s="1"/>
      <c r="X255" s="240"/>
      <c r="Y255" s="240"/>
      <c r="Z255" s="240"/>
      <c r="AA255" s="240"/>
      <c r="AB255" s="215"/>
      <c r="AC255" s="239"/>
      <c r="AD255" s="239"/>
      <c r="AE255" s="244"/>
      <c r="AF255" s="239"/>
      <c r="AG255" s="243"/>
      <c r="AI255" s="239"/>
      <c r="AJ255" s="239"/>
      <c r="AK255" s="239"/>
      <c r="AO255" s="240"/>
    </row>
    <row r="256" spans="14:41">
      <c r="N256" s="1"/>
      <c r="W256" s="1"/>
      <c r="X256" s="240"/>
      <c r="Y256" s="240"/>
      <c r="Z256" s="240"/>
      <c r="AA256" s="240"/>
      <c r="AB256" s="215"/>
      <c r="AC256" s="239"/>
      <c r="AD256" s="239"/>
      <c r="AE256" s="244"/>
      <c r="AF256" s="239"/>
      <c r="AG256" s="243"/>
      <c r="AI256" s="239"/>
      <c r="AJ256" s="239"/>
      <c r="AK256" s="239"/>
      <c r="AO256" s="240"/>
    </row>
    <row r="257" spans="14:41">
      <c r="N257" s="1"/>
      <c r="W257" s="1"/>
      <c r="X257" s="240"/>
      <c r="Y257" s="240"/>
      <c r="Z257" s="240"/>
      <c r="AA257" s="240"/>
      <c r="AB257" s="215"/>
      <c r="AC257" s="245"/>
      <c r="AD257" s="239"/>
      <c r="AE257" s="239"/>
      <c r="AF257" s="239"/>
      <c r="AG257" s="243"/>
      <c r="AI257" s="239"/>
      <c r="AJ257" s="239"/>
      <c r="AK257" s="239"/>
      <c r="AO257" s="240"/>
    </row>
    <row r="258" spans="14:41">
      <c r="N258" s="1"/>
      <c r="W258" s="1"/>
      <c r="X258" s="240"/>
      <c r="Y258" s="240"/>
      <c r="Z258" s="240"/>
      <c r="AA258" s="240"/>
      <c r="AB258" s="215"/>
      <c r="AC258" s="239"/>
      <c r="AD258" s="239"/>
      <c r="AE258" s="239"/>
      <c r="AF258" s="239"/>
      <c r="AG258" s="243"/>
      <c r="AI258" s="239"/>
      <c r="AJ258" s="239"/>
      <c r="AK258" s="239"/>
      <c r="AO258" s="240"/>
    </row>
    <row r="259" spans="14:41">
      <c r="N259" s="1"/>
      <c r="W259" s="1"/>
      <c r="X259" s="240"/>
      <c r="Y259" s="240"/>
      <c r="Z259" s="240"/>
      <c r="AA259" s="240"/>
      <c r="AB259" s="215"/>
      <c r="AC259" s="239"/>
      <c r="AD259" s="239"/>
      <c r="AE259" s="239"/>
      <c r="AF259" s="239"/>
      <c r="AG259" s="243"/>
      <c r="AI259" s="239"/>
      <c r="AJ259" s="239"/>
      <c r="AK259" s="239"/>
      <c r="AO259" s="240"/>
    </row>
    <row r="260" spans="14:41">
      <c r="N260" s="1"/>
      <c r="W260" s="1"/>
      <c r="X260" s="240"/>
      <c r="Y260" s="240"/>
      <c r="Z260" s="240"/>
      <c r="AA260" s="240"/>
      <c r="AB260" s="215"/>
      <c r="AC260" s="239"/>
      <c r="AD260" s="239"/>
      <c r="AE260" s="239"/>
      <c r="AF260" s="239"/>
      <c r="AG260" s="243"/>
      <c r="AI260" s="239"/>
      <c r="AJ260" s="239"/>
      <c r="AK260" s="239"/>
      <c r="AO260" s="240"/>
    </row>
    <row r="261" spans="14:41">
      <c r="N261" s="1"/>
      <c r="W261" s="1"/>
      <c r="X261" s="240"/>
      <c r="Y261" s="240"/>
      <c r="Z261" s="240"/>
      <c r="AA261" s="240"/>
      <c r="AB261" s="215"/>
      <c r="AC261" s="239"/>
      <c r="AD261" s="239"/>
      <c r="AE261" s="239"/>
      <c r="AF261" s="239"/>
      <c r="AG261" s="243"/>
      <c r="AI261" s="239"/>
      <c r="AJ261" s="239"/>
      <c r="AK261" s="239"/>
      <c r="AO261" s="240"/>
    </row>
    <row r="262" spans="14:41">
      <c r="N262" s="1"/>
      <c r="W262" s="1"/>
      <c r="X262" s="240"/>
      <c r="Y262" s="240"/>
      <c r="Z262" s="240"/>
      <c r="AA262" s="240"/>
      <c r="AB262" s="215"/>
      <c r="AC262" s="239"/>
      <c r="AD262" s="239"/>
      <c r="AE262" s="239"/>
      <c r="AF262" s="239"/>
      <c r="AG262" s="243"/>
      <c r="AI262" s="239"/>
      <c r="AJ262" s="239"/>
      <c r="AK262" s="239"/>
      <c r="AO262" s="240"/>
    </row>
    <row r="263" spans="14:41">
      <c r="N263" s="1"/>
      <c r="W263" s="1"/>
      <c r="X263" s="240"/>
      <c r="Y263" s="240"/>
      <c r="Z263" s="240"/>
      <c r="AA263" s="240"/>
      <c r="AB263" s="215"/>
      <c r="AC263" s="239"/>
      <c r="AD263" s="239"/>
      <c r="AE263" s="239"/>
      <c r="AF263" s="239"/>
      <c r="AG263" s="243"/>
      <c r="AI263" s="239"/>
      <c r="AJ263" s="239"/>
      <c r="AK263" s="239"/>
      <c r="AO263" s="240"/>
    </row>
    <row r="264" spans="14:41">
      <c r="N264" s="1"/>
      <c r="W264" s="1"/>
      <c r="X264" s="240"/>
      <c r="Y264" s="240"/>
      <c r="Z264" s="240"/>
      <c r="AA264" s="240"/>
      <c r="AB264" s="215"/>
      <c r="AC264" s="239"/>
      <c r="AD264" s="239"/>
      <c r="AE264" s="239"/>
      <c r="AF264" s="239"/>
      <c r="AG264" s="243"/>
      <c r="AI264" s="239"/>
      <c r="AJ264" s="239"/>
      <c r="AK264" s="239"/>
      <c r="AO264" s="240"/>
    </row>
    <row r="265" spans="14:41">
      <c r="N265" s="1"/>
      <c r="W265" s="1"/>
      <c r="X265" s="240"/>
      <c r="Y265" s="240"/>
      <c r="Z265" s="240"/>
      <c r="AA265" s="240"/>
      <c r="AB265" s="215"/>
      <c r="AC265" s="239"/>
      <c r="AD265" s="239"/>
      <c r="AE265" s="239"/>
      <c r="AF265" s="239"/>
      <c r="AG265" s="243"/>
      <c r="AI265" s="239"/>
      <c r="AJ265" s="239"/>
      <c r="AK265" s="239"/>
      <c r="AO265" s="240"/>
    </row>
    <row r="266" spans="14:41">
      <c r="N266" s="1"/>
      <c r="W266" s="1"/>
      <c r="X266" s="240"/>
      <c r="Y266" s="240"/>
      <c r="Z266" s="240"/>
      <c r="AA266" s="240"/>
      <c r="AB266" s="215"/>
      <c r="AC266" s="239"/>
      <c r="AD266" s="239"/>
      <c r="AE266" s="239"/>
      <c r="AF266" s="239"/>
      <c r="AG266" s="243"/>
      <c r="AI266" s="239"/>
      <c r="AJ266" s="239"/>
      <c r="AK266" s="239"/>
      <c r="AO266" s="240"/>
    </row>
    <row r="267" spans="14:41">
      <c r="N267" s="1"/>
      <c r="W267" s="1"/>
      <c r="X267" s="240"/>
      <c r="Y267" s="240"/>
      <c r="Z267" s="240"/>
      <c r="AA267" s="240"/>
      <c r="AB267" s="215"/>
      <c r="AC267" s="239"/>
      <c r="AD267" s="239"/>
      <c r="AE267" s="239"/>
      <c r="AF267" s="239"/>
      <c r="AG267" s="243"/>
      <c r="AI267" s="239"/>
      <c r="AJ267" s="239"/>
      <c r="AK267" s="239"/>
      <c r="AO267" s="240"/>
    </row>
    <row r="268" spans="14:41">
      <c r="N268" s="1"/>
      <c r="W268" s="1"/>
      <c r="X268" s="240"/>
      <c r="Y268" s="240"/>
      <c r="Z268" s="240"/>
      <c r="AA268" s="240"/>
      <c r="AB268" s="215"/>
      <c r="AC268" s="239"/>
      <c r="AD268" s="239"/>
      <c r="AE268" s="239"/>
      <c r="AF268" s="239"/>
      <c r="AG268" s="243"/>
      <c r="AI268" s="239"/>
      <c r="AJ268" s="239"/>
      <c r="AK268" s="239"/>
      <c r="AO268" s="240"/>
    </row>
    <row r="269" spans="14:41">
      <c r="N269" s="1"/>
      <c r="W269" s="1"/>
      <c r="X269" s="240"/>
      <c r="Y269" s="240"/>
      <c r="Z269" s="240"/>
      <c r="AA269" s="240"/>
      <c r="AB269" s="215"/>
      <c r="AC269" s="239"/>
      <c r="AD269" s="239"/>
      <c r="AE269" s="239"/>
      <c r="AF269" s="239"/>
      <c r="AG269" s="243"/>
      <c r="AI269" s="239"/>
      <c r="AJ269" s="239"/>
      <c r="AK269" s="239"/>
      <c r="AO269" s="240"/>
    </row>
    <row r="270" spans="14:41">
      <c r="N270" s="1"/>
      <c r="W270" s="1"/>
      <c r="X270" s="240"/>
      <c r="Y270" s="240"/>
      <c r="Z270" s="240"/>
      <c r="AA270" s="240"/>
      <c r="AB270" s="215"/>
      <c r="AC270" s="239"/>
      <c r="AD270" s="239"/>
      <c r="AE270" s="239"/>
      <c r="AF270" s="239"/>
      <c r="AG270" s="243"/>
      <c r="AI270" s="239"/>
      <c r="AJ270" s="239"/>
      <c r="AK270" s="239"/>
      <c r="AO270" s="240"/>
    </row>
    <row r="271" spans="14:41">
      <c r="N271" s="1"/>
      <c r="W271" s="1"/>
      <c r="X271" s="240"/>
      <c r="Y271" s="240"/>
      <c r="Z271" s="240"/>
      <c r="AA271" s="240"/>
      <c r="AB271" s="215"/>
      <c r="AC271" s="239"/>
      <c r="AD271" s="239"/>
      <c r="AE271" s="239"/>
      <c r="AF271" s="239"/>
      <c r="AG271" s="243"/>
      <c r="AI271" s="239"/>
      <c r="AJ271" s="239"/>
      <c r="AK271" s="239"/>
      <c r="AO271" s="240"/>
    </row>
    <row r="272" spans="14:41">
      <c r="N272" s="1"/>
      <c r="W272" s="1"/>
      <c r="X272" s="240"/>
      <c r="Y272" s="240"/>
      <c r="Z272" s="240"/>
      <c r="AA272" s="240"/>
      <c r="AB272" s="215"/>
      <c r="AC272" s="239"/>
      <c r="AD272" s="239"/>
      <c r="AE272" s="239"/>
      <c r="AF272" s="239"/>
      <c r="AG272" s="243"/>
      <c r="AI272" s="239"/>
      <c r="AJ272" s="239"/>
      <c r="AK272" s="239"/>
      <c r="AO272" s="240"/>
    </row>
    <row r="273" spans="14:41">
      <c r="N273" s="1"/>
      <c r="W273" s="1"/>
      <c r="X273" s="240"/>
      <c r="Y273" s="240"/>
      <c r="Z273" s="240"/>
      <c r="AA273" s="240"/>
      <c r="AB273" s="215"/>
      <c r="AC273" s="239"/>
      <c r="AD273" s="239"/>
      <c r="AE273" s="239"/>
      <c r="AF273" s="239"/>
      <c r="AG273" s="243"/>
      <c r="AI273" s="239"/>
      <c r="AJ273" s="239"/>
      <c r="AK273" s="239"/>
      <c r="AO273" s="240"/>
    </row>
    <row r="274" spans="14:41">
      <c r="N274" s="1"/>
      <c r="W274" s="1"/>
      <c r="X274" s="240"/>
      <c r="Y274" s="240"/>
      <c r="Z274" s="240"/>
      <c r="AA274" s="240"/>
      <c r="AB274" s="215"/>
      <c r="AC274" s="239"/>
      <c r="AD274" s="239"/>
      <c r="AE274" s="239"/>
      <c r="AF274" s="239"/>
      <c r="AG274" s="243"/>
      <c r="AI274" s="239"/>
      <c r="AJ274" s="239"/>
      <c r="AK274" s="239"/>
      <c r="AO274" s="240"/>
    </row>
    <row r="275" spans="14:41">
      <c r="N275" s="1"/>
      <c r="W275" s="1"/>
      <c r="X275" s="240"/>
      <c r="Y275" s="240"/>
      <c r="Z275" s="240"/>
      <c r="AA275" s="240"/>
      <c r="AB275" s="215"/>
      <c r="AC275" s="239"/>
      <c r="AD275" s="239"/>
      <c r="AE275" s="239"/>
      <c r="AF275" s="239"/>
      <c r="AG275" s="243"/>
      <c r="AI275" s="239"/>
      <c r="AJ275" s="239"/>
      <c r="AK275" s="239"/>
      <c r="AO275" s="240"/>
    </row>
    <row r="276" spans="14:41">
      <c r="N276" s="1"/>
      <c r="W276" s="1"/>
      <c r="X276" s="240"/>
      <c r="Y276" s="240"/>
      <c r="Z276" s="240"/>
      <c r="AA276" s="240"/>
      <c r="AB276" s="215"/>
      <c r="AC276" s="239"/>
      <c r="AD276" s="239"/>
      <c r="AE276" s="239"/>
      <c r="AF276" s="239"/>
      <c r="AG276" s="243"/>
      <c r="AI276" s="239"/>
      <c r="AJ276" s="239"/>
      <c r="AK276" s="239"/>
      <c r="AO276" s="240"/>
    </row>
    <row r="277" spans="14:41">
      <c r="N277" s="1"/>
      <c r="W277" s="1"/>
      <c r="X277" s="240"/>
      <c r="Y277" s="240"/>
      <c r="Z277" s="240"/>
      <c r="AA277" s="240"/>
      <c r="AB277" s="215"/>
      <c r="AC277" s="239"/>
      <c r="AD277" s="239"/>
      <c r="AE277" s="239"/>
      <c r="AF277" s="239"/>
      <c r="AG277" s="243"/>
      <c r="AI277" s="239"/>
      <c r="AJ277" s="239"/>
      <c r="AK277" s="239"/>
      <c r="AO277" s="240"/>
    </row>
    <row r="278" spans="14:41">
      <c r="N278" s="1"/>
      <c r="W278" s="1"/>
      <c r="X278" s="240"/>
      <c r="Y278" s="240"/>
      <c r="Z278" s="240"/>
      <c r="AA278" s="240"/>
      <c r="AB278" s="215"/>
      <c r="AC278" s="239"/>
      <c r="AD278" s="239"/>
      <c r="AE278" s="239"/>
      <c r="AF278" s="239"/>
      <c r="AG278" s="243"/>
      <c r="AI278" s="239"/>
      <c r="AJ278" s="239"/>
      <c r="AK278" s="239"/>
      <c r="AO278" s="240"/>
    </row>
    <row r="279" spans="14:41">
      <c r="N279" s="1"/>
      <c r="W279" s="1"/>
      <c r="X279" s="240"/>
      <c r="Y279" s="240"/>
      <c r="Z279" s="240"/>
      <c r="AA279" s="240"/>
      <c r="AB279" s="215"/>
      <c r="AC279" s="239"/>
      <c r="AD279" s="239"/>
      <c r="AE279" s="239"/>
      <c r="AF279" s="239"/>
      <c r="AG279" s="243"/>
      <c r="AI279" s="239"/>
      <c r="AJ279" s="239"/>
      <c r="AK279" s="239"/>
      <c r="AO279" s="240"/>
    </row>
    <row r="280" spans="14:41">
      <c r="N280" s="1"/>
      <c r="W280" s="1"/>
      <c r="X280" s="240"/>
      <c r="Y280" s="240"/>
      <c r="Z280" s="240"/>
      <c r="AA280" s="240"/>
      <c r="AB280" s="215"/>
      <c r="AC280" s="239"/>
      <c r="AD280" s="239"/>
      <c r="AE280" s="239"/>
      <c r="AF280" s="239"/>
      <c r="AG280" s="243"/>
      <c r="AI280" s="239"/>
      <c r="AJ280" s="239"/>
      <c r="AK280" s="239"/>
      <c r="AO280" s="240"/>
    </row>
    <row r="281" spans="14:41">
      <c r="N281" s="1"/>
      <c r="W281" s="1"/>
      <c r="X281" s="240"/>
      <c r="Y281" s="240"/>
      <c r="Z281" s="240"/>
      <c r="AA281" s="240"/>
      <c r="AB281" s="215"/>
      <c r="AC281" s="239"/>
      <c r="AD281" s="239"/>
      <c r="AE281" s="239"/>
      <c r="AF281" s="239"/>
      <c r="AG281" s="243"/>
      <c r="AI281" s="239"/>
      <c r="AJ281" s="239"/>
      <c r="AK281" s="239"/>
      <c r="AO281" s="240"/>
    </row>
    <row r="282" spans="14:41">
      <c r="N282" s="1"/>
      <c r="W282" s="1"/>
      <c r="X282" s="240"/>
      <c r="Y282" s="240"/>
      <c r="Z282" s="240"/>
      <c r="AA282" s="240"/>
      <c r="AB282" s="215"/>
      <c r="AC282" s="239"/>
      <c r="AD282" s="239"/>
      <c r="AE282" s="239"/>
      <c r="AF282" s="239"/>
      <c r="AG282" s="243"/>
      <c r="AI282" s="239"/>
      <c r="AJ282" s="239"/>
      <c r="AK282" s="239"/>
      <c r="AO282" s="240"/>
    </row>
    <row r="283" spans="14:41">
      <c r="N283" s="1"/>
      <c r="W283" s="1"/>
      <c r="X283" s="240"/>
      <c r="Y283" s="240"/>
      <c r="Z283" s="240"/>
      <c r="AA283" s="240"/>
      <c r="AB283" s="215"/>
      <c r="AC283" s="239"/>
      <c r="AD283" s="239"/>
      <c r="AE283" s="239"/>
      <c r="AF283" s="239"/>
      <c r="AG283" s="243"/>
      <c r="AI283" s="239"/>
      <c r="AJ283" s="239"/>
      <c r="AK283" s="239"/>
      <c r="AO283" s="240"/>
    </row>
    <row r="284" spans="14:41">
      <c r="N284" s="1"/>
      <c r="W284" s="1"/>
      <c r="X284" s="240"/>
      <c r="Y284" s="240"/>
      <c r="Z284" s="240"/>
      <c r="AA284" s="240"/>
      <c r="AB284" s="215"/>
      <c r="AC284" s="239"/>
      <c r="AD284" s="239"/>
      <c r="AE284" s="239"/>
      <c r="AF284" s="239"/>
      <c r="AG284" s="243"/>
      <c r="AI284" s="239"/>
      <c r="AJ284" s="239"/>
      <c r="AK284" s="239"/>
      <c r="AO284" s="240"/>
    </row>
    <row r="285" spans="14:41">
      <c r="N285" s="1"/>
      <c r="W285" s="1"/>
      <c r="X285" s="240"/>
      <c r="Y285" s="240"/>
      <c r="Z285" s="240"/>
      <c r="AA285" s="240"/>
      <c r="AB285" s="215"/>
      <c r="AC285" s="239"/>
      <c r="AD285" s="239"/>
      <c r="AE285" s="239"/>
      <c r="AF285" s="239"/>
      <c r="AG285" s="243"/>
      <c r="AI285" s="239"/>
      <c r="AJ285" s="239"/>
      <c r="AK285" s="239"/>
      <c r="AO285" s="240"/>
    </row>
    <row r="286" spans="14:41">
      <c r="N286" s="1"/>
      <c r="W286" s="1"/>
      <c r="X286" s="240"/>
      <c r="Y286" s="240"/>
      <c r="Z286" s="240"/>
      <c r="AA286" s="240"/>
      <c r="AB286" s="215"/>
      <c r="AC286" s="239"/>
      <c r="AD286" s="239"/>
      <c r="AE286" s="239"/>
      <c r="AF286" s="239"/>
      <c r="AG286" s="243"/>
      <c r="AI286" s="239"/>
      <c r="AJ286" s="239"/>
      <c r="AK286" s="239"/>
      <c r="AO286" s="240"/>
    </row>
    <row r="287" spans="14:41">
      <c r="N287" s="1"/>
      <c r="W287" s="1"/>
      <c r="X287" s="240"/>
      <c r="Y287" s="240"/>
      <c r="Z287" s="240"/>
      <c r="AA287" s="240"/>
      <c r="AB287" s="215"/>
      <c r="AC287" s="239"/>
      <c r="AD287" s="239"/>
      <c r="AE287" s="239"/>
      <c r="AF287" s="239"/>
      <c r="AG287" s="243"/>
      <c r="AI287" s="239"/>
      <c r="AJ287" s="239"/>
      <c r="AK287" s="239"/>
      <c r="AO287" s="240"/>
    </row>
    <row r="288" spans="14:41">
      <c r="N288" s="1"/>
      <c r="W288" s="1"/>
      <c r="X288" s="240"/>
      <c r="Y288" s="240"/>
      <c r="Z288" s="240"/>
      <c r="AA288" s="240"/>
      <c r="AB288" s="215"/>
      <c r="AC288" s="239"/>
      <c r="AD288" s="239"/>
      <c r="AE288" s="239"/>
      <c r="AF288" s="239"/>
      <c r="AG288" s="243"/>
      <c r="AI288" s="239"/>
      <c r="AJ288" s="239"/>
      <c r="AK288" s="239"/>
      <c r="AO288" s="240"/>
    </row>
    <row r="289" spans="14:41">
      <c r="N289" s="1"/>
      <c r="W289" s="1"/>
      <c r="X289" s="240"/>
      <c r="Y289" s="240"/>
      <c r="Z289" s="240"/>
      <c r="AA289" s="240"/>
      <c r="AB289" s="215"/>
      <c r="AC289" s="239"/>
      <c r="AD289" s="239"/>
      <c r="AE289" s="239"/>
      <c r="AF289" s="239"/>
      <c r="AG289" s="243"/>
      <c r="AI289" s="239"/>
      <c r="AJ289" s="239"/>
      <c r="AK289" s="239"/>
      <c r="AO289" s="240"/>
    </row>
    <row r="290" spans="14:41">
      <c r="N290" s="1"/>
      <c r="W290" s="1"/>
      <c r="X290" s="240"/>
      <c r="Y290" s="240"/>
      <c r="Z290" s="240"/>
      <c r="AA290" s="240"/>
      <c r="AB290" s="215"/>
      <c r="AC290" s="239"/>
      <c r="AD290" s="239"/>
      <c r="AE290" s="239"/>
      <c r="AF290" s="239"/>
      <c r="AG290" s="243"/>
      <c r="AI290" s="239"/>
      <c r="AJ290" s="239"/>
      <c r="AK290" s="239"/>
      <c r="AO290" s="240"/>
    </row>
    <row r="291" spans="14:41">
      <c r="N291" s="1"/>
      <c r="W291" s="1"/>
      <c r="X291" s="240"/>
      <c r="Y291" s="240"/>
      <c r="Z291" s="240"/>
      <c r="AA291" s="240"/>
      <c r="AB291" s="215"/>
      <c r="AC291" s="239"/>
      <c r="AD291" s="239"/>
      <c r="AE291" s="239"/>
      <c r="AF291" s="239"/>
      <c r="AG291" s="243"/>
      <c r="AI291" s="239"/>
      <c r="AJ291" s="239"/>
      <c r="AK291" s="239"/>
      <c r="AO291" s="240"/>
    </row>
    <row r="292" spans="14:41">
      <c r="N292" s="1"/>
      <c r="W292" s="1"/>
      <c r="X292" s="240"/>
      <c r="Y292" s="240"/>
      <c r="Z292" s="240"/>
      <c r="AA292" s="240"/>
      <c r="AB292" s="215"/>
      <c r="AC292" s="239"/>
      <c r="AD292" s="239"/>
      <c r="AE292" s="239"/>
      <c r="AF292" s="239"/>
      <c r="AG292" s="243"/>
      <c r="AI292" s="239"/>
      <c r="AJ292" s="239"/>
      <c r="AK292" s="239"/>
      <c r="AO292" s="240"/>
    </row>
    <row r="293" spans="14:41">
      <c r="N293" s="1"/>
      <c r="W293" s="1"/>
      <c r="X293" s="240"/>
      <c r="Y293" s="240"/>
      <c r="Z293" s="240"/>
      <c r="AA293" s="240"/>
      <c r="AB293" s="215"/>
      <c r="AC293" s="239"/>
      <c r="AD293" s="239"/>
      <c r="AE293" s="239"/>
      <c r="AF293" s="239"/>
      <c r="AG293" s="243"/>
      <c r="AI293" s="239"/>
      <c r="AJ293" s="239"/>
      <c r="AK293" s="239"/>
      <c r="AO293" s="240"/>
    </row>
    <row r="294" spans="14:41">
      <c r="N294" s="1"/>
      <c r="W294" s="1"/>
      <c r="X294" s="240"/>
      <c r="Y294" s="240"/>
      <c r="Z294" s="240"/>
      <c r="AA294" s="240"/>
      <c r="AB294" s="215"/>
      <c r="AC294" s="239"/>
      <c r="AD294" s="239"/>
      <c r="AE294" s="239"/>
      <c r="AF294" s="239"/>
      <c r="AG294" s="243"/>
      <c r="AI294" s="239"/>
      <c r="AJ294" s="239"/>
      <c r="AK294" s="239"/>
      <c r="AO294" s="240"/>
    </row>
    <row r="295" spans="14:41">
      <c r="N295" s="1"/>
      <c r="W295" s="1"/>
      <c r="X295" s="240"/>
      <c r="Y295" s="240"/>
      <c r="Z295" s="240"/>
      <c r="AA295" s="240"/>
      <c r="AB295" s="215"/>
      <c r="AC295" s="239"/>
      <c r="AD295" s="239"/>
      <c r="AE295" s="239"/>
      <c r="AF295" s="239"/>
      <c r="AG295" s="243"/>
      <c r="AI295" s="239"/>
      <c r="AJ295" s="239"/>
      <c r="AK295" s="239"/>
      <c r="AO295" s="240"/>
    </row>
    <row r="296" spans="14:41">
      <c r="N296" s="1"/>
      <c r="W296" s="1"/>
      <c r="X296" s="240"/>
      <c r="Y296" s="240"/>
      <c r="Z296" s="240"/>
      <c r="AA296" s="240"/>
      <c r="AB296" s="215"/>
      <c r="AC296" s="239"/>
      <c r="AD296" s="239"/>
      <c r="AE296" s="239"/>
      <c r="AF296" s="239"/>
      <c r="AG296" s="243"/>
      <c r="AI296" s="239"/>
      <c r="AJ296" s="239"/>
      <c r="AK296" s="239"/>
      <c r="AO296" s="240"/>
    </row>
    <row r="297" spans="14:41">
      <c r="N297" s="1"/>
      <c r="W297" s="1"/>
      <c r="X297" s="240"/>
      <c r="Y297" s="240"/>
      <c r="Z297" s="240"/>
      <c r="AA297" s="240"/>
      <c r="AB297" s="215"/>
      <c r="AC297" s="239"/>
      <c r="AD297" s="239"/>
      <c r="AE297" s="239"/>
      <c r="AF297" s="239"/>
      <c r="AG297" s="243"/>
      <c r="AI297" s="239"/>
      <c r="AJ297" s="239"/>
      <c r="AK297" s="239"/>
      <c r="AO297" s="240"/>
    </row>
    <row r="298" spans="14:41">
      <c r="N298" s="1"/>
      <c r="W298" s="1"/>
      <c r="X298" s="240"/>
      <c r="Y298" s="240"/>
      <c r="Z298" s="240"/>
      <c r="AA298" s="240"/>
      <c r="AB298" s="215"/>
      <c r="AC298" s="239"/>
      <c r="AD298" s="239"/>
      <c r="AE298" s="239"/>
      <c r="AF298" s="239"/>
      <c r="AG298" s="243"/>
      <c r="AI298" s="239"/>
      <c r="AJ298" s="239"/>
      <c r="AK298" s="239"/>
      <c r="AO298" s="240"/>
    </row>
    <row r="299" spans="14:41">
      <c r="N299" s="1"/>
      <c r="W299" s="1"/>
      <c r="X299" s="240"/>
      <c r="Y299" s="240"/>
      <c r="Z299" s="240"/>
      <c r="AA299" s="240"/>
      <c r="AB299" s="215"/>
      <c r="AC299" s="239"/>
      <c r="AD299" s="239"/>
      <c r="AE299" s="239"/>
      <c r="AF299" s="239"/>
      <c r="AG299" s="243"/>
      <c r="AI299" s="239"/>
      <c r="AJ299" s="239"/>
      <c r="AK299" s="239"/>
      <c r="AO299" s="240"/>
    </row>
    <row r="300" spans="14:41">
      <c r="N300" s="1"/>
      <c r="W300" s="1"/>
      <c r="X300" s="240"/>
      <c r="Y300" s="240"/>
      <c r="Z300" s="240"/>
      <c r="AA300" s="240"/>
      <c r="AB300" s="215"/>
      <c r="AC300" s="239"/>
      <c r="AD300" s="239"/>
      <c r="AE300" s="239"/>
      <c r="AF300" s="239"/>
      <c r="AG300" s="243"/>
      <c r="AI300" s="239"/>
      <c r="AJ300" s="239"/>
      <c r="AK300" s="239"/>
      <c r="AO300" s="240"/>
    </row>
    <row r="301" spans="14:41">
      <c r="N301" s="1"/>
      <c r="W301" s="1"/>
      <c r="X301" s="240"/>
      <c r="Y301" s="240"/>
      <c r="Z301" s="240"/>
      <c r="AA301" s="240"/>
      <c r="AB301" s="215"/>
      <c r="AC301" s="239"/>
      <c r="AD301" s="239"/>
      <c r="AE301" s="239"/>
      <c r="AF301" s="239"/>
      <c r="AG301" s="243"/>
      <c r="AI301" s="239"/>
      <c r="AJ301" s="239"/>
      <c r="AK301" s="239"/>
      <c r="AO301" s="240"/>
    </row>
    <row r="302" spans="14:41">
      <c r="N302" s="1"/>
      <c r="W302" s="1"/>
      <c r="X302" s="240"/>
      <c r="Y302" s="240"/>
      <c r="Z302" s="240"/>
      <c r="AA302" s="240"/>
      <c r="AB302" s="215"/>
      <c r="AC302" s="239"/>
      <c r="AD302" s="239"/>
      <c r="AE302" s="239"/>
      <c r="AF302" s="239"/>
      <c r="AG302" s="243"/>
      <c r="AI302" s="239"/>
      <c r="AJ302" s="239"/>
      <c r="AK302" s="239"/>
      <c r="AO302" s="240"/>
    </row>
    <row r="303" spans="14:41">
      <c r="N303" s="1"/>
      <c r="W303" s="1"/>
      <c r="X303" s="240"/>
      <c r="Y303" s="240"/>
      <c r="Z303" s="240"/>
      <c r="AA303" s="240"/>
      <c r="AB303" s="215"/>
      <c r="AC303" s="239"/>
      <c r="AD303" s="239"/>
      <c r="AE303" s="239"/>
      <c r="AF303" s="239"/>
      <c r="AG303" s="243"/>
      <c r="AI303" s="239"/>
      <c r="AJ303" s="239"/>
      <c r="AK303" s="239"/>
      <c r="AO303" s="240"/>
    </row>
    <row r="304" spans="14:41">
      <c r="N304" s="1"/>
      <c r="W304" s="1"/>
      <c r="X304" s="240"/>
      <c r="Y304" s="240"/>
      <c r="Z304" s="240"/>
      <c r="AA304" s="240"/>
      <c r="AB304" s="215"/>
      <c r="AC304" s="239"/>
      <c r="AD304" s="239"/>
      <c r="AE304" s="239"/>
      <c r="AF304" s="239"/>
      <c r="AG304" s="243"/>
      <c r="AI304" s="239"/>
      <c r="AJ304" s="239"/>
      <c r="AK304" s="239"/>
      <c r="AO304" s="240"/>
    </row>
    <row r="305" spans="14:41">
      <c r="N305" s="1"/>
      <c r="W305" s="1"/>
      <c r="X305" s="240"/>
      <c r="Y305" s="240"/>
      <c r="Z305" s="240"/>
      <c r="AA305" s="240"/>
      <c r="AB305" s="215"/>
      <c r="AC305" s="239"/>
      <c r="AD305" s="239"/>
      <c r="AE305" s="239"/>
      <c r="AF305" s="239"/>
      <c r="AG305" s="243"/>
      <c r="AI305" s="239"/>
      <c r="AJ305" s="239"/>
      <c r="AK305" s="239"/>
      <c r="AO305" s="240"/>
    </row>
    <row r="306" spans="14:41">
      <c r="N306" s="1"/>
      <c r="W306" s="1"/>
      <c r="X306" s="240"/>
      <c r="Y306" s="240"/>
      <c r="Z306" s="240"/>
      <c r="AA306" s="240"/>
      <c r="AB306" s="215"/>
      <c r="AC306" s="239"/>
      <c r="AD306" s="239"/>
      <c r="AE306" s="239"/>
      <c r="AF306" s="239"/>
      <c r="AG306" s="243"/>
      <c r="AI306" s="239"/>
      <c r="AJ306" s="239"/>
      <c r="AK306" s="239"/>
      <c r="AO306" s="240"/>
    </row>
    <row r="307" spans="14:41">
      <c r="N307" s="1"/>
      <c r="W307" s="1"/>
      <c r="X307" s="240"/>
      <c r="Y307" s="240"/>
      <c r="Z307" s="240"/>
      <c r="AA307" s="240"/>
      <c r="AB307" s="215"/>
      <c r="AC307" s="239"/>
      <c r="AD307" s="239"/>
      <c r="AE307" s="239"/>
      <c r="AF307" s="239"/>
      <c r="AG307" s="243"/>
      <c r="AI307" s="239"/>
      <c r="AJ307" s="239"/>
      <c r="AK307" s="239"/>
      <c r="AO307" s="240"/>
    </row>
    <row r="308" spans="14:41">
      <c r="N308" s="1"/>
      <c r="W308" s="1"/>
      <c r="X308" s="240"/>
      <c r="Y308" s="240"/>
      <c r="Z308" s="240"/>
      <c r="AA308" s="240"/>
      <c r="AB308" s="215"/>
      <c r="AC308" s="239"/>
      <c r="AD308" s="239"/>
      <c r="AE308" s="239"/>
      <c r="AF308" s="239"/>
      <c r="AG308" s="243"/>
      <c r="AI308" s="239"/>
      <c r="AJ308" s="239"/>
      <c r="AK308" s="239"/>
      <c r="AO308" s="240"/>
    </row>
    <row r="309" spans="14:41">
      <c r="N309" s="1"/>
      <c r="W309" s="1"/>
      <c r="X309" s="240"/>
      <c r="Y309" s="240"/>
      <c r="Z309" s="240"/>
      <c r="AA309" s="240"/>
      <c r="AB309" s="215"/>
      <c r="AC309" s="239"/>
      <c r="AD309" s="239"/>
      <c r="AE309" s="239"/>
      <c r="AF309" s="239"/>
      <c r="AG309" s="243"/>
      <c r="AI309" s="239"/>
      <c r="AJ309" s="239"/>
      <c r="AK309" s="239"/>
      <c r="AO309" s="240"/>
    </row>
    <row r="310" spans="14:41">
      <c r="N310" s="1"/>
      <c r="W310" s="1"/>
      <c r="X310" s="240"/>
      <c r="Y310" s="240"/>
      <c r="Z310" s="240"/>
      <c r="AA310" s="240"/>
      <c r="AB310" s="215"/>
      <c r="AC310" s="239"/>
      <c r="AD310" s="239"/>
      <c r="AE310" s="239"/>
      <c r="AF310" s="239"/>
      <c r="AG310" s="243"/>
      <c r="AI310" s="239"/>
      <c r="AJ310" s="239"/>
      <c r="AK310" s="239"/>
      <c r="AO310" s="240"/>
    </row>
    <row r="311" spans="14:41">
      <c r="N311" s="1"/>
      <c r="W311" s="1"/>
      <c r="X311" s="240"/>
      <c r="Y311" s="240"/>
      <c r="Z311" s="240"/>
      <c r="AA311" s="240"/>
      <c r="AB311" s="215"/>
      <c r="AC311" s="239"/>
      <c r="AD311" s="239"/>
      <c r="AE311" s="239"/>
      <c r="AF311" s="239"/>
      <c r="AG311" s="243"/>
      <c r="AI311" s="239"/>
      <c r="AJ311" s="239"/>
      <c r="AK311" s="239"/>
      <c r="AO311" s="240"/>
    </row>
    <row r="312" spans="14:41">
      <c r="N312" s="1"/>
      <c r="W312" s="1"/>
      <c r="X312" s="240"/>
      <c r="Y312" s="240"/>
      <c r="Z312" s="240"/>
      <c r="AA312" s="240"/>
      <c r="AB312" s="215"/>
      <c r="AC312" s="239"/>
      <c r="AD312" s="239"/>
      <c r="AE312" s="239"/>
      <c r="AF312" s="239"/>
      <c r="AG312" s="243"/>
      <c r="AI312" s="239"/>
      <c r="AJ312" s="239"/>
      <c r="AK312" s="239"/>
      <c r="AO312" s="240"/>
    </row>
    <row r="313" spans="14:41">
      <c r="N313" s="1"/>
      <c r="W313" s="1"/>
      <c r="X313" s="240"/>
      <c r="Y313" s="240"/>
      <c r="Z313" s="240"/>
      <c r="AA313" s="240"/>
      <c r="AB313" s="215"/>
      <c r="AC313" s="239"/>
      <c r="AD313" s="239"/>
      <c r="AE313" s="239"/>
      <c r="AF313" s="239"/>
      <c r="AG313" s="243"/>
      <c r="AI313" s="239"/>
      <c r="AJ313" s="239"/>
      <c r="AK313" s="239"/>
      <c r="AO313" s="240"/>
    </row>
    <row r="314" spans="14:41">
      <c r="N314" s="1"/>
      <c r="W314" s="1"/>
      <c r="X314" s="240"/>
      <c r="Y314" s="240"/>
      <c r="Z314" s="240"/>
      <c r="AA314" s="240"/>
      <c r="AB314" s="215"/>
      <c r="AC314" s="239"/>
      <c r="AD314" s="239"/>
      <c r="AE314" s="239"/>
      <c r="AF314" s="239"/>
      <c r="AG314" s="243"/>
      <c r="AI314" s="239"/>
      <c r="AJ314" s="239"/>
      <c r="AK314" s="239"/>
      <c r="AO314" s="240"/>
    </row>
    <row r="315" spans="14:41">
      <c r="N315" s="1"/>
      <c r="W315" s="1"/>
      <c r="X315" s="240"/>
      <c r="Y315" s="240"/>
      <c r="Z315" s="240"/>
      <c r="AA315" s="240"/>
      <c r="AB315" s="215"/>
      <c r="AC315" s="239"/>
      <c r="AD315" s="239"/>
      <c r="AE315" s="239"/>
      <c r="AF315" s="239"/>
      <c r="AG315" s="243"/>
      <c r="AI315" s="239"/>
      <c r="AJ315" s="239"/>
      <c r="AK315" s="239"/>
      <c r="AO315" s="240"/>
    </row>
    <row r="316" spans="14:41">
      <c r="N316" s="1"/>
      <c r="W316" s="1"/>
      <c r="X316" s="240"/>
      <c r="Y316" s="240"/>
      <c r="Z316" s="240"/>
      <c r="AA316" s="240"/>
      <c r="AB316" s="215"/>
      <c r="AC316" s="239"/>
      <c r="AD316" s="239"/>
      <c r="AE316" s="239"/>
      <c r="AF316" s="239"/>
      <c r="AG316" s="243"/>
      <c r="AI316" s="239"/>
      <c r="AJ316" s="239"/>
      <c r="AK316" s="239"/>
      <c r="AO316" s="240"/>
    </row>
    <row r="317" spans="14:41">
      <c r="N317" s="1"/>
      <c r="W317" s="1"/>
      <c r="X317" s="240"/>
      <c r="Y317" s="240"/>
      <c r="Z317" s="240"/>
      <c r="AA317" s="240"/>
      <c r="AB317" s="215"/>
      <c r="AC317" s="239"/>
      <c r="AD317" s="239"/>
      <c r="AE317" s="239"/>
      <c r="AF317" s="239"/>
      <c r="AG317" s="243"/>
      <c r="AI317" s="239"/>
      <c r="AJ317" s="239"/>
      <c r="AK317" s="239"/>
      <c r="AO317" s="240"/>
    </row>
    <row r="318" spans="14:41">
      <c r="N318" s="1"/>
      <c r="W318" s="1"/>
      <c r="X318" s="240"/>
      <c r="Y318" s="240"/>
      <c r="Z318" s="240"/>
      <c r="AA318" s="240"/>
      <c r="AB318" s="215"/>
      <c r="AC318" s="239"/>
      <c r="AD318" s="239"/>
      <c r="AE318" s="239"/>
      <c r="AF318" s="239"/>
      <c r="AG318" s="243"/>
      <c r="AI318" s="239"/>
      <c r="AJ318" s="239"/>
      <c r="AK318" s="239"/>
      <c r="AO318" s="240"/>
    </row>
    <row r="319" spans="14:41">
      <c r="N319" s="1"/>
      <c r="W319" s="1"/>
      <c r="X319" s="240"/>
      <c r="Y319" s="240"/>
      <c r="Z319" s="240"/>
      <c r="AA319" s="240"/>
      <c r="AB319" s="215"/>
      <c r="AC319" s="239"/>
      <c r="AD319" s="239"/>
      <c r="AE319" s="239"/>
      <c r="AF319" s="239"/>
      <c r="AG319" s="243"/>
      <c r="AI319" s="239"/>
      <c r="AJ319" s="239"/>
      <c r="AK319" s="239"/>
      <c r="AO319" s="240"/>
    </row>
    <row r="320" spans="14:41">
      <c r="N320" s="1"/>
      <c r="W320" s="1"/>
      <c r="X320" s="240"/>
      <c r="Y320" s="240"/>
      <c r="Z320" s="240"/>
      <c r="AA320" s="240"/>
      <c r="AB320" s="215"/>
      <c r="AC320" s="239"/>
      <c r="AD320" s="239"/>
      <c r="AE320" s="239"/>
      <c r="AF320" s="239"/>
      <c r="AG320" s="243"/>
      <c r="AI320" s="239"/>
      <c r="AJ320" s="239"/>
      <c r="AK320" s="239"/>
      <c r="AO320" s="240"/>
    </row>
    <row r="321" spans="14:41">
      <c r="N321" s="1"/>
      <c r="W321" s="1"/>
      <c r="X321" s="240"/>
      <c r="Y321" s="240"/>
      <c r="Z321" s="240"/>
      <c r="AA321" s="240"/>
      <c r="AB321" s="215"/>
      <c r="AC321" s="239"/>
      <c r="AD321" s="239"/>
      <c r="AE321" s="239"/>
      <c r="AF321" s="239"/>
      <c r="AG321" s="243"/>
      <c r="AI321" s="239"/>
      <c r="AJ321" s="239"/>
      <c r="AK321" s="239"/>
      <c r="AO321" s="240"/>
    </row>
    <row r="322" spans="14:41">
      <c r="N322" s="1"/>
      <c r="W322" s="1"/>
      <c r="X322" s="240"/>
      <c r="Y322" s="240"/>
      <c r="Z322" s="240"/>
      <c r="AA322" s="240"/>
      <c r="AB322" s="215"/>
      <c r="AC322" s="239"/>
      <c r="AD322" s="239"/>
      <c r="AE322" s="239"/>
      <c r="AF322" s="239"/>
      <c r="AG322" s="243"/>
      <c r="AI322" s="239"/>
      <c r="AJ322" s="239"/>
      <c r="AK322" s="239"/>
      <c r="AO322" s="240"/>
    </row>
    <row r="323" spans="14:41">
      <c r="N323" s="1"/>
      <c r="W323" s="1"/>
      <c r="X323" s="240"/>
      <c r="Y323" s="240"/>
      <c r="Z323" s="240"/>
      <c r="AA323" s="240"/>
      <c r="AB323" s="215"/>
      <c r="AC323" s="239"/>
      <c r="AD323" s="239"/>
      <c r="AE323" s="239"/>
      <c r="AF323" s="239"/>
      <c r="AG323" s="243"/>
      <c r="AI323" s="239"/>
      <c r="AJ323" s="239"/>
      <c r="AK323" s="239"/>
      <c r="AO323" s="240"/>
    </row>
    <row r="324" spans="14:41">
      <c r="N324" s="1"/>
      <c r="W324" s="1"/>
      <c r="X324" s="240"/>
      <c r="Y324" s="240"/>
      <c r="Z324" s="240"/>
      <c r="AA324" s="240"/>
      <c r="AB324" s="215"/>
      <c r="AC324" s="239"/>
      <c r="AD324" s="239"/>
      <c r="AE324" s="239"/>
      <c r="AF324" s="239"/>
      <c r="AG324" s="243"/>
      <c r="AI324" s="239"/>
      <c r="AJ324" s="239"/>
      <c r="AK324" s="239"/>
      <c r="AO324" s="240"/>
    </row>
    <row r="325" spans="14:41">
      <c r="N325" s="1"/>
      <c r="W325" s="1"/>
      <c r="X325" s="240"/>
      <c r="Y325" s="240"/>
      <c r="Z325" s="240"/>
      <c r="AA325" s="240"/>
      <c r="AB325" s="215"/>
      <c r="AC325" s="239"/>
      <c r="AD325" s="239"/>
      <c r="AE325" s="239"/>
      <c r="AF325" s="239"/>
      <c r="AG325" s="243"/>
      <c r="AI325" s="239"/>
      <c r="AJ325" s="239"/>
      <c r="AK325" s="239"/>
      <c r="AO325" s="240"/>
    </row>
    <row r="326" spans="14:41">
      <c r="N326" s="1"/>
      <c r="W326" s="1"/>
      <c r="X326" s="240"/>
      <c r="Y326" s="240"/>
      <c r="Z326" s="240"/>
      <c r="AA326" s="240"/>
      <c r="AB326" s="215"/>
      <c r="AC326" s="239"/>
      <c r="AD326" s="239"/>
      <c r="AE326" s="239"/>
      <c r="AF326" s="239"/>
      <c r="AG326" s="243"/>
      <c r="AI326" s="239"/>
      <c r="AJ326" s="239"/>
      <c r="AK326" s="239"/>
      <c r="AO326" s="240"/>
    </row>
    <row r="327" spans="14:41">
      <c r="N327" s="1"/>
      <c r="W327" s="1"/>
      <c r="X327" s="240"/>
      <c r="Y327" s="240"/>
      <c r="Z327" s="240"/>
      <c r="AA327" s="240"/>
      <c r="AB327" s="215"/>
      <c r="AC327" s="239"/>
      <c r="AD327" s="239"/>
      <c r="AE327" s="239"/>
      <c r="AF327" s="239"/>
      <c r="AG327" s="243"/>
      <c r="AI327" s="239"/>
      <c r="AJ327" s="239"/>
      <c r="AK327" s="239"/>
      <c r="AO327" s="240"/>
    </row>
    <row r="328" spans="14:41">
      <c r="N328" s="1"/>
      <c r="W328" s="1"/>
      <c r="X328" s="240"/>
      <c r="Y328" s="240"/>
      <c r="Z328" s="240"/>
      <c r="AA328" s="240"/>
      <c r="AB328" s="215"/>
      <c r="AC328" s="239"/>
      <c r="AD328" s="239"/>
      <c r="AE328" s="239"/>
      <c r="AF328" s="239"/>
      <c r="AG328" s="243"/>
      <c r="AI328" s="239"/>
      <c r="AJ328" s="239"/>
      <c r="AK328" s="239"/>
      <c r="AO328" s="240"/>
    </row>
    <row r="329" spans="14:41">
      <c r="N329" s="1"/>
      <c r="W329" s="1"/>
      <c r="X329" s="240"/>
      <c r="Y329" s="240"/>
      <c r="Z329" s="240"/>
      <c r="AA329" s="240"/>
      <c r="AB329" s="215"/>
      <c r="AC329" s="239"/>
      <c r="AD329" s="239"/>
      <c r="AE329" s="239"/>
      <c r="AF329" s="239"/>
      <c r="AG329" s="243"/>
      <c r="AI329" s="239"/>
      <c r="AJ329" s="239"/>
      <c r="AK329" s="239"/>
      <c r="AO329" s="240"/>
    </row>
    <row r="330" spans="14:41">
      <c r="N330" s="1"/>
      <c r="W330" s="1"/>
      <c r="X330" s="240"/>
      <c r="Y330" s="240"/>
      <c r="Z330" s="240"/>
      <c r="AA330" s="240"/>
      <c r="AB330" s="215"/>
      <c r="AC330" s="239"/>
      <c r="AD330" s="239"/>
      <c r="AE330" s="239"/>
      <c r="AF330" s="239"/>
      <c r="AG330" s="243"/>
      <c r="AI330" s="239"/>
      <c r="AJ330" s="239"/>
      <c r="AK330" s="239"/>
      <c r="AO330" s="240"/>
    </row>
    <row r="331" spans="14:41">
      <c r="N331" s="1"/>
      <c r="W331" s="1"/>
      <c r="X331" s="240"/>
      <c r="Y331" s="240"/>
      <c r="Z331" s="240"/>
      <c r="AA331" s="240"/>
      <c r="AB331" s="215"/>
      <c r="AC331" s="239"/>
      <c r="AD331" s="239"/>
      <c r="AE331" s="239"/>
      <c r="AF331" s="239"/>
      <c r="AG331" s="243"/>
      <c r="AI331" s="239"/>
      <c r="AJ331" s="239"/>
      <c r="AK331" s="239"/>
      <c r="AO331" s="240"/>
    </row>
    <row r="332" spans="14:41">
      <c r="N332" s="1"/>
      <c r="W332" s="1"/>
      <c r="X332" s="240"/>
      <c r="Y332" s="240"/>
      <c r="Z332" s="240"/>
      <c r="AA332" s="240"/>
      <c r="AB332" s="215"/>
      <c r="AC332" s="239"/>
      <c r="AD332" s="239"/>
      <c r="AE332" s="239"/>
      <c r="AF332" s="239"/>
      <c r="AG332" s="243"/>
      <c r="AI332" s="239"/>
      <c r="AJ332" s="239"/>
      <c r="AK332" s="239"/>
      <c r="AO332" s="240"/>
    </row>
    <row r="333" spans="14:41">
      <c r="N333" s="1"/>
      <c r="W333" s="1"/>
      <c r="X333" s="240"/>
      <c r="Y333" s="240"/>
      <c r="Z333" s="240"/>
      <c r="AA333" s="240"/>
      <c r="AB333" s="215"/>
      <c r="AC333" s="239"/>
      <c r="AD333" s="239"/>
      <c r="AE333" s="239"/>
      <c r="AF333" s="239"/>
      <c r="AG333" s="243"/>
      <c r="AI333" s="239"/>
      <c r="AJ333" s="239"/>
      <c r="AK333" s="239"/>
      <c r="AO333" s="240"/>
    </row>
    <row r="334" spans="14:41">
      <c r="N334" s="1"/>
      <c r="W334" s="1"/>
      <c r="X334" s="240"/>
      <c r="Y334" s="240"/>
      <c r="Z334" s="240"/>
      <c r="AA334" s="240"/>
      <c r="AB334" s="215"/>
      <c r="AC334" s="239"/>
      <c r="AD334" s="239"/>
      <c r="AE334" s="239"/>
      <c r="AF334" s="239"/>
      <c r="AG334" s="243"/>
      <c r="AI334" s="239"/>
      <c r="AJ334" s="239"/>
      <c r="AK334" s="239"/>
      <c r="AO334" s="240"/>
    </row>
    <row r="335" spans="14:41">
      <c r="N335" s="1"/>
      <c r="W335" s="1"/>
      <c r="X335" s="240"/>
      <c r="Y335" s="240"/>
      <c r="Z335" s="240"/>
      <c r="AA335" s="240"/>
      <c r="AB335" s="215"/>
      <c r="AC335" s="239"/>
      <c r="AD335" s="239"/>
      <c r="AE335" s="239"/>
      <c r="AF335" s="239"/>
      <c r="AG335" s="243"/>
      <c r="AI335" s="239"/>
      <c r="AJ335" s="239"/>
      <c r="AK335" s="239"/>
      <c r="AO335" s="240"/>
    </row>
    <row r="336" spans="14:41">
      <c r="N336" s="1"/>
      <c r="W336" s="1"/>
      <c r="X336" s="240"/>
      <c r="Y336" s="240"/>
      <c r="Z336" s="240"/>
      <c r="AA336" s="240"/>
      <c r="AB336" s="215"/>
      <c r="AC336" s="239"/>
      <c r="AD336" s="239"/>
      <c r="AE336" s="239"/>
      <c r="AF336" s="239"/>
      <c r="AG336" s="243"/>
      <c r="AI336" s="239"/>
      <c r="AJ336" s="239"/>
      <c r="AK336" s="239"/>
      <c r="AO336" s="240"/>
    </row>
    <row r="337" spans="14:41">
      <c r="N337" s="1"/>
      <c r="W337" s="1"/>
      <c r="X337" s="240"/>
      <c r="Y337" s="240"/>
      <c r="Z337" s="240"/>
      <c r="AA337" s="240"/>
      <c r="AB337" s="215"/>
      <c r="AC337" s="239"/>
      <c r="AD337" s="239"/>
      <c r="AE337" s="239"/>
      <c r="AF337" s="239"/>
      <c r="AG337" s="243"/>
      <c r="AI337" s="239"/>
      <c r="AJ337" s="239"/>
      <c r="AK337" s="239"/>
      <c r="AO337" s="240"/>
    </row>
    <row r="338" spans="14:41">
      <c r="N338" s="1"/>
      <c r="W338" s="1"/>
      <c r="X338" s="240"/>
      <c r="Y338" s="240"/>
      <c r="Z338" s="240"/>
      <c r="AA338" s="240"/>
      <c r="AB338" s="215"/>
      <c r="AC338" s="239"/>
      <c r="AD338" s="239"/>
      <c r="AE338" s="239"/>
      <c r="AF338" s="239"/>
      <c r="AG338" s="243"/>
      <c r="AI338" s="239"/>
      <c r="AJ338" s="239"/>
      <c r="AK338" s="239"/>
      <c r="AO338" s="240"/>
    </row>
    <row r="339" spans="14:41">
      <c r="N339" s="1"/>
      <c r="W339" s="1"/>
      <c r="X339" s="240"/>
      <c r="Y339" s="240"/>
      <c r="Z339" s="240"/>
      <c r="AA339" s="240"/>
      <c r="AB339" s="215"/>
      <c r="AC339" s="239"/>
      <c r="AD339" s="239"/>
      <c r="AE339" s="239"/>
      <c r="AF339" s="239"/>
      <c r="AG339" s="243"/>
      <c r="AI339" s="239"/>
      <c r="AJ339" s="239"/>
      <c r="AK339" s="239"/>
      <c r="AO339" s="240"/>
    </row>
    <row r="340" spans="14:41">
      <c r="N340" s="1"/>
      <c r="W340" s="1"/>
      <c r="X340" s="240"/>
      <c r="Y340" s="240"/>
      <c r="Z340" s="240"/>
      <c r="AA340" s="240"/>
      <c r="AB340" s="215"/>
      <c r="AC340" s="239"/>
      <c r="AD340" s="239"/>
      <c r="AE340" s="239"/>
      <c r="AF340" s="239"/>
      <c r="AG340" s="243"/>
      <c r="AI340" s="239"/>
      <c r="AJ340" s="239"/>
      <c r="AK340" s="239"/>
      <c r="AO340" s="240"/>
    </row>
    <row r="341" spans="14:41">
      <c r="N341" s="1"/>
      <c r="W341" s="1"/>
      <c r="X341" s="240"/>
      <c r="Y341" s="240"/>
      <c r="Z341" s="240"/>
      <c r="AA341" s="240"/>
      <c r="AB341" s="215"/>
      <c r="AC341" s="239"/>
      <c r="AD341" s="239"/>
      <c r="AE341" s="239"/>
      <c r="AF341" s="239"/>
      <c r="AG341" s="243"/>
      <c r="AI341" s="239"/>
      <c r="AJ341" s="239"/>
      <c r="AK341" s="239"/>
      <c r="AO341" s="240"/>
    </row>
    <row r="342" spans="14:41">
      <c r="N342" s="1"/>
      <c r="W342" s="1"/>
      <c r="X342" s="240"/>
      <c r="Y342" s="240"/>
      <c r="Z342" s="240"/>
      <c r="AA342" s="240"/>
      <c r="AB342" s="215"/>
      <c r="AC342" s="239"/>
      <c r="AD342" s="239"/>
      <c r="AE342" s="239"/>
      <c r="AF342" s="239"/>
      <c r="AG342" s="243"/>
      <c r="AI342" s="239"/>
      <c r="AJ342" s="239"/>
      <c r="AK342" s="239"/>
      <c r="AO342" s="240"/>
    </row>
    <row r="343" spans="14:41">
      <c r="N343" s="1"/>
      <c r="W343" s="1"/>
      <c r="X343" s="240"/>
      <c r="Y343" s="240"/>
      <c r="Z343" s="240"/>
      <c r="AA343" s="240"/>
      <c r="AB343" s="215"/>
      <c r="AC343" s="239"/>
      <c r="AD343" s="239"/>
      <c r="AE343" s="239"/>
      <c r="AF343" s="239"/>
      <c r="AG343" s="243"/>
      <c r="AI343" s="239"/>
      <c r="AJ343" s="239"/>
      <c r="AK343" s="239"/>
      <c r="AO343" s="240"/>
    </row>
    <row r="344" spans="14:41">
      <c r="N344" s="1"/>
      <c r="W344" s="1"/>
      <c r="X344" s="240"/>
      <c r="Y344" s="240"/>
      <c r="Z344" s="240"/>
      <c r="AA344" s="240"/>
      <c r="AB344" s="215"/>
      <c r="AC344" s="239"/>
      <c r="AD344" s="239"/>
      <c r="AE344" s="239"/>
      <c r="AF344" s="239"/>
      <c r="AG344" s="243"/>
      <c r="AI344" s="239"/>
      <c r="AJ344" s="239"/>
      <c r="AK344" s="239"/>
      <c r="AO344" s="240"/>
    </row>
    <row r="345" spans="14:41">
      <c r="N345" s="1"/>
      <c r="W345" s="1"/>
      <c r="X345" s="240"/>
      <c r="Y345" s="240"/>
      <c r="Z345" s="240"/>
      <c r="AA345" s="240"/>
      <c r="AB345" s="215"/>
      <c r="AC345" s="239"/>
      <c r="AD345" s="239"/>
      <c r="AE345" s="239"/>
      <c r="AF345" s="239"/>
      <c r="AG345" s="243"/>
      <c r="AI345" s="239"/>
      <c r="AJ345" s="239"/>
      <c r="AK345" s="239"/>
      <c r="AO345" s="240"/>
    </row>
    <row r="346" spans="14:41">
      <c r="N346" s="1"/>
      <c r="W346" s="1"/>
      <c r="X346" s="240"/>
      <c r="Y346" s="240"/>
      <c r="Z346" s="240"/>
      <c r="AA346" s="240"/>
      <c r="AB346" s="215"/>
      <c r="AC346" s="239"/>
      <c r="AD346" s="239"/>
      <c r="AE346" s="239"/>
      <c r="AF346" s="239"/>
      <c r="AG346" s="243"/>
      <c r="AI346" s="239"/>
      <c r="AJ346" s="239"/>
      <c r="AK346" s="239"/>
      <c r="AO346" s="240"/>
    </row>
    <row r="347" spans="14:41">
      <c r="N347" s="1"/>
      <c r="W347" s="1"/>
      <c r="X347" s="240"/>
      <c r="Y347" s="240"/>
      <c r="Z347" s="240"/>
      <c r="AA347" s="240"/>
      <c r="AB347" s="215"/>
      <c r="AC347" s="239"/>
      <c r="AD347" s="239"/>
      <c r="AE347" s="239"/>
      <c r="AF347" s="239"/>
      <c r="AG347" s="243"/>
      <c r="AI347" s="239"/>
      <c r="AJ347" s="239"/>
      <c r="AK347" s="239"/>
      <c r="AO347" s="240"/>
    </row>
    <row r="348" spans="14:41">
      <c r="N348" s="1"/>
      <c r="W348" s="1"/>
      <c r="X348" s="240"/>
      <c r="Y348" s="240"/>
      <c r="Z348" s="240"/>
      <c r="AA348" s="240"/>
      <c r="AB348" s="215"/>
      <c r="AC348" s="239"/>
      <c r="AD348" s="239"/>
      <c r="AE348" s="239"/>
      <c r="AF348" s="239"/>
      <c r="AG348" s="243"/>
      <c r="AI348" s="239"/>
      <c r="AJ348" s="239"/>
      <c r="AK348" s="239"/>
      <c r="AO348" s="240"/>
    </row>
    <row r="349" spans="14:41">
      <c r="N349" s="1"/>
      <c r="W349" s="1"/>
      <c r="X349" s="240"/>
      <c r="Y349" s="240"/>
      <c r="Z349" s="240"/>
      <c r="AA349" s="240"/>
      <c r="AB349" s="215"/>
      <c r="AC349" s="239"/>
      <c r="AD349" s="239"/>
      <c r="AE349" s="239"/>
      <c r="AF349" s="239"/>
      <c r="AG349" s="243"/>
      <c r="AI349" s="239"/>
      <c r="AJ349" s="239"/>
      <c r="AK349" s="239"/>
      <c r="AO349" s="240"/>
    </row>
    <row r="350" spans="14:41">
      <c r="N350" s="1"/>
      <c r="W350" s="1"/>
      <c r="X350" s="240"/>
      <c r="Y350" s="240"/>
      <c r="Z350" s="240"/>
      <c r="AA350" s="240"/>
      <c r="AB350" s="215"/>
      <c r="AC350" s="239"/>
      <c r="AD350" s="239"/>
      <c r="AE350" s="239"/>
      <c r="AF350" s="239"/>
      <c r="AG350" s="243"/>
      <c r="AI350" s="239"/>
      <c r="AJ350" s="239"/>
      <c r="AK350" s="239"/>
      <c r="AO350" s="240"/>
    </row>
    <row r="351" spans="14:41">
      <c r="N351" s="1"/>
      <c r="W351" s="1"/>
      <c r="X351" s="240"/>
      <c r="Y351" s="240"/>
      <c r="Z351" s="240"/>
      <c r="AA351" s="240"/>
      <c r="AB351" s="215"/>
      <c r="AC351" s="239"/>
      <c r="AD351" s="239"/>
      <c r="AE351" s="239"/>
      <c r="AF351" s="239"/>
      <c r="AG351" s="243"/>
      <c r="AI351" s="239"/>
      <c r="AJ351" s="239"/>
      <c r="AK351" s="239"/>
      <c r="AO351" s="240"/>
    </row>
    <row r="352" spans="14:41">
      <c r="N352" s="1"/>
      <c r="W352" s="1"/>
      <c r="X352" s="240"/>
      <c r="Y352" s="240"/>
      <c r="Z352" s="240"/>
      <c r="AA352" s="240"/>
      <c r="AB352" s="215"/>
      <c r="AC352" s="239"/>
      <c r="AD352" s="239"/>
      <c r="AE352" s="239"/>
      <c r="AF352" s="239"/>
      <c r="AG352" s="243"/>
      <c r="AI352" s="239"/>
      <c r="AJ352" s="239"/>
      <c r="AK352" s="239"/>
      <c r="AO352" s="240"/>
    </row>
    <row r="353" spans="14:41">
      <c r="N353" s="1"/>
      <c r="W353" s="1"/>
      <c r="X353" s="240"/>
      <c r="Y353" s="240"/>
      <c r="Z353" s="240"/>
      <c r="AA353" s="240"/>
      <c r="AB353" s="215"/>
      <c r="AC353" s="239"/>
      <c r="AD353" s="239"/>
      <c r="AE353" s="239"/>
      <c r="AF353" s="239"/>
      <c r="AG353" s="243"/>
      <c r="AI353" s="239"/>
      <c r="AJ353" s="239"/>
      <c r="AK353" s="239"/>
      <c r="AO353" s="240"/>
    </row>
    <row r="354" spans="14:41">
      <c r="N354" s="1"/>
      <c r="W354" s="1"/>
      <c r="X354" s="240"/>
      <c r="Y354" s="240"/>
      <c r="Z354" s="240"/>
      <c r="AA354" s="240"/>
      <c r="AB354" s="215"/>
      <c r="AC354" s="239"/>
      <c r="AD354" s="239"/>
      <c r="AE354" s="239"/>
      <c r="AF354" s="239"/>
      <c r="AG354" s="243"/>
      <c r="AI354" s="239"/>
      <c r="AJ354" s="239"/>
      <c r="AK354" s="239"/>
      <c r="AO354" s="240"/>
    </row>
    <row r="355" spans="14:41">
      <c r="N355" s="1"/>
      <c r="W355" s="1"/>
      <c r="X355" s="240"/>
      <c r="Y355" s="240"/>
      <c r="Z355" s="240"/>
      <c r="AA355" s="240"/>
      <c r="AB355" s="215"/>
      <c r="AC355" s="239"/>
      <c r="AD355" s="239"/>
      <c r="AE355" s="239"/>
      <c r="AF355" s="239"/>
      <c r="AG355" s="243"/>
      <c r="AI355" s="239"/>
      <c r="AJ355" s="239"/>
      <c r="AK355" s="239"/>
      <c r="AO355" s="240"/>
    </row>
    <row r="356" spans="14:41">
      <c r="N356" s="1"/>
      <c r="W356" s="1"/>
      <c r="X356" s="240"/>
      <c r="Y356" s="240"/>
      <c r="Z356" s="240"/>
      <c r="AA356" s="240"/>
      <c r="AB356" s="215"/>
      <c r="AC356" s="239"/>
      <c r="AD356" s="239"/>
      <c r="AE356" s="239"/>
      <c r="AF356" s="239"/>
      <c r="AG356" s="243"/>
      <c r="AI356" s="239"/>
      <c r="AJ356" s="239"/>
      <c r="AK356" s="239"/>
      <c r="AO356" s="240"/>
    </row>
    <row r="357" spans="14:41">
      <c r="N357" s="1"/>
      <c r="W357" s="1"/>
      <c r="X357" s="240"/>
      <c r="Y357" s="240"/>
      <c r="Z357" s="240"/>
      <c r="AA357" s="240"/>
      <c r="AB357" s="215"/>
      <c r="AC357" s="239"/>
      <c r="AD357" s="239"/>
      <c r="AE357" s="239"/>
      <c r="AF357" s="239"/>
      <c r="AG357" s="243"/>
      <c r="AI357" s="239"/>
      <c r="AJ357" s="239"/>
      <c r="AK357" s="239"/>
      <c r="AO357" s="240"/>
    </row>
    <row r="358" spans="14:41">
      <c r="N358" s="1"/>
      <c r="W358" s="1"/>
      <c r="X358" s="240"/>
      <c r="Y358" s="240"/>
      <c r="Z358" s="240"/>
      <c r="AA358" s="240"/>
      <c r="AB358" s="215"/>
      <c r="AC358" s="239"/>
      <c r="AD358" s="239"/>
      <c r="AE358" s="239"/>
      <c r="AF358" s="239"/>
      <c r="AG358" s="243"/>
      <c r="AI358" s="239"/>
      <c r="AJ358" s="239"/>
      <c r="AK358" s="239"/>
      <c r="AO358" s="240"/>
    </row>
    <row r="359" spans="14:41">
      <c r="N359" s="1"/>
      <c r="W359" s="1"/>
      <c r="X359" s="240"/>
      <c r="Y359" s="240"/>
      <c r="Z359" s="240"/>
      <c r="AA359" s="240"/>
      <c r="AB359" s="215"/>
      <c r="AC359" s="239"/>
      <c r="AD359" s="239"/>
      <c r="AE359" s="239"/>
      <c r="AF359" s="239"/>
      <c r="AG359" s="243"/>
      <c r="AI359" s="239"/>
      <c r="AJ359" s="239"/>
      <c r="AK359" s="239"/>
      <c r="AO359" s="240"/>
    </row>
    <row r="360" spans="14:41">
      <c r="N360" s="1"/>
      <c r="W360" s="1"/>
      <c r="X360" s="240"/>
      <c r="Y360" s="240"/>
      <c r="Z360" s="240"/>
      <c r="AA360" s="240"/>
      <c r="AB360" s="215"/>
      <c r="AC360" s="239"/>
      <c r="AD360" s="239"/>
      <c r="AE360" s="239"/>
      <c r="AF360" s="239"/>
      <c r="AG360" s="243"/>
      <c r="AI360" s="239"/>
      <c r="AJ360" s="239"/>
      <c r="AK360" s="239"/>
      <c r="AO360" s="240"/>
    </row>
    <row r="361" spans="14:41">
      <c r="N361" s="1"/>
      <c r="W361" s="1"/>
      <c r="X361" s="240"/>
      <c r="Y361" s="240"/>
      <c r="Z361" s="240"/>
      <c r="AA361" s="240"/>
      <c r="AB361" s="215"/>
      <c r="AC361" s="239"/>
      <c r="AD361" s="239"/>
      <c r="AE361" s="239"/>
      <c r="AF361" s="239"/>
      <c r="AG361" s="243"/>
      <c r="AI361" s="239"/>
      <c r="AJ361" s="239"/>
      <c r="AK361" s="239"/>
      <c r="AO361" s="240"/>
    </row>
    <row r="362" spans="14:41">
      <c r="N362" s="1"/>
      <c r="W362" s="1"/>
      <c r="X362" s="240"/>
      <c r="Y362" s="240"/>
      <c r="Z362" s="240"/>
      <c r="AA362" s="240"/>
      <c r="AB362" s="215"/>
      <c r="AC362" s="239"/>
      <c r="AD362" s="239"/>
      <c r="AE362" s="239"/>
      <c r="AF362" s="239"/>
      <c r="AG362" s="243"/>
      <c r="AI362" s="239"/>
      <c r="AJ362" s="239"/>
      <c r="AK362" s="239"/>
      <c r="AO362" s="240"/>
    </row>
    <row r="363" spans="14:41">
      <c r="N363" s="1"/>
      <c r="W363" s="1"/>
      <c r="X363" s="240"/>
      <c r="Y363" s="240"/>
      <c r="Z363" s="240"/>
      <c r="AA363" s="240"/>
      <c r="AB363" s="215"/>
      <c r="AC363" s="239"/>
      <c r="AD363" s="239"/>
      <c r="AE363" s="239"/>
      <c r="AF363" s="239"/>
      <c r="AG363" s="243"/>
      <c r="AI363" s="239"/>
      <c r="AJ363" s="239"/>
      <c r="AK363" s="239"/>
      <c r="AO363" s="240"/>
    </row>
    <row r="364" spans="14:41">
      <c r="N364" s="1"/>
      <c r="W364" s="1"/>
      <c r="X364" s="240"/>
      <c r="Y364" s="240"/>
      <c r="Z364" s="240"/>
      <c r="AA364" s="240"/>
      <c r="AB364" s="215"/>
      <c r="AC364" s="239"/>
      <c r="AD364" s="239"/>
      <c r="AE364" s="239"/>
      <c r="AF364" s="239"/>
      <c r="AG364" s="243"/>
      <c r="AI364" s="239"/>
      <c r="AJ364" s="239"/>
      <c r="AK364" s="239"/>
      <c r="AO364" s="240"/>
    </row>
    <row r="365" spans="14:41">
      <c r="N365" s="1"/>
      <c r="W365" s="1"/>
      <c r="X365" s="240"/>
      <c r="Y365" s="240"/>
      <c r="Z365" s="240"/>
      <c r="AA365" s="240"/>
      <c r="AB365" s="215"/>
      <c r="AC365" s="239"/>
      <c r="AD365" s="239"/>
      <c r="AE365" s="239"/>
      <c r="AF365" s="239"/>
      <c r="AG365" s="243"/>
      <c r="AI365" s="239"/>
      <c r="AJ365" s="239"/>
      <c r="AK365" s="239"/>
      <c r="AO365" s="240"/>
    </row>
    <row r="366" spans="14:41">
      <c r="N366" s="1"/>
      <c r="W366" s="1"/>
      <c r="X366" s="240"/>
      <c r="Y366" s="240"/>
      <c r="Z366" s="240"/>
      <c r="AA366" s="240"/>
      <c r="AB366" s="215"/>
      <c r="AC366" s="239"/>
      <c r="AD366" s="239"/>
      <c r="AE366" s="239"/>
      <c r="AF366" s="239"/>
      <c r="AG366" s="243"/>
      <c r="AI366" s="239"/>
      <c r="AJ366" s="239"/>
      <c r="AK366" s="239"/>
      <c r="AO366" s="240"/>
    </row>
    <row r="367" spans="14:41">
      <c r="N367" s="1"/>
      <c r="W367" s="1"/>
      <c r="X367" s="240"/>
      <c r="Y367" s="240"/>
      <c r="Z367" s="240"/>
      <c r="AA367" s="240"/>
      <c r="AB367" s="215"/>
      <c r="AC367" s="239"/>
      <c r="AD367" s="239"/>
      <c r="AE367" s="239"/>
      <c r="AF367" s="239"/>
      <c r="AG367" s="243"/>
      <c r="AI367" s="239"/>
      <c r="AJ367" s="239"/>
      <c r="AK367" s="239"/>
      <c r="AO367" s="240"/>
    </row>
    <row r="368" spans="14:41">
      <c r="N368" s="1"/>
      <c r="W368" s="1"/>
      <c r="X368" s="240"/>
      <c r="Y368" s="240"/>
      <c r="Z368" s="240"/>
      <c r="AA368" s="240"/>
      <c r="AB368" s="215"/>
      <c r="AC368" s="239"/>
      <c r="AD368" s="239"/>
      <c r="AE368" s="239"/>
      <c r="AF368" s="239"/>
      <c r="AG368" s="243"/>
      <c r="AI368" s="239"/>
      <c r="AJ368" s="239"/>
      <c r="AK368" s="239"/>
      <c r="AO368" s="240"/>
    </row>
    <row r="369" spans="14:41">
      <c r="N369" s="1"/>
      <c r="W369" s="1"/>
      <c r="X369" s="240"/>
      <c r="Y369" s="240"/>
      <c r="Z369" s="240"/>
      <c r="AA369" s="240"/>
      <c r="AB369" s="215"/>
      <c r="AC369" s="239"/>
      <c r="AD369" s="239"/>
      <c r="AE369" s="239"/>
      <c r="AF369" s="239"/>
      <c r="AG369" s="243"/>
      <c r="AI369" s="239"/>
      <c r="AJ369" s="239"/>
      <c r="AK369" s="239"/>
      <c r="AO369" s="240"/>
    </row>
    <row r="370" spans="14:41">
      <c r="N370" s="1"/>
      <c r="W370" s="1"/>
      <c r="X370" s="240"/>
      <c r="Y370" s="240"/>
      <c r="Z370" s="240"/>
      <c r="AA370" s="240"/>
      <c r="AB370" s="215"/>
      <c r="AC370" s="239"/>
      <c r="AD370" s="239"/>
      <c r="AE370" s="239"/>
      <c r="AF370" s="239"/>
      <c r="AG370" s="243"/>
      <c r="AI370" s="239"/>
      <c r="AJ370" s="239"/>
      <c r="AK370" s="239"/>
      <c r="AO370" s="240"/>
    </row>
    <row r="371" spans="14:41">
      <c r="N371" s="1"/>
      <c r="W371" s="1"/>
      <c r="X371" s="240"/>
      <c r="Y371" s="240"/>
      <c r="Z371" s="240"/>
      <c r="AA371" s="240"/>
      <c r="AB371" s="215"/>
      <c r="AC371" s="239"/>
      <c r="AD371" s="239"/>
      <c r="AE371" s="239"/>
      <c r="AF371" s="239"/>
      <c r="AG371" s="243"/>
      <c r="AI371" s="239"/>
      <c r="AJ371" s="239"/>
      <c r="AK371" s="239"/>
      <c r="AO371" s="240"/>
    </row>
    <row r="372" spans="14:41">
      <c r="N372" s="1"/>
      <c r="W372" s="1"/>
      <c r="X372" s="240"/>
      <c r="Y372" s="240"/>
      <c r="Z372" s="240"/>
      <c r="AA372" s="240"/>
      <c r="AB372" s="215"/>
      <c r="AC372" s="239"/>
      <c r="AD372" s="239"/>
      <c r="AE372" s="239"/>
      <c r="AF372" s="239"/>
      <c r="AG372" s="243"/>
      <c r="AI372" s="239"/>
      <c r="AJ372" s="239"/>
      <c r="AK372" s="239"/>
      <c r="AO372" s="240"/>
    </row>
    <row r="373" spans="14:41">
      <c r="N373" s="1"/>
      <c r="W373" s="1"/>
      <c r="X373" s="240"/>
      <c r="Y373" s="240"/>
      <c r="Z373" s="240"/>
      <c r="AA373" s="240"/>
      <c r="AB373" s="215"/>
      <c r="AC373" s="239"/>
      <c r="AD373" s="239"/>
      <c r="AE373" s="239"/>
      <c r="AF373" s="239"/>
      <c r="AG373" s="243"/>
      <c r="AI373" s="239"/>
      <c r="AJ373" s="239"/>
      <c r="AK373" s="239"/>
      <c r="AO373" s="240"/>
    </row>
    <row r="374" spans="14:41">
      <c r="N374" s="1"/>
      <c r="W374" s="1"/>
      <c r="X374" s="240"/>
      <c r="Y374" s="240"/>
      <c r="Z374" s="240"/>
      <c r="AA374" s="240"/>
      <c r="AB374" s="215"/>
      <c r="AC374" s="239"/>
      <c r="AD374" s="239"/>
      <c r="AE374" s="239"/>
      <c r="AF374" s="239"/>
      <c r="AG374" s="243"/>
      <c r="AI374" s="239"/>
      <c r="AJ374" s="239"/>
      <c r="AK374" s="239"/>
      <c r="AO374" s="240"/>
    </row>
    <row r="375" spans="14:41">
      <c r="N375" s="1"/>
      <c r="W375" s="1"/>
      <c r="X375" s="240"/>
      <c r="Y375" s="240"/>
      <c r="Z375" s="240"/>
      <c r="AA375" s="240"/>
      <c r="AB375" s="215"/>
      <c r="AC375" s="239"/>
      <c r="AD375" s="239"/>
      <c r="AE375" s="239"/>
      <c r="AF375" s="239"/>
      <c r="AG375" s="243"/>
      <c r="AI375" s="239"/>
      <c r="AJ375" s="239"/>
      <c r="AK375" s="239"/>
      <c r="AO375" s="240"/>
    </row>
    <row r="376" spans="14:41">
      <c r="N376" s="1"/>
      <c r="W376" s="1"/>
      <c r="X376" s="240"/>
      <c r="Y376" s="240"/>
      <c r="Z376" s="240"/>
      <c r="AA376" s="240"/>
      <c r="AB376" s="215"/>
      <c r="AC376" s="239"/>
      <c r="AD376" s="239"/>
      <c r="AE376" s="239"/>
      <c r="AF376" s="239"/>
      <c r="AG376" s="243"/>
      <c r="AI376" s="239"/>
      <c r="AJ376" s="239"/>
      <c r="AK376" s="239"/>
      <c r="AO376" s="240"/>
    </row>
    <row r="377" spans="14:41">
      <c r="N377" s="1"/>
      <c r="W377" s="1"/>
      <c r="X377" s="240"/>
      <c r="Y377" s="240"/>
      <c r="Z377" s="240"/>
      <c r="AA377" s="240"/>
      <c r="AB377" s="215"/>
      <c r="AC377" s="239"/>
      <c r="AD377" s="239"/>
      <c r="AE377" s="239"/>
      <c r="AF377" s="239"/>
      <c r="AG377" s="243"/>
      <c r="AI377" s="239"/>
      <c r="AJ377" s="239"/>
      <c r="AK377" s="239"/>
      <c r="AO377" s="240"/>
    </row>
    <row r="378" spans="14:41">
      <c r="N378" s="1"/>
      <c r="W378" s="1"/>
      <c r="X378" s="240"/>
      <c r="Y378" s="240"/>
      <c r="Z378" s="240"/>
      <c r="AA378" s="240"/>
      <c r="AB378" s="215"/>
      <c r="AC378" s="239"/>
      <c r="AD378" s="239"/>
      <c r="AE378" s="239"/>
      <c r="AF378" s="239"/>
      <c r="AG378" s="243"/>
      <c r="AI378" s="239"/>
      <c r="AJ378" s="239"/>
      <c r="AK378" s="239"/>
      <c r="AO378" s="240"/>
    </row>
    <row r="379" spans="14:41">
      <c r="N379" s="1"/>
      <c r="W379" s="1"/>
      <c r="X379" s="240"/>
      <c r="Y379" s="240"/>
      <c r="Z379" s="240"/>
      <c r="AA379" s="240"/>
      <c r="AB379" s="215"/>
      <c r="AC379" s="239"/>
      <c r="AD379" s="239"/>
      <c r="AE379" s="239"/>
      <c r="AF379" s="239"/>
      <c r="AG379" s="243"/>
      <c r="AI379" s="239"/>
      <c r="AJ379" s="239"/>
      <c r="AK379" s="239"/>
      <c r="AO379" s="240"/>
    </row>
    <row r="380" spans="14:41">
      <c r="N380" s="1"/>
      <c r="W380" s="1"/>
      <c r="X380" s="240"/>
      <c r="Y380" s="240"/>
      <c r="Z380" s="240"/>
      <c r="AA380" s="240"/>
      <c r="AB380" s="215"/>
      <c r="AC380" s="239"/>
      <c r="AD380" s="239"/>
      <c r="AE380" s="239"/>
      <c r="AF380" s="239"/>
      <c r="AG380" s="243"/>
      <c r="AI380" s="239"/>
      <c r="AJ380" s="239"/>
      <c r="AK380" s="239"/>
      <c r="AO380" s="240"/>
    </row>
    <row r="381" spans="14:41">
      <c r="N381" s="1"/>
      <c r="W381" s="1"/>
      <c r="X381" s="240"/>
      <c r="Y381" s="240"/>
      <c r="Z381" s="240"/>
      <c r="AA381" s="240"/>
      <c r="AB381" s="215"/>
      <c r="AC381" s="239"/>
      <c r="AD381" s="239"/>
      <c r="AE381" s="239"/>
      <c r="AF381" s="239"/>
      <c r="AG381" s="243"/>
      <c r="AI381" s="239"/>
      <c r="AJ381" s="239"/>
      <c r="AK381" s="239"/>
      <c r="AO381" s="240"/>
    </row>
    <row r="382" spans="14:41">
      <c r="N382" s="1"/>
      <c r="W382" s="1"/>
      <c r="X382" s="240"/>
      <c r="Y382" s="240"/>
      <c r="Z382" s="240"/>
      <c r="AA382" s="240"/>
      <c r="AB382" s="215"/>
      <c r="AC382" s="239"/>
      <c r="AD382" s="239"/>
      <c r="AE382" s="239"/>
      <c r="AF382" s="239"/>
      <c r="AG382" s="243"/>
      <c r="AI382" s="239"/>
      <c r="AJ382" s="239"/>
      <c r="AK382" s="239"/>
      <c r="AO382" s="240"/>
    </row>
    <row r="383" spans="14:41">
      <c r="N383" s="1"/>
      <c r="W383" s="1"/>
      <c r="X383" s="240"/>
      <c r="Y383" s="240"/>
      <c r="Z383" s="240"/>
      <c r="AA383" s="240"/>
      <c r="AB383" s="215"/>
      <c r="AC383" s="239"/>
      <c r="AD383" s="239"/>
      <c r="AE383" s="239"/>
      <c r="AF383" s="239"/>
      <c r="AG383" s="243"/>
      <c r="AI383" s="239"/>
      <c r="AJ383" s="239"/>
      <c r="AK383" s="239"/>
      <c r="AO383" s="240"/>
    </row>
    <row r="384" spans="14:41">
      <c r="N384" s="1"/>
      <c r="W384" s="1"/>
      <c r="X384" s="240"/>
      <c r="Y384" s="240"/>
      <c r="Z384" s="240"/>
      <c r="AA384" s="240"/>
      <c r="AB384" s="215"/>
      <c r="AC384" s="239"/>
      <c r="AD384" s="239"/>
      <c r="AE384" s="239"/>
      <c r="AF384" s="239"/>
      <c r="AG384" s="243"/>
      <c r="AI384" s="239"/>
      <c r="AJ384" s="239"/>
      <c r="AK384" s="239"/>
      <c r="AO384" s="240"/>
    </row>
    <row r="385" spans="14:41">
      <c r="N385" s="1"/>
      <c r="W385" s="1"/>
      <c r="X385" s="240"/>
      <c r="Y385" s="240"/>
      <c r="Z385" s="240"/>
      <c r="AA385" s="240"/>
      <c r="AB385" s="215"/>
      <c r="AC385" s="239"/>
      <c r="AD385" s="239"/>
      <c r="AE385" s="239"/>
      <c r="AF385" s="239"/>
      <c r="AG385" s="243"/>
      <c r="AI385" s="239"/>
      <c r="AJ385" s="239"/>
      <c r="AK385" s="239"/>
      <c r="AO385" s="240"/>
    </row>
    <row r="386" spans="14:41">
      <c r="N386" s="1"/>
      <c r="W386" s="1"/>
      <c r="X386" s="240"/>
      <c r="Y386" s="240"/>
      <c r="Z386" s="240"/>
      <c r="AA386" s="240"/>
      <c r="AB386" s="215"/>
      <c r="AC386" s="239"/>
      <c r="AD386" s="239"/>
      <c r="AE386" s="239"/>
      <c r="AF386" s="239"/>
      <c r="AG386" s="243"/>
      <c r="AI386" s="239"/>
      <c r="AJ386" s="239"/>
      <c r="AK386" s="239"/>
      <c r="AO386" s="240"/>
    </row>
    <row r="387" spans="14:41">
      <c r="N387" s="1"/>
      <c r="W387" s="1"/>
      <c r="X387" s="240"/>
      <c r="Y387" s="240"/>
      <c r="Z387" s="240"/>
      <c r="AA387" s="240"/>
      <c r="AB387" s="215"/>
      <c r="AC387" s="239"/>
      <c r="AD387" s="239"/>
      <c r="AE387" s="239"/>
      <c r="AF387" s="239"/>
      <c r="AG387" s="243"/>
      <c r="AI387" s="239"/>
      <c r="AJ387" s="239"/>
      <c r="AK387" s="239"/>
      <c r="AO387" s="240"/>
    </row>
    <row r="388" spans="14:41">
      <c r="N388" s="1"/>
      <c r="W388" s="1"/>
      <c r="X388" s="240"/>
      <c r="Y388" s="240"/>
      <c r="Z388" s="240"/>
      <c r="AA388" s="240"/>
      <c r="AB388" s="215"/>
      <c r="AC388" s="239"/>
      <c r="AD388" s="239"/>
      <c r="AE388" s="239"/>
      <c r="AF388" s="239"/>
      <c r="AG388" s="243"/>
      <c r="AI388" s="239"/>
      <c r="AJ388" s="239"/>
      <c r="AK388" s="239"/>
      <c r="AO388" s="240"/>
    </row>
    <row r="389" spans="14:41">
      <c r="N389" s="1"/>
      <c r="W389" s="1"/>
      <c r="X389" s="240"/>
      <c r="Y389" s="240"/>
      <c r="Z389" s="240"/>
      <c r="AA389" s="240"/>
      <c r="AB389" s="215"/>
      <c r="AC389" s="239"/>
      <c r="AD389" s="239"/>
      <c r="AE389" s="239"/>
      <c r="AF389" s="239"/>
      <c r="AG389" s="243"/>
      <c r="AI389" s="239"/>
      <c r="AJ389" s="239"/>
      <c r="AK389" s="239"/>
      <c r="AO389" s="240"/>
    </row>
    <row r="390" spans="14:41">
      <c r="N390" s="1"/>
      <c r="W390" s="1"/>
      <c r="X390" s="240"/>
      <c r="Y390" s="240"/>
      <c r="Z390" s="240"/>
      <c r="AA390" s="240"/>
      <c r="AB390" s="215"/>
      <c r="AC390" s="239"/>
      <c r="AD390" s="239"/>
      <c r="AE390" s="239"/>
      <c r="AF390" s="239"/>
      <c r="AG390" s="243"/>
      <c r="AI390" s="239"/>
      <c r="AJ390" s="239"/>
      <c r="AK390" s="239"/>
      <c r="AO390" s="240"/>
    </row>
    <row r="391" spans="14:41">
      <c r="N391" s="1"/>
      <c r="W391" s="1"/>
      <c r="X391" s="240"/>
      <c r="Y391" s="240"/>
      <c r="Z391" s="240"/>
      <c r="AA391" s="240"/>
      <c r="AB391" s="215"/>
      <c r="AC391" s="239"/>
      <c r="AD391" s="239"/>
      <c r="AE391" s="239"/>
      <c r="AF391" s="239"/>
      <c r="AG391" s="243"/>
      <c r="AI391" s="239"/>
      <c r="AJ391" s="239"/>
      <c r="AK391" s="239"/>
      <c r="AO391" s="240"/>
    </row>
    <row r="392" spans="14:41">
      <c r="N392" s="1"/>
      <c r="W392" s="1"/>
      <c r="X392" s="240"/>
      <c r="Y392" s="240"/>
      <c r="Z392" s="240"/>
      <c r="AA392" s="240"/>
      <c r="AB392" s="215"/>
      <c r="AC392" s="239"/>
      <c r="AD392" s="239"/>
      <c r="AE392" s="239"/>
      <c r="AF392" s="239"/>
      <c r="AG392" s="243"/>
      <c r="AI392" s="239"/>
      <c r="AJ392" s="239"/>
      <c r="AK392" s="239"/>
      <c r="AO392" s="240"/>
    </row>
    <row r="393" spans="14:41">
      <c r="N393" s="1"/>
      <c r="W393" s="1"/>
      <c r="X393" s="240"/>
      <c r="Y393" s="240"/>
      <c r="Z393" s="240"/>
      <c r="AA393" s="240"/>
      <c r="AB393" s="215"/>
      <c r="AC393" s="239"/>
      <c r="AD393" s="239"/>
      <c r="AE393" s="239"/>
      <c r="AF393" s="239"/>
      <c r="AG393" s="243"/>
      <c r="AI393" s="239"/>
      <c r="AJ393" s="239"/>
      <c r="AK393" s="239"/>
      <c r="AO393" s="240"/>
    </row>
    <row r="394" spans="14:41">
      <c r="N394" s="1"/>
      <c r="W394" s="1"/>
      <c r="X394" s="240"/>
      <c r="Y394" s="240"/>
      <c r="Z394" s="240"/>
      <c r="AA394" s="240"/>
      <c r="AB394" s="215"/>
      <c r="AC394" s="239"/>
      <c r="AD394" s="246"/>
      <c r="AE394" s="239"/>
      <c r="AF394" s="239"/>
      <c r="AG394" s="243"/>
      <c r="AI394" s="239"/>
      <c r="AJ394" s="239"/>
      <c r="AK394" s="239"/>
      <c r="AO394" s="240"/>
    </row>
    <row r="395" spans="14:41">
      <c r="N395" s="1"/>
      <c r="W395" s="1"/>
      <c r="X395" s="240"/>
      <c r="Y395" s="240"/>
      <c r="Z395" s="240"/>
      <c r="AA395" s="240"/>
      <c r="AB395" s="215"/>
      <c r="AC395" s="239"/>
      <c r="AD395" s="246"/>
      <c r="AE395" s="239"/>
      <c r="AF395" s="239"/>
      <c r="AG395" s="243"/>
      <c r="AI395" s="239"/>
      <c r="AJ395" s="239"/>
      <c r="AK395" s="239"/>
      <c r="AO395" s="240"/>
    </row>
    <row r="396" spans="14:41">
      <c r="N396" s="1"/>
      <c r="W396" s="1"/>
      <c r="X396" s="240"/>
      <c r="Y396" s="240"/>
      <c r="Z396" s="240"/>
      <c r="AA396" s="240"/>
      <c r="AB396" s="215"/>
      <c r="AC396" s="239"/>
      <c r="AD396" s="246"/>
      <c r="AE396" s="239"/>
      <c r="AF396" s="239"/>
      <c r="AG396" s="243"/>
      <c r="AI396" s="239"/>
      <c r="AJ396" s="239"/>
      <c r="AK396" s="239"/>
      <c r="AO396" s="240"/>
    </row>
    <row r="397" spans="14:41">
      <c r="N397" s="1"/>
      <c r="W397" s="1"/>
      <c r="X397" s="240"/>
      <c r="Y397" s="240"/>
      <c r="Z397" s="240"/>
      <c r="AA397" s="240"/>
      <c r="AB397" s="215"/>
      <c r="AC397" s="239"/>
      <c r="AD397" s="246"/>
      <c r="AE397" s="239"/>
      <c r="AF397" s="239"/>
      <c r="AG397" s="243"/>
      <c r="AI397" s="239"/>
      <c r="AJ397" s="239"/>
      <c r="AK397" s="239"/>
      <c r="AO397" s="240"/>
    </row>
    <row r="398" spans="14:41">
      <c r="N398" s="1"/>
      <c r="W398" s="1"/>
      <c r="X398" s="240"/>
      <c r="Y398" s="240"/>
      <c r="Z398" s="240"/>
      <c r="AA398" s="240"/>
      <c r="AB398" s="215"/>
      <c r="AC398" s="239"/>
      <c r="AD398" s="246"/>
      <c r="AE398" s="239"/>
      <c r="AF398" s="239"/>
      <c r="AG398" s="243"/>
      <c r="AI398" s="239"/>
      <c r="AJ398" s="239"/>
      <c r="AK398" s="239"/>
      <c r="AO398" s="240"/>
    </row>
    <row r="399" spans="14:41">
      <c r="N399" s="1"/>
      <c r="W399" s="1"/>
      <c r="X399" s="240"/>
      <c r="Y399" s="240"/>
      <c r="Z399" s="240"/>
      <c r="AA399" s="240"/>
      <c r="AB399" s="215"/>
      <c r="AC399" s="239"/>
      <c r="AD399" s="246"/>
      <c r="AE399" s="239"/>
      <c r="AF399" s="239"/>
      <c r="AG399" s="243"/>
      <c r="AI399" s="239"/>
      <c r="AJ399" s="239"/>
      <c r="AK399" s="239"/>
      <c r="AO399" s="240"/>
    </row>
    <row r="400" spans="14:41">
      <c r="N400" s="1"/>
      <c r="W400" s="1"/>
      <c r="X400" s="240"/>
      <c r="Y400" s="240"/>
      <c r="Z400" s="240"/>
      <c r="AA400" s="240"/>
      <c r="AB400" s="215"/>
      <c r="AC400" s="239"/>
      <c r="AD400" s="246"/>
      <c r="AE400" s="239"/>
      <c r="AF400" s="239"/>
      <c r="AG400" s="243"/>
      <c r="AI400" s="239"/>
      <c r="AJ400" s="239"/>
      <c r="AK400" s="239"/>
      <c r="AO400" s="240"/>
    </row>
    <row r="401" spans="14:41">
      <c r="N401" s="1"/>
      <c r="W401" s="1"/>
      <c r="X401" s="240"/>
      <c r="Y401" s="240"/>
      <c r="Z401" s="240"/>
      <c r="AA401" s="240"/>
      <c r="AB401" s="215"/>
      <c r="AC401" s="239"/>
      <c r="AD401" s="246"/>
      <c r="AE401" s="239"/>
      <c r="AF401" s="239"/>
      <c r="AG401" s="243"/>
      <c r="AI401" s="239"/>
      <c r="AJ401" s="239"/>
      <c r="AK401" s="239"/>
      <c r="AO401" s="240"/>
    </row>
    <row r="402" spans="14:41">
      <c r="N402" s="1"/>
      <c r="W402" s="1"/>
      <c r="X402" s="240"/>
      <c r="Y402" s="240"/>
      <c r="Z402" s="240"/>
      <c r="AA402" s="240"/>
      <c r="AB402" s="215"/>
      <c r="AC402" s="239"/>
      <c r="AD402" s="246"/>
      <c r="AE402" s="239"/>
      <c r="AF402" s="239"/>
      <c r="AG402" s="243"/>
      <c r="AI402" s="239"/>
      <c r="AJ402" s="239"/>
      <c r="AK402" s="239"/>
      <c r="AO402" s="240"/>
    </row>
    <row r="403" spans="14:41">
      <c r="N403" s="1"/>
      <c r="W403" s="1"/>
      <c r="X403" s="240"/>
      <c r="Y403" s="240"/>
      <c r="Z403" s="240"/>
      <c r="AA403" s="240"/>
      <c r="AB403" s="215"/>
      <c r="AC403" s="239"/>
      <c r="AD403" s="246"/>
      <c r="AE403" s="239"/>
      <c r="AF403" s="239"/>
      <c r="AG403" s="243"/>
      <c r="AI403" s="239"/>
      <c r="AJ403" s="239"/>
      <c r="AK403" s="239"/>
      <c r="AO403" s="240"/>
    </row>
    <row r="404" spans="14:41">
      <c r="N404" s="1"/>
      <c r="W404" s="1"/>
      <c r="X404" s="240"/>
      <c r="Y404" s="240"/>
      <c r="Z404" s="240"/>
      <c r="AA404" s="240"/>
      <c r="AB404" s="215"/>
      <c r="AC404" s="239"/>
      <c r="AD404" s="246"/>
      <c r="AE404" s="239"/>
      <c r="AF404" s="239"/>
      <c r="AG404" s="243"/>
      <c r="AI404" s="239"/>
      <c r="AJ404" s="239"/>
      <c r="AK404" s="239"/>
      <c r="AO404" s="240"/>
    </row>
    <row r="405" spans="14:41">
      <c r="N405" s="1"/>
      <c r="W405" s="1"/>
      <c r="X405" s="240"/>
      <c r="Y405" s="240"/>
      <c r="Z405" s="240"/>
      <c r="AA405" s="240"/>
      <c r="AB405" s="215"/>
      <c r="AC405" s="239"/>
      <c r="AD405" s="246"/>
      <c r="AE405" s="239"/>
      <c r="AF405" s="239"/>
      <c r="AG405" s="243"/>
      <c r="AI405" s="239"/>
      <c r="AJ405" s="239"/>
      <c r="AK405" s="239"/>
      <c r="AO405" s="240"/>
    </row>
    <row r="406" spans="14:41">
      <c r="N406" s="1"/>
      <c r="W406" s="1"/>
      <c r="X406" s="240"/>
      <c r="Y406" s="240"/>
      <c r="Z406" s="240"/>
      <c r="AA406" s="240"/>
      <c r="AB406" s="215"/>
      <c r="AC406" s="239"/>
      <c r="AD406" s="246"/>
      <c r="AE406" s="239"/>
      <c r="AF406" s="239"/>
      <c r="AG406" s="243"/>
      <c r="AI406" s="239"/>
      <c r="AJ406" s="239"/>
      <c r="AK406" s="239"/>
      <c r="AO406" s="240"/>
    </row>
    <row r="407" spans="14:41">
      <c r="N407" s="1"/>
      <c r="W407" s="1"/>
      <c r="X407" s="240"/>
      <c r="Y407" s="240"/>
      <c r="Z407" s="240"/>
      <c r="AA407" s="240"/>
      <c r="AB407" s="215"/>
      <c r="AC407" s="239"/>
      <c r="AD407" s="246"/>
      <c r="AE407" s="239"/>
      <c r="AF407" s="239"/>
      <c r="AG407" s="243"/>
      <c r="AI407" s="239"/>
      <c r="AJ407" s="239"/>
      <c r="AK407" s="239"/>
      <c r="AO407" s="240"/>
    </row>
    <row r="408" spans="14:41">
      <c r="N408" s="1"/>
      <c r="W408" s="1"/>
      <c r="X408" s="240"/>
      <c r="Y408" s="240"/>
      <c r="Z408" s="240"/>
      <c r="AA408" s="240"/>
      <c r="AB408" s="215"/>
      <c r="AC408" s="239"/>
      <c r="AD408" s="246"/>
      <c r="AE408" s="239"/>
      <c r="AF408" s="239"/>
      <c r="AG408" s="243"/>
      <c r="AI408" s="239"/>
      <c r="AJ408" s="239"/>
      <c r="AK408" s="239"/>
      <c r="AO408" s="240"/>
    </row>
    <row r="409" spans="14:41">
      <c r="N409" s="1"/>
      <c r="W409" s="1"/>
      <c r="X409" s="240"/>
      <c r="Y409" s="240"/>
      <c r="Z409" s="240"/>
      <c r="AA409" s="240"/>
      <c r="AB409" s="215"/>
      <c r="AC409" s="239"/>
      <c r="AD409" s="246"/>
      <c r="AE409" s="239"/>
      <c r="AF409" s="239"/>
      <c r="AG409" s="243"/>
      <c r="AI409" s="239"/>
      <c r="AJ409" s="239"/>
      <c r="AK409" s="239"/>
      <c r="AO409" s="240"/>
    </row>
    <row r="410" spans="14:41">
      <c r="N410" s="1"/>
      <c r="W410" s="1"/>
      <c r="X410" s="240"/>
      <c r="Y410" s="240"/>
      <c r="Z410" s="240"/>
      <c r="AA410" s="240"/>
      <c r="AB410" s="215"/>
      <c r="AC410" s="239"/>
      <c r="AD410" s="246"/>
      <c r="AE410" s="239"/>
      <c r="AF410" s="239"/>
      <c r="AG410" s="243"/>
      <c r="AI410" s="239"/>
      <c r="AJ410" s="239"/>
      <c r="AK410" s="239"/>
      <c r="AO410" s="240"/>
    </row>
    <row r="411" spans="14:41">
      <c r="N411" s="1"/>
      <c r="W411" s="1"/>
      <c r="X411" s="240"/>
      <c r="Y411" s="240"/>
      <c r="Z411" s="240"/>
      <c r="AA411" s="240"/>
      <c r="AB411" s="215"/>
      <c r="AC411" s="239"/>
      <c r="AD411" s="246"/>
      <c r="AE411" s="239"/>
      <c r="AF411" s="239"/>
      <c r="AG411" s="243"/>
      <c r="AI411" s="239"/>
      <c r="AJ411" s="239"/>
      <c r="AK411" s="239"/>
      <c r="AO411" s="240"/>
    </row>
    <row r="412" spans="14:41">
      <c r="N412" s="1"/>
      <c r="W412" s="1"/>
      <c r="X412" s="240"/>
      <c r="Y412" s="240"/>
      <c r="Z412" s="240"/>
      <c r="AA412" s="240"/>
      <c r="AB412" s="215"/>
      <c r="AC412" s="239"/>
      <c r="AD412" s="246"/>
      <c r="AE412" s="239"/>
      <c r="AF412" s="239"/>
      <c r="AG412" s="243"/>
      <c r="AI412" s="239"/>
      <c r="AJ412" s="239"/>
      <c r="AK412" s="239"/>
      <c r="AO412" s="240"/>
    </row>
    <row r="413" spans="14:41">
      <c r="N413" s="1"/>
      <c r="W413" s="1"/>
      <c r="X413" s="240"/>
      <c r="Y413" s="240"/>
      <c r="Z413" s="240"/>
      <c r="AA413" s="240"/>
      <c r="AB413" s="215"/>
      <c r="AC413" s="239"/>
      <c r="AD413" s="246"/>
      <c r="AE413" s="239"/>
      <c r="AF413" s="239"/>
      <c r="AG413" s="243"/>
      <c r="AI413" s="239"/>
      <c r="AJ413" s="239"/>
      <c r="AK413" s="239"/>
      <c r="AO413" s="240"/>
    </row>
    <row r="414" spans="14:41">
      <c r="N414" s="1"/>
      <c r="W414" s="1"/>
      <c r="X414" s="240"/>
      <c r="Y414" s="240"/>
      <c r="Z414" s="240"/>
      <c r="AA414" s="240"/>
      <c r="AB414" s="215"/>
      <c r="AC414" s="239"/>
      <c r="AD414" s="246"/>
      <c r="AE414" s="239"/>
      <c r="AF414" s="239"/>
      <c r="AG414" s="243"/>
      <c r="AI414" s="239"/>
      <c r="AJ414" s="239"/>
      <c r="AK414" s="239"/>
      <c r="AO414" s="240"/>
    </row>
    <row r="415" spans="14:41">
      <c r="N415" s="1"/>
      <c r="W415" s="1"/>
      <c r="X415" s="240"/>
      <c r="Y415" s="240"/>
      <c r="Z415" s="240"/>
      <c r="AA415" s="240"/>
      <c r="AB415" s="215"/>
      <c r="AC415" s="239"/>
      <c r="AD415" s="246"/>
      <c r="AE415" s="239"/>
      <c r="AF415" s="239"/>
      <c r="AG415" s="243"/>
      <c r="AI415" s="239"/>
      <c r="AJ415" s="239"/>
      <c r="AK415" s="239"/>
      <c r="AO415" s="240"/>
    </row>
    <row r="416" spans="14:41">
      <c r="N416" s="1"/>
      <c r="W416" s="1"/>
      <c r="X416" s="240"/>
      <c r="Y416" s="240"/>
      <c r="Z416" s="240"/>
      <c r="AA416" s="240"/>
      <c r="AB416" s="215"/>
      <c r="AC416" s="239"/>
      <c r="AD416" s="246"/>
      <c r="AE416" s="239"/>
      <c r="AF416" s="239"/>
      <c r="AG416" s="243"/>
      <c r="AI416" s="239"/>
      <c r="AJ416" s="239"/>
      <c r="AK416" s="239"/>
      <c r="AO416" s="240"/>
    </row>
    <row r="417" spans="14:41">
      <c r="N417" s="1"/>
      <c r="W417" s="1"/>
      <c r="X417" s="240"/>
      <c r="Y417" s="240"/>
      <c r="Z417" s="240"/>
      <c r="AA417" s="240"/>
      <c r="AB417" s="215"/>
      <c r="AC417" s="239"/>
      <c r="AD417" s="246"/>
      <c r="AE417" s="239"/>
      <c r="AF417" s="239"/>
      <c r="AG417" s="243"/>
      <c r="AI417" s="239"/>
      <c r="AJ417" s="239"/>
      <c r="AK417" s="239"/>
      <c r="AO417" s="240"/>
    </row>
    <row r="418" spans="14:41">
      <c r="N418" s="1"/>
      <c r="W418" s="1"/>
      <c r="X418" s="240"/>
      <c r="Y418" s="240"/>
      <c r="Z418" s="240"/>
      <c r="AA418" s="240"/>
      <c r="AB418" s="215"/>
      <c r="AC418" s="239"/>
      <c r="AD418" s="246"/>
      <c r="AE418" s="239"/>
      <c r="AF418" s="239"/>
      <c r="AG418" s="243"/>
      <c r="AI418" s="239"/>
      <c r="AJ418" s="239"/>
      <c r="AK418" s="239"/>
      <c r="AO418" s="240"/>
    </row>
    <row r="419" spans="14:41">
      <c r="N419" s="1"/>
      <c r="W419" s="1"/>
      <c r="X419" s="240"/>
      <c r="Y419" s="240"/>
      <c r="Z419" s="240"/>
      <c r="AA419" s="240"/>
      <c r="AB419" s="215"/>
      <c r="AC419" s="239"/>
      <c r="AD419" s="246"/>
      <c r="AE419" s="239"/>
      <c r="AF419" s="239"/>
      <c r="AG419" s="243"/>
      <c r="AI419" s="239"/>
      <c r="AJ419" s="239"/>
      <c r="AK419" s="239"/>
      <c r="AO419" s="240"/>
    </row>
    <row r="420" spans="14:41">
      <c r="N420" s="1"/>
      <c r="W420" s="1"/>
      <c r="X420" s="240"/>
      <c r="Y420" s="240"/>
      <c r="Z420" s="240"/>
      <c r="AA420" s="240"/>
      <c r="AB420" s="215"/>
      <c r="AC420" s="239"/>
      <c r="AD420" s="246"/>
      <c r="AE420" s="239"/>
      <c r="AF420" s="239"/>
      <c r="AG420" s="243"/>
      <c r="AI420" s="239"/>
      <c r="AJ420" s="239"/>
      <c r="AK420" s="239"/>
      <c r="AO420" s="240"/>
    </row>
    <row r="421" spans="14:41">
      <c r="N421" s="1"/>
      <c r="W421" s="1"/>
      <c r="X421" s="240"/>
      <c r="Y421" s="240"/>
      <c r="Z421" s="240"/>
      <c r="AA421" s="240"/>
      <c r="AB421" s="215"/>
      <c r="AC421" s="239"/>
      <c r="AD421" s="246"/>
      <c r="AE421" s="239"/>
      <c r="AF421" s="239"/>
      <c r="AG421" s="243"/>
      <c r="AI421" s="239"/>
      <c r="AJ421" s="239"/>
      <c r="AK421" s="239"/>
      <c r="AO421" s="240"/>
    </row>
    <row r="422" spans="14:41">
      <c r="N422" s="1"/>
      <c r="W422" s="1"/>
      <c r="X422" s="240"/>
      <c r="Y422" s="240"/>
      <c r="Z422" s="240"/>
      <c r="AA422" s="240"/>
      <c r="AB422" s="215"/>
      <c r="AC422" s="239"/>
      <c r="AD422" s="246"/>
      <c r="AE422" s="239"/>
      <c r="AF422" s="239"/>
      <c r="AG422" s="243"/>
      <c r="AI422" s="239"/>
      <c r="AJ422" s="239"/>
      <c r="AK422" s="239"/>
      <c r="AO422" s="240"/>
    </row>
    <row r="423" spans="14:41">
      <c r="N423" s="1"/>
      <c r="W423" s="1"/>
      <c r="X423" s="240"/>
      <c r="Y423" s="240"/>
      <c r="Z423" s="240"/>
      <c r="AA423" s="240"/>
      <c r="AB423" s="215"/>
      <c r="AC423" s="239"/>
      <c r="AD423" s="246"/>
      <c r="AE423" s="239"/>
      <c r="AF423" s="239"/>
      <c r="AG423" s="243"/>
      <c r="AI423" s="239"/>
      <c r="AJ423" s="239"/>
      <c r="AK423" s="239"/>
      <c r="AO423" s="240"/>
    </row>
    <row r="424" spans="14:41">
      <c r="N424" s="1"/>
      <c r="W424" s="1"/>
      <c r="X424" s="240"/>
      <c r="Y424" s="240"/>
      <c r="Z424" s="240"/>
      <c r="AA424" s="240"/>
      <c r="AB424" s="215"/>
      <c r="AC424" s="239"/>
      <c r="AD424" s="246"/>
      <c r="AE424" s="239"/>
      <c r="AF424" s="239"/>
      <c r="AG424" s="243"/>
      <c r="AI424" s="239"/>
      <c r="AJ424" s="239"/>
      <c r="AK424" s="239"/>
      <c r="AO424" s="240"/>
    </row>
    <row r="425" spans="14:41">
      <c r="N425" s="1"/>
      <c r="W425" s="1"/>
      <c r="X425" s="240"/>
      <c r="Y425" s="240"/>
      <c r="Z425" s="240"/>
      <c r="AA425" s="240"/>
      <c r="AB425" s="215"/>
      <c r="AC425" s="239"/>
      <c r="AD425" s="246"/>
      <c r="AE425" s="239"/>
      <c r="AF425" s="239"/>
      <c r="AG425" s="243"/>
      <c r="AI425" s="239"/>
      <c r="AJ425" s="239"/>
      <c r="AK425" s="239"/>
      <c r="AO425" s="240"/>
    </row>
    <row r="426" spans="14:41">
      <c r="N426" s="1"/>
      <c r="W426" s="1"/>
      <c r="X426" s="240"/>
      <c r="Y426" s="240"/>
      <c r="Z426" s="240"/>
      <c r="AA426" s="240"/>
      <c r="AB426" s="215"/>
      <c r="AC426" s="239"/>
      <c r="AD426" s="246"/>
      <c r="AE426" s="239"/>
      <c r="AF426" s="239"/>
      <c r="AG426" s="243"/>
      <c r="AI426" s="239"/>
      <c r="AJ426" s="239"/>
      <c r="AK426" s="239"/>
      <c r="AO426" s="240"/>
    </row>
    <row r="427" spans="14:41">
      <c r="N427" s="1"/>
      <c r="W427" s="1"/>
      <c r="X427" s="240"/>
      <c r="Y427" s="240"/>
      <c r="Z427" s="240"/>
      <c r="AA427" s="240"/>
      <c r="AB427" s="215"/>
      <c r="AC427" s="239"/>
      <c r="AD427" s="246"/>
      <c r="AE427" s="239"/>
      <c r="AF427" s="239"/>
      <c r="AG427" s="243"/>
      <c r="AI427" s="239"/>
      <c r="AJ427" s="239"/>
      <c r="AK427" s="239"/>
      <c r="AO427" s="240"/>
    </row>
    <row r="428" spans="14:41">
      <c r="N428" s="1"/>
      <c r="W428" s="1"/>
      <c r="X428" s="240"/>
      <c r="Y428" s="240"/>
      <c r="Z428" s="240"/>
      <c r="AA428" s="240"/>
      <c r="AB428" s="215"/>
      <c r="AC428" s="239"/>
      <c r="AD428" s="246"/>
      <c r="AE428" s="239"/>
      <c r="AF428" s="239"/>
      <c r="AG428" s="243"/>
      <c r="AI428" s="239"/>
      <c r="AJ428" s="239"/>
      <c r="AK428" s="239"/>
      <c r="AO428" s="240"/>
    </row>
    <row r="429" spans="14:41">
      <c r="N429" s="1"/>
      <c r="W429" s="1"/>
      <c r="X429" s="240"/>
      <c r="Y429" s="240"/>
      <c r="Z429" s="240"/>
      <c r="AA429" s="240"/>
      <c r="AB429" s="215"/>
      <c r="AC429" s="239"/>
      <c r="AD429" s="246"/>
      <c r="AE429" s="239"/>
      <c r="AF429" s="239"/>
      <c r="AG429" s="243"/>
      <c r="AI429" s="239"/>
      <c r="AJ429" s="239"/>
      <c r="AK429" s="239"/>
      <c r="AO429" s="240"/>
    </row>
    <row r="430" spans="14:41">
      <c r="N430" s="1"/>
      <c r="W430" s="1"/>
      <c r="X430" s="240"/>
      <c r="Y430" s="240"/>
      <c r="Z430" s="240"/>
      <c r="AA430" s="240"/>
      <c r="AB430" s="215"/>
      <c r="AC430" s="239"/>
      <c r="AD430" s="246"/>
      <c r="AE430" s="239"/>
      <c r="AF430" s="239"/>
      <c r="AG430" s="243"/>
      <c r="AI430" s="239"/>
      <c r="AJ430" s="239"/>
      <c r="AK430" s="239"/>
      <c r="AO430" s="240"/>
    </row>
    <row r="431" spans="14:41">
      <c r="N431" s="1"/>
      <c r="W431" s="1"/>
      <c r="X431" s="240"/>
      <c r="Y431" s="240"/>
      <c r="Z431" s="240"/>
      <c r="AA431" s="240"/>
      <c r="AB431" s="215"/>
      <c r="AC431" s="239"/>
      <c r="AD431" s="246"/>
      <c r="AE431" s="239"/>
      <c r="AF431" s="239"/>
      <c r="AG431" s="243"/>
      <c r="AI431" s="239"/>
      <c r="AJ431" s="239"/>
      <c r="AK431" s="239"/>
      <c r="AO431" s="240"/>
    </row>
    <row r="432" spans="14:41">
      <c r="N432" s="1"/>
      <c r="W432" s="1"/>
      <c r="X432" s="240"/>
      <c r="Y432" s="240"/>
      <c r="Z432" s="240"/>
      <c r="AA432" s="240"/>
      <c r="AB432" s="215"/>
      <c r="AC432" s="239"/>
      <c r="AD432" s="246"/>
      <c r="AE432" s="239"/>
      <c r="AF432" s="239"/>
      <c r="AG432" s="243"/>
      <c r="AI432" s="239"/>
      <c r="AJ432" s="239"/>
      <c r="AK432" s="239"/>
      <c r="AO432" s="240"/>
    </row>
    <row r="433" spans="14:41">
      <c r="N433" s="1"/>
      <c r="W433" s="1"/>
      <c r="X433" s="240"/>
      <c r="Y433" s="240"/>
      <c r="Z433" s="240"/>
      <c r="AA433" s="240"/>
      <c r="AB433" s="215"/>
      <c r="AC433" s="239"/>
      <c r="AD433" s="246"/>
      <c r="AE433" s="239"/>
      <c r="AF433" s="239"/>
      <c r="AG433" s="243"/>
      <c r="AI433" s="239"/>
      <c r="AJ433" s="239"/>
      <c r="AK433" s="239"/>
      <c r="AO433" s="240"/>
    </row>
    <row r="434" spans="14:41">
      <c r="N434" s="1"/>
      <c r="W434" s="1"/>
      <c r="X434" s="240"/>
      <c r="Y434" s="240"/>
      <c r="Z434" s="240"/>
      <c r="AA434" s="240"/>
      <c r="AB434" s="215"/>
      <c r="AC434" s="239"/>
      <c r="AD434" s="246"/>
      <c r="AE434" s="239"/>
      <c r="AF434" s="239"/>
      <c r="AG434" s="243"/>
      <c r="AI434" s="239"/>
      <c r="AJ434" s="239"/>
      <c r="AK434" s="239"/>
      <c r="AO434" s="240"/>
    </row>
    <row r="435" spans="14:41">
      <c r="N435" s="1"/>
      <c r="W435" s="1"/>
      <c r="X435" s="240"/>
      <c r="Y435" s="240"/>
      <c r="Z435" s="240"/>
      <c r="AA435" s="240"/>
      <c r="AB435" s="215"/>
      <c r="AC435" s="239"/>
      <c r="AD435" s="246"/>
      <c r="AE435" s="239"/>
      <c r="AF435" s="239"/>
      <c r="AG435" s="243"/>
      <c r="AI435" s="239"/>
      <c r="AJ435" s="239"/>
      <c r="AK435" s="239"/>
      <c r="AO435" s="240"/>
    </row>
    <row r="436" spans="14:41">
      <c r="N436" s="1"/>
      <c r="W436" s="1"/>
      <c r="X436" s="240"/>
      <c r="Y436" s="240"/>
      <c r="Z436" s="240"/>
      <c r="AA436" s="240"/>
      <c r="AB436" s="215"/>
      <c r="AC436" s="239"/>
      <c r="AD436" s="246"/>
      <c r="AE436" s="239"/>
      <c r="AF436" s="239"/>
      <c r="AG436" s="243"/>
      <c r="AI436" s="239"/>
      <c r="AJ436" s="239"/>
      <c r="AK436" s="239"/>
      <c r="AO436" s="240"/>
    </row>
    <row r="437" spans="14:41">
      <c r="N437" s="1"/>
      <c r="W437" s="1"/>
      <c r="X437" s="240"/>
      <c r="Y437" s="240"/>
      <c r="Z437" s="240"/>
      <c r="AA437" s="240"/>
      <c r="AB437" s="215"/>
      <c r="AC437" s="239"/>
      <c r="AD437" s="246"/>
      <c r="AE437" s="239"/>
      <c r="AF437" s="239"/>
      <c r="AG437" s="243"/>
      <c r="AI437" s="239"/>
      <c r="AJ437" s="239"/>
      <c r="AK437" s="239"/>
      <c r="AO437" s="240"/>
    </row>
    <row r="438" spans="14:41">
      <c r="N438" s="1"/>
      <c r="W438" s="1"/>
      <c r="X438" s="240"/>
      <c r="Y438" s="240"/>
      <c r="Z438" s="240"/>
      <c r="AA438" s="240"/>
      <c r="AB438" s="215"/>
      <c r="AC438" s="239"/>
      <c r="AD438" s="246"/>
      <c r="AE438" s="239"/>
      <c r="AF438" s="239"/>
      <c r="AG438" s="243"/>
      <c r="AI438" s="239"/>
      <c r="AJ438" s="239"/>
      <c r="AK438" s="239"/>
      <c r="AO438" s="240"/>
    </row>
    <row r="439" spans="14:41">
      <c r="N439" s="1"/>
      <c r="W439" s="1"/>
      <c r="X439" s="240"/>
      <c r="Y439" s="240"/>
      <c r="Z439" s="240"/>
      <c r="AA439" s="240"/>
      <c r="AB439" s="215"/>
      <c r="AC439" s="239"/>
      <c r="AD439" s="246"/>
      <c r="AE439" s="239"/>
      <c r="AF439" s="239"/>
      <c r="AG439" s="243"/>
      <c r="AI439" s="239"/>
      <c r="AJ439" s="239"/>
      <c r="AK439" s="239"/>
      <c r="AO439" s="240"/>
    </row>
    <row r="440" spans="14:41">
      <c r="N440" s="1"/>
      <c r="W440" s="1"/>
      <c r="X440" s="240"/>
      <c r="Y440" s="240"/>
      <c r="Z440" s="240"/>
      <c r="AA440" s="240"/>
      <c r="AB440" s="215"/>
      <c r="AC440" s="239"/>
      <c r="AD440" s="246"/>
      <c r="AE440" s="239"/>
      <c r="AF440" s="239"/>
      <c r="AG440" s="243"/>
      <c r="AI440" s="239"/>
      <c r="AJ440" s="239"/>
      <c r="AK440" s="239"/>
      <c r="AO440" s="240"/>
    </row>
    <row r="441" spans="14:41">
      <c r="N441" s="1"/>
      <c r="W441" s="1"/>
      <c r="X441" s="240"/>
      <c r="Y441" s="240"/>
      <c r="Z441" s="240"/>
      <c r="AA441" s="240"/>
      <c r="AB441" s="215"/>
      <c r="AC441" s="239"/>
      <c r="AD441" s="246"/>
      <c r="AE441" s="239"/>
      <c r="AF441" s="239"/>
      <c r="AG441" s="243"/>
      <c r="AI441" s="239"/>
      <c r="AJ441" s="239"/>
      <c r="AK441" s="239"/>
      <c r="AO441" s="240"/>
    </row>
    <row r="442" spans="14:41">
      <c r="N442" s="1"/>
      <c r="W442" s="1"/>
      <c r="X442" s="240"/>
      <c r="Y442" s="240"/>
      <c r="Z442" s="240"/>
      <c r="AA442" s="240"/>
      <c r="AB442" s="215"/>
      <c r="AC442" s="239"/>
      <c r="AD442" s="246"/>
      <c r="AE442" s="239"/>
      <c r="AF442" s="239"/>
      <c r="AG442" s="243"/>
      <c r="AI442" s="239"/>
      <c r="AJ442" s="239"/>
      <c r="AK442" s="239"/>
      <c r="AO442" s="240"/>
    </row>
    <row r="443" spans="14:41">
      <c r="N443" s="1"/>
      <c r="W443" s="1"/>
      <c r="X443" s="240"/>
      <c r="Y443" s="240"/>
      <c r="Z443" s="240"/>
      <c r="AA443" s="240"/>
      <c r="AB443" s="215"/>
      <c r="AC443" s="239"/>
      <c r="AD443" s="246"/>
      <c r="AE443" s="239"/>
      <c r="AF443" s="239"/>
      <c r="AG443" s="243"/>
      <c r="AI443" s="239"/>
      <c r="AJ443" s="239"/>
      <c r="AK443" s="239"/>
      <c r="AO443" s="240"/>
    </row>
    <row r="444" spans="14:41">
      <c r="N444" s="1"/>
      <c r="W444" s="1"/>
      <c r="X444" s="240"/>
      <c r="Y444" s="240"/>
      <c r="Z444" s="240"/>
      <c r="AA444" s="240"/>
      <c r="AB444" s="215"/>
      <c r="AC444" s="239"/>
      <c r="AD444" s="246"/>
      <c r="AE444" s="239"/>
      <c r="AF444" s="239"/>
      <c r="AG444" s="243"/>
      <c r="AI444" s="239"/>
      <c r="AJ444" s="239"/>
      <c r="AK444" s="239"/>
      <c r="AO444" s="240"/>
    </row>
    <row r="445" spans="14:41">
      <c r="N445" s="1"/>
      <c r="W445" s="1"/>
      <c r="X445" s="240"/>
      <c r="Y445" s="240"/>
      <c r="Z445" s="240"/>
      <c r="AA445" s="240"/>
      <c r="AB445" s="215"/>
      <c r="AC445" s="239"/>
      <c r="AD445" s="246"/>
      <c r="AE445" s="239"/>
      <c r="AF445" s="239"/>
      <c r="AG445" s="243"/>
      <c r="AI445" s="239"/>
      <c r="AJ445" s="239"/>
      <c r="AK445" s="239"/>
      <c r="AO445" s="240"/>
    </row>
    <row r="446" spans="14:41">
      <c r="N446" s="1"/>
      <c r="W446" s="1"/>
      <c r="X446" s="240"/>
      <c r="Y446" s="240"/>
      <c r="Z446" s="240"/>
      <c r="AA446" s="240"/>
      <c r="AB446" s="215"/>
      <c r="AC446" s="239"/>
      <c r="AD446" s="246"/>
      <c r="AE446" s="239"/>
      <c r="AF446" s="239"/>
      <c r="AG446" s="243"/>
      <c r="AI446" s="239"/>
      <c r="AJ446" s="239"/>
      <c r="AK446" s="239"/>
      <c r="AO446" s="240"/>
    </row>
    <row r="447" spans="14:41">
      <c r="N447" s="1"/>
      <c r="W447" s="1"/>
      <c r="X447" s="240"/>
      <c r="Y447" s="240"/>
      <c r="Z447" s="240"/>
      <c r="AA447" s="240"/>
      <c r="AB447" s="215"/>
      <c r="AC447" s="239"/>
      <c r="AD447" s="246"/>
      <c r="AE447" s="239"/>
      <c r="AF447" s="239"/>
      <c r="AG447" s="243"/>
      <c r="AI447" s="239"/>
      <c r="AJ447" s="239"/>
      <c r="AK447" s="239"/>
      <c r="AO447" s="240"/>
    </row>
    <row r="448" spans="14:41">
      <c r="N448" s="1"/>
      <c r="W448" s="1"/>
      <c r="X448" s="240"/>
      <c r="Y448" s="240"/>
      <c r="Z448" s="240"/>
      <c r="AA448" s="240"/>
      <c r="AB448" s="215"/>
      <c r="AC448" s="239"/>
      <c r="AD448" s="246"/>
      <c r="AE448" s="239"/>
      <c r="AF448" s="239"/>
      <c r="AG448" s="243"/>
      <c r="AI448" s="239"/>
      <c r="AJ448" s="239"/>
      <c r="AK448" s="239"/>
      <c r="AO448" s="240"/>
    </row>
    <row r="449" spans="14:41">
      <c r="N449" s="1"/>
      <c r="W449" s="1"/>
      <c r="X449" s="240"/>
      <c r="Y449" s="240"/>
      <c r="Z449" s="240"/>
      <c r="AA449" s="240"/>
      <c r="AB449" s="215"/>
      <c r="AC449" s="239"/>
      <c r="AD449" s="246"/>
      <c r="AE449" s="239"/>
      <c r="AF449" s="239"/>
      <c r="AG449" s="243"/>
      <c r="AI449" s="239"/>
      <c r="AJ449" s="239"/>
      <c r="AK449" s="239"/>
      <c r="AO449" s="240"/>
    </row>
    <row r="450" spans="14:41">
      <c r="N450" s="1"/>
      <c r="W450" s="1"/>
      <c r="X450" s="240"/>
      <c r="Y450" s="240"/>
      <c r="Z450" s="240"/>
      <c r="AA450" s="240"/>
      <c r="AB450" s="215"/>
      <c r="AC450" s="239"/>
      <c r="AD450" s="246"/>
      <c r="AE450" s="239"/>
      <c r="AF450" s="239"/>
      <c r="AG450" s="243"/>
      <c r="AI450" s="239"/>
      <c r="AJ450" s="239"/>
      <c r="AK450" s="239"/>
      <c r="AO450" s="240"/>
    </row>
    <row r="451" spans="14:41">
      <c r="N451" s="1"/>
      <c r="W451" s="1"/>
      <c r="X451" s="240"/>
      <c r="Y451" s="240"/>
      <c r="Z451" s="240"/>
      <c r="AA451" s="240"/>
      <c r="AB451" s="215"/>
      <c r="AC451" s="239"/>
      <c r="AD451" s="246"/>
      <c r="AE451" s="239"/>
      <c r="AF451" s="239"/>
      <c r="AG451" s="243"/>
      <c r="AI451" s="239"/>
      <c r="AJ451" s="239"/>
      <c r="AK451" s="239"/>
      <c r="AO451" s="240"/>
    </row>
    <row r="452" spans="14:41">
      <c r="N452" s="1"/>
      <c r="W452" s="1"/>
      <c r="X452" s="240"/>
      <c r="Y452" s="240"/>
      <c r="Z452" s="240"/>
      <c r="AA452" s="240"/>
      <c r="AB452" s="215"/>
      <c r="AC452" s="239"/>
      <c r="AD452" s="246"/>
      <c r="AE452" s="239"/>
      <c r="AF452" s="239"/>
      <c r="AG452" s="243"/>
      <c r="AI452" s="239"/>
      <c r="AJ452" s="239"/>
      <c r="AK452" s="239"/>
      <c r="AO452" s="240"/>
    </row>
    <row r="453" spans="14:41">
      <c r="N453" s="1"/>
      <c r="W453" s="1"/>
      <c r="X453" s="240"/>
      <c r="Y453" s="240"/>
      <c r="Z453" s="240"/>
      <c r="AA453" s="240"/>
      <c r="AB453" s="215"/>
      <c r="AC453" s="239"/>
      <c r="AD453" s="246"/>
      <c r="AE453" s="239"/>
      <c r="AF453" s="239"/>
      <c r="AG453" s="243"/>
      <c r="AI453" s="239"/>
      <c r="AJ453" s="239"/>
      <c r="AK453" s="239"/>
      <c r="AO453" s="240"/>
    </row>
    <row r="454" spans="14:41">
      <c r="N454" s="1"/>
      <c r="W454" s="1"/>
      <c r="X454" s="240"/>
      <c r="Y454" s="240"/>
      <c r="Z454" s="240"/>
      <c r="AA454" s="240"/>
      <c r="AB454" s="215"/>
      <c r="AC454" s="239"/>
      <c r="AD454" s="246"/>
      <c r="AE454" s="239"/>
      <c r="AF454" s="239"/>
      <c r="AG454" s="243"/>
      <c r="AI454" s="239"/>
      <c r="AJ454" s="239"/>
      <c r="AK454" s="239"/>
      <c r="AO454" s="240"/>
    </row>
    <row r="455" spans="14:41">
      <c r="N455" s="1"/>
      <c r="W455" s="1"/>
      <c r="X455" s="240"/>
      <c r="Y455" s="240"/>
      <c r="Z455" s="240"/>
      <c r="AA455" s="240"/>
      <c r="AB455" s="215"/>
      <c r="AC455" s="239"/>
      <c r="AD455" s="246"/>
      <c r="AE455" s="239"/>
      <c r="AF455" s="239"/>
      <c r="AG455" s="243"/>
      <c r="AI455" s="239"/>
      <c r="AJ455" s="239"/>
      <c r="AK455" s="239"/>
      <c r="AO455" s="240"/>
    </row>
    <row r="456" spans="14:41">
      <c r="N456" s="1"/>
      <c r="W456" s="1"/>
      <c r="X456" s="240"/>
      <c r="Y456" s="240"/>
      <c r="Z456" s="240"/>
      <c r="AA456" s="240"/>
      <c r="AB456" s="215"/>
      <c r="AC456" s="239"/>
      <c r="AD456" s="246"/>
      <c r="AE456" s="239"/>
      <c r="AF456" s="239"/>
      <c r="AG456" s="243"/>
      <c r="AI456" s="239"/>
      <c r="AJ456" s="239"/>
      <c r="AK456" s="239"/>
      <c r="AO456" s="240"/>
    </row>
    <row r="457" spans="14:41">
      <c r="N457" s="1"/>
      <c r="W457" s="1"/>
      <c r="X457" s="240"/>
      <c r="Y457" s="240"/>
      <c r="Z457" s="240"/>
      <c r="AA457" s="240"/>
      <c r="AB457" s="215"/>
      <c r="AC457" s="239"/>
      <c r="AD457" s="246"/>
      <c r="AE457" s="239"/>
      <c r="AF457" s="239"/>
      <c r="AG457" s="243"/>
      <c r="AI457" s="239"/>
      <c r="AJ457" s="239"/>
      <c r="AK457" s="239"/>
      <c r="AO457" s="240"/>
    </row>
    <row r="458" spans="14:41">
      <c r="N458" s="1"/>
      <c r="W458" s="1"/>
      <c r="X458" s="240"/>
      <c r="Y458" s="240"/>
      <c r="Z458" s="240"/>
      <c r="AA458" s="240"/>
      <c r="AB458" s="215"/>
      <c r="AC458" s="239"/>
      <c r="AD458" s="246"/>
      <c r="AE458" s="239"/>
      <c r="AF458" s="239"/>
      <c r="AG458" s="243"/>
      <c r="AI458" s="239"/>
      <c r="AJ458" s="239"/>
      <c r="AK458" s="239"/>
      <c r="AO458" s="240"/>
    </row>
    <row r="459" spans="14:41">
      <c r="N459" s="1"/>
      <c r="W459" s="1"/>
      <c r="X459" s="240"/>
      <c r="Y459" s="240"/>
      <c r="Z459" s="240"/>
      <c r="AA459" s="240"/>
      <c r="AB459" s="215"/>
      <c r="AC459" s="239"/>
      <c r="AD459" s="246"/>
      <c r="AE459" s="239"/>
      <c r="AF459" s="239"/>
      <c r="AG459" s="243"/>
      <c r="AI459" s="239"/>
      <c r="AJ459" s="239"/>
      <c r="AK459" s="239"/>
      <c r="AO459" s="240"/>
    </row>
    <row r="460" spans="14:41">
      <c r="N460" s="1"/>
      <c r="W460" s="1"/>
      <c r="X460" s="240"/>
      <c r="Y460" s="240"/>
      <c r="Z460" s="240"/>
      <c r="AA460" s="240"/>
      <c r="AB460" s="215"/>
      <c r="AC460" s="239"/>
      <c r="AD460" s="246"/>
      <c r="AE460" s="239"/>
      <c r="AF460" s="239"/>
      <c r="AG460" s="243"/>
      <c r="AI460" s="239"/>
      <c r="AJ460" s="239"/>
      <c r="AK460" s="239"/>
      <c r="AO460" s="240"/>
    </row>
    <row r="461" spans="14:41">
      <c r="N461" s="1"/>
      <c r="W461" s="1"/>
      <c r="X461" s="240"/>
      <c r="Y461" s="240"/>
      <c r="Z461" s="240"/>
      <c r="AA461" s="240"/>
      <c r="AB461" s="215"/>
      <c r="AC461" s="239"/>
      <c r="AD461" s="246"/>
      <c r="AE461" s="239"/>
      <c r="AF461" s="239"/>
      <c r="AG461" s="243"/>
      <c r="AI461" s="239"/>
      <c r="AJ461" s="239"/>
      <c r="AK461" s="239"/>
      <c r="AO461" s="240"/>
    </row>
    <row r="462" spans="14:41">
      <c r="N462" s="1"/>
      <c r="W462" s="1"/>
      <c r="X462" s="240"/>
      <c r="Y462" s="240"/>
      <c r="Z462" s="240"/>
      <c r="AA462" s="240"/>
      <c r="AB462" s="215"/>
      <c r="AC462" s="239"/>
      <c r="AD462" s="246"/>
      <c r="AE462" s="239"/>
      <c r="AF462" s="239"/>
      <c r="AG462" s="243"/>
      <c r="AI462" s="239"/>
      <c r="AJ462" s="239"/>
      <c r="AK462" s="239"/>
      <c r="AO462" s="240"/>
    </row>
    <row r="463" spans="14:41">
      <c r="N463" s="1"/>
      <c r="W463" s="1"/>
      <c r="X463" s="240"/>
      <c r="Y463" s="240"/>
      <c r="Z463" s="240"/>
      <c r="AA463" s="240"/>
      <c r="AB463" s="215"/>
      <c r="AC463" s="239"/>
      <c r="AD463" s="246"/>
      <c r="AE463" s="239"/>
      <c r="AF463" s="239"/>
      <c r="AG463" s="243"/>
      <c r="AI463" s="239"/>
      <c r="AJ463" s="239"/>
      <c r="AK463" s="239"/>
      <c r="AO463" s="240"/>
    </row>
    <row r="464" spans="14:41">
      <c r="N464" s="1"/>
      <c r="W464" s="1"/>
      <c r="X464" s="240"/>
      <c r="Y464" s="240"/>
      <c r="Z464" s="240"/>
      <c r="AA464" s="240"/>
      <c r="AB464" s="215"/>
      <c r="AC464" s="239"/>
      <c r="AD464" s="246"/>
      <c r="AE464" s="239"/>
      <c r="AF464" s="239"/>
      <c r="AG464" s="243"/>
      <c r="AI464" s="239"/>
      <c r="AJ464" s="239"/>
      <c r="AK464" s="239"/>
      <c r="AO464" s="240"/>
    </row>
    <row r="465" spans="14:41">
      <c r="N465" s="1"/>
      <c r="W465" s="1"/>
      <c r="X465" s="240"/>
      <c r="Y465" s="240"/>
      <c r="Z465" s="240"/>
      <c r="AA465" s="240"/>
      <c r="AB465" s="215"/>
      <c r="AC465" s="239"/>
      <c r="AD465" s="246"/>
      <c r="AE465" s="239"/>
      <c r="AF465" s="239"/>
      <c r="AG465" s="243"/>
      <c r="AI465" s="239"/>
      <c r="AJ465" s="239"/>
      <c r="AK465" s="239"/>
      <c r="AO465" s="240"/>
    </row>
    <row r="466" spans="14:41">
      <c r="N466" s="1"/>
      <c r="W466" s="1"/>
      <c r="X466" s="240"/>
      <c r="Y466" s="240"/>
      <c r="Z466" s="240"/>
      <c r="AA466" s="240"/>
      <c r="AB466" s="215"/>
      <c r="AC466" s="239"/>
      <c r="AD466" s="246"/>
      <c r="AE466" s="239"/>
      <c r="AF466" s="239"/>
      <c r="AG466" s="243"/>
      <c r="AI466" s="239"/>
      <c r="AJ466" s="239"/>
      <c r="AK466" s="239"/>
      <c r="AO466" s="240"/>
    </row>
    <row r="467" spans="14:41">
      <c r="N467" s="1"/>
      <c r="W467" s="1"/>
      <c r="X467" s="240"/>
      <c r="Y467" s="240"/>
      <c r="Z467" s="240"/>
      <c r="AA467" s="240"/>
      <c r="AB467" s="215"/>
      <c r="AC467" s="239"/>
      <c r="AD467" s="246"/>
      <c r="AE467" s="239"/>
      <c r="AF467" s="239"/>
      <c r="AG467" s="243"/>
      <c r="AI467" s="239"/>
      <c r="AJ467" s="239"/>
      <c r="AK467" s="239"/>
      <c r="AO467" s="240"/>
    </row>
    <row r="468" spans="14:41">
      <c r="N468" s="1"/>
      <c r="W468" s="1"/>
      <c r="X468" s="240"/>
      <c r="Y468" s="240"/>
      <c r="Z468" s="240"/>
      <c r="AA468" s="240"/>
      <c r="AB468" s="215"/>
      <c r="AC468" s="239"/>
      <c r="AD468" s="246"/>
      <c r="AE468" s="239"/>
      <c r="AF468" s="239"/>
      <c r="AG468" s="243"/>
      <c r="AI468" s="239"/>
      <c r="AJ468" s="239"/>
      <c r="AK468" s="239"/>
      <c r="AO468" s="240"/>
    </row>
    <row r="469" spans="14:41">
      <c r="N469" s="1"/>
      <c r="W469" s="1"/>
      <c r="X469" s="240"/>
      <c r="Y469" s="240"/>
      <c r="Z469" s="240"/>
      <c r="AA469" s="240"/>
      <c r="AB469" s="215"/>
      <c r="AC469" s="239"/>
      <c r="AD469" s="246"/>
      <c r="AE469" s="239"/>
      <c r="AF469" s="239"/>
      <c r="AG469" s="243"/>
      <c r="AI469" s="239"/>
      <c r="AJ469" s="239"/>
      <c r="AK469" s="239"/>
      <c r="AO469" s="240"/>
    </row>
    <row r="470" spans="14:41">
      <c r="N470" s="1"/>
      <c r="W470" s="1"/>
      <c r="X470" s="240"/>
      <c r="Y470" s="240"/>
      <c r="Z470" s="240"/>
      <c r="AA470" s="240"/>
      <c r="AB470" s="215"/>
      <c r="AC470" s="239"/>
      <c r="AD470" s="246"/>
      <c r="AE470" s="239"/>
      <c r="AF470" s="239"/>
      <c r="AG470" s="243"/>
      <c r="AI470" s="239"/>
      <c r="AJ470" s="239"/>
      <c r="AK470" s="239"/>
      <c r="AO470" s="240"/>
    </row>
    <row r="471" spans="14:41">
      <c r="N471" s="1"/>
      <c r="W471" s="1"/>
      <c r="X471" s="240"/>
      <c r="Y471" s="240"/>
      <c r="Z471" s="240"/>
      <c r="AA471" s="240"/>
      <c r="AB471" s="215"/>
      <c r="AC471" s="239"/>
      <c r="AD471" s="246"/>
      <c r="AE471" s="239"/>
      <c r="AF471" s="239"/>
      <c r="AG471" s="243"/>
      <c r="AI471" s="239"/>
      <c r="AJ471" s="239"/>
      <c r="AK471" s="239"/>
      <c r="AO471" s="240"/>
    </row>
    <row r="472" spans="14:41">
      <c r="N472" s="1"/>
      <c r="W472" s="1"/>
      <c r="X472" s="240"/>
      <c r="Y472" s="240"/>
      <c r="Z472" s="240"/>
      <c r="AA472" s="240"/>
      <c r="AB472" s="215"/>
      <c r="AC472" s="239"/>
      <c r="AD472" s="246"/>
      <c r="AE472" s="239"/>
      <c r="AF472" s="239"/>
      <c r="AG472" s="243"/>
      <c r="AI472" s="239"/>
      <c r="AJ472" s="239"/>
      <c r="AK472" s="239"/>
      <c r="AO472" s="240"/>
    </row>
    <row r="473" spans="14:41">
      <c r="N473" s="1"/>
      <c r="W473" s="1"/>
      <c r="X473" s="240"/>
      <c r="Y473" s="240"/>
      <c r="Z473" s="240"/>
      <c r="AA473" s="240"/>
      <c r="AB473" s="215"/>
      <c r="AC473" s="239"/>
      <c r="AD473" s="246"/>
      <c r="AE473" s="239"/>
      <c r="AF473" s="239"/>
      <c r="AG473" s="243"/>
      <c r="AI473" s="239"/>
      <c r="AJ473" s="239"/>
      <c r="AK473" s="239"/>
      <c r="AO473" s="240"/>
    </row>
    <row r="474" spans="14:41">
      <c r="N474" s="1"/>
      <c r="W474" s="1"/>
      <c r="X474" s="240"/>
      <c r="Y474" s="240"/>
      <c r="Z474" s="240"/>
      <c r="AA474" s="240"/>
      <c r="AB474" s="215"/>
      <c r="AC474" s="239"/>
      <c r="AD474" s="246"/>
      <c r="AE474" s="239"/>
      <c r="AF474" s="239"/>
      <c r="AG474" s="243"/>
      <c r="AI474" s="239"/>
      <c r="AJ474" s="239"/>
      <c r="AK474" s="239"/>
      <c r="AO474" s="240"/>
    </row>
    <row r="475" spans="14:41">
      <c r="N475" s="1"/>
      <c r="W475" s="1"/>
      <c r="X475" s="240"/>
      <c r="Y475" s="240"/>
      <c r="Z475" s="240"/>
      <c r="AA475" s="240"/>
      <c r="AB475" s="215"/>
      <c r="AC475" s="239"/>
      <c r="AD475" s="246"/>
      <c r="AE475" s="239"/>
      <c r="AF475" s="239"/>
      <c r="AG475" s="243"/>
      <c r="AI475" s="239"/>
      <c r="AJ475" s="239"/>
      <c r="AK475" s="239"/>
      <c r="AO475" s="240"/>
    </row>
    <row r="476" spans="14:41">
      <c r="N476" s="1"/>
      <c r="W476" s="1"/>
      <c r="X476" s="240"/>
      <c r="Y476" s="240"/>
      <c r="Z476" s="240"/>
      <c r="AA476" s="240"/>
      <c r="AB476" s="215"/>
      <c r="AC476" s="239"/>
      <c r="AD476" s="246"/>
      <c r="AE476" s="239"/>
      <c r="AF476" s="239"/>
      <c r="AG476" s="243"/>
      <c r="AI476" s="239"/>
      <c r="AJ476" s="239"/>
      <c r="AK476" s="239"/>
      <c r="AO476" s="240"/>
    </row>
    <row r="477" spans="14:41">
      <c r="N477" s="1"/>
      <c r="W477" s="1"/>
      <c r="X477" s="240"/>
      <c r="Y477" s="240"/>
      <c r="Z477" s="240"/>
      <c r="AA477" s="240"/>
      <c r="AB477" s="215"/>
      <c r="AC477" s="239"/>
      <c r="AD477" s="246"/>
      <c r="AE477" s="239"/>
      <c r="AF477" s="239"/>
      <c r="AG477" s="243"/>
      <c r="AI477" s="239"/>
      <c r="AJ477" s="239"/>
      <c r="AK477" s="239"/>
      <c r="AO477" s="240"/>
    </row>
    <row r="478" spans="14:41">
      <c r="N478" s="1"/>
      <c r="W478" s="1"/>
      <c r="X478" s="240"/>
      <c r="Y478" s="240"/>
      <c r="Z478" s="240"/>
      <c r="AA478" s="240"/>
      <c r="AB478" s="215"/>
      <c r="AC478" s="239"/>
      <c r="AD478" s="246"/>
      <c r="AE478" s="239"/>
      <c r="AF478" s="239"/>
      <c r="AG478" s="243"/>
      <c r="AI478" s="239"/>
      <c r="AJ478" s="239"/>
      <c r="AK478" s="239"/>
      <c r="AO478" s="240"/>
    </row>
    <row r="479" spans="14:41">
      <c r="N479" s="1"/>
      <c r="W479" s="1"/>
      <c r="X479" s="240"/>
      <c r="Y479" s="240"/>
      <c r="Z479" s="240"/>
      <c r="AA479" s="240"/>
      <c r="AB479" s="215"/>
      <c r="AC479" s="239"/>
      <c r="AD479" s="246"/>
      <c r="AE479" s="239"/>
      <c r="AF479" s="239"/>
      <c r="AG479" s="243"/>
      <c r="AI479" s="239"/>
      <c r="AJ479" s="239"/>
      <c r="AK479" s="239"/>
      <c r="AO479" s="240"/>
    </row>
    <row r="480" spans="14:41">
      <c r="N480" s="1"/>
      <c r="W480" s="1"/>
      <c r="X480" s="240"/>
      <c r="Y480" s="240"/>
      <c r="Z480" s="240"/>
      <c r="AA480" s="240"/>
      <c r="AB480" s="215"/>
      <c r="AC480" s="239"/>
      <c r="AD480" s="246"/>
      <c r="AE480" s="239"/>
      <c r="AF480" s="239"/>
      <c r="AG480" s="243"/>
      <c r="AI480" s="239"/>
      <c r="AJ480" s="239"/>
      <c r="AK480" s="239"/>
      <c r="AO480" s="240"/>
    </row>
    <row r="481" spans="14:41">
      <c r="N481" s="1"/>
      <c r="W481" s="1"/>
      <c r="X481" s="240"/>
      <c r="Y481" s="240"/>
      <c r="Z481" s="240"/>
      <c r="AA481" s="240"/>
      <c r="AB481" s="215"/>
      <c r="AC481" s="239"/>
      <c r="AD481" s="246"/>
      <c r="AE481" s="239"/>
      <c r="AF481" s="239"/>
      <c r="AG481" s="243"/>
      <c r="AI481" s="239"/>
      <c r="AJ481" s="239"/>
      <c r="AK481" s="239"/>
      <c r="AO481" s="240"/>
    </row>
    <row r="482" spans="14:41">
      <c r="N482" s="1"/>
      <c r="W482" s="1"/>
      <c r="X482" s="240"/>
      <c r="Y482" s="240"/>
      <c r="Z482" s="240"/>
      <c r="AA482" s="240"/>
      <c r="AB482" s="215"/>
      <c r="AC482" s="239"/>
      <c r="AD482" s="246"/>
      <c r="AE482" s="239"/>
      <c r="AF482" s="239"/>
      <c r="AG482" s="243"/>
      <c r="AI482" s="239"/>
      <c r="AJ482" s="239"/>
      <c r="AK482" s="239"/>
      <c r="AO482" s="240"/>
    </row>
    <row r="483" spans="14:41">
      <c r="N483" s="1"/>
      <c r="W483" s="1"/>
      <c r="X483" s="240"/>
      <c r="Y483" s="240"/>
      <c r="Z483" s="240"/>
      <c r="AA483" s="240"/>
      <c r="AB483" s="215"/>
      <c r="AC483" s="239"/>
      <c r="AD483" s="246"/>
      <c r="AE483" s="239"/>
      <c r="AF483" s="239"/>
      <c r="AG483" s="243"/>
      <c r="AI483" s="239"/>
      <c r="AJ483" s="239"/>
      <c r="AK483" s="239"/>
      <c r="AO483" s="240"/>
    </row>
    <row r="484" spans="14:41">
      <c r="N484" s="1"/>
      <c r="W484" s="1"/>
      <c r="X484" s="240"/>
      <c r="Y484" s="240"/>
      <c r="Z484" s="240"/>
      <c r="AA484" s="240"/>
      <c r="AB484" s="215"/>
      <c r="AC484" s="239"/>
      <c r="AD484" s="246"/>
      <c r="AE484" s="239"/>
      <c r="AF484" s="239"/>
      <c r="AG484" s="243"/>
      <c r="AI484" s="239"/>
      <c r="AJ484" s="239"/>
      <c r="AK484" s="239"/>
      <c r="AO484" s="240"/>
    </row>
    <row r="485" spans="14:41">
      <c r="N485" s="1"/>
      <c r="W485" s="1"/>
      <c r="X485" s="240"/>
      <c r="Y485" s="240"/>
      <c r="Z485" s="240"/>
      <c r="AA485" s="240"/>
      <c r="AB485" s="215"/>
      <c r="AC485" s="239"/>
      <c r="AD485" s="246"/>
      <c r="AE485" s="239"/>
      <c r="AF485" s="239"/>
      <c r="AG485" s="243"/>
      <c r="AI485" s="239"/>
      <c r="AJ485" s="239"/>
      <c r="AK485" s="239"/>
      <c r="AO485" s="240"/>
    </row>
    <row r="486" spans="14:41">
      <c r="N486" s="1"/>
      <c r="W486" s="1"/>
      <c r="X486" s="240"/>
      <c r="Y486" s="240"/>
      <c r="Z486" s="240"/>
      <c r="AA486" s="240"/>
      <c r="AB486" s="215"/>
      <c r="AC486" s="239"/>
      <c r="AD486" s="246"/>
      <c r="AE486" s="239"/>
      <c r="AF486" s="239"/>
      <c r="AG486" s="243"/>
      <c r="AI486" s="239"/>
      <c r="AJ486" s="239"/>
      <c r="AK486" s="239"/>
      <c r="AO486" s="240"/>
    </row>
    <row r="487" spans="14:41">
      <c r="N487" s="1"/>
      <c r="W487" s="1"/>
      <c r="X487" s="240"/>
      <c r="Y487" s="240"/>
      <c r="Z487" s="240"/>
      <c r="AA487" s="240"/>
      <c r="AB487" s="215"/>
      <c r="AC487" s="239"/>
      <c r="AD487" s="246"/>
      <c r="AE487" s="239"/>
      <c r="AF487" s="239"/>
      <c r="AG487" s="243"/>
      <c r="AI487" s="239"/>
      <c r="AJ487" s="239"/>
      <c r="AK487" s="239"/>
      <c r="AO487" s="240"/>
    </row>
    <row r="488" spans="14:41">
      <c r="N488" s="1"/>
      <c r="W488" s="1"/>
      <c r="X488" s="240"/>
      <c r="Y488" s="240"/>
      <c r="Z488" s="240"/>
      <c r="AA488" s="240"/>
      <c r="AB488" s="215"/>
      <c r="AC488" s="239"/>
      <c r="AD488" s="246"/>
      <c r="AE488" s="239"/>
      <c r="AF488" s="239"/>
      <c r="AG488" s="243"/>
      <c r="AI488" s="239"/>
      <c r="AJ488" s="239"/>
      <c r="AK488" s="239"/>
      <c r="AO488" s="240"/>
    </row>
    <row r="489" spans="14:41">
      <c r="N489" s="1"/>
      <c r="W489" s="1"/>
      <c r="X489" s="240"/>
      <c r="Y489" s="240"/>
      <c r="Z489" s="240"/>
      <c r="AA489" s="240"/>
      <c r="AB489" s="215"/>
      <c r="AC489" s="239"/>
      <c r="AD489" s="246"/>
      <c r="AE489" s="239"/>
      <c r="AF489" s="239"/>
      <c r="AG489" s="243"/>
      <c r="AI489" s="239"/>
      <c r="AJ489" s="239"/>
      <c r="AK489" s="239"/>
      <c r="AO489" s="240"/>
    </row>
    <row r="490" spans="14:41">
      <c r="N490" s="1"/>
      <c r="W490" s="1"/>
      <c r="X490" s="240"/>
      <c r="Y490" s="240"/>
      <c r="Z490" s="240"/>
      <c r="AA490" s="240"/>
      <c r="AB490" s="215"/>
      <c r="AC490" s="239"/>
      <c r="AD490" s="246"/>
      <c r="AE490" s="239"/>
      <c r="AF490" s="239"/>
      <c r="AG490" s="243"/>
      <c r="AI490" s="239"/>
      <c r="AJ490" s="239"/>
      <c r="AK490" s="239"/>
      <c r="AO490" s="240"/>
    </row>
    <row r="491" spans="14:41">
      <c r="N491" s="1"/>
      <c r="W491" s="1"/>
      <c r="X491" s="240"/>
      <c r="Y491" s="240"/>
      <c r="Z491" s="240"/>
      <c r="AA491" s="240"/>
      <c r="AB491" s="215"/>
      <c r="AC491" s="239"/>
      <c r="AD491" s="246"/>
      <c r="AE491" s="239"/>
      <c r="AF491" s="239"/>
      <c r="AG491" s="243"/>
      <c r="AI491" s="239"/>
      <c r="AJ491" s="239"/>
      <c r="AK491" s="239"/>
      <c r="AO491" s="240"/>
    </row>
    <row r="492" spans="14:41">
      <c r="N492" s="1"/>
      <c r="W492" s="1"/>
      <c r="X492" s="240"/>
      <c r="Y492" s="240"/>
      <c r="Z492" s="240"/>
      <c r="AA492" s="240"/>
      <c r="AB492" s="215"/>
      <c r="AC492" s="239"/>
      <c r="AD492" s="246"/>
      <c r="AE492" s="239"/>
      <c r="AF492" s="239"/>
      <c r="AG492" s="243"/>
      <c r="AI492" s="239"/>
      <c r="AJ492" s="239"/>
      <c r="AK492" s="239"/>
      <c r="AO492" s="240"/>
    </row>
    <row r="493" spans="14:41">
      <c r="N493" s="1"/>
      <c r="W493" s="1"/>
      <c r="X493" s="240"/>
      <c r="Y493" s="240"/>
      <c r="Z493" s="240"/>
      <c r="AA493" s="240"/>
      <c r="AB493" s="215"/>
      <c r="AC493" s="239"/>
      <c r="AD493" s="246"/>
      <c r="AE493" s="239"/>
      <c r="AF493" s="239"/>
      <c r="AG493" s="243"/>
      <c r="AI493" s="239"/>
      <c r="AJ493" s="239"/>
      <c r="AK493" s="239"/>
      <c r="AO493" s="240"/>
    </row>
    <row r="494" spans="14:41">
      <c r="N494" s="1"/>
      <c r="W494" s="1"/>
      <c r="X494" s="240"/>
      <c r="Y494" s="240"/>
      <c r="Z494" s="240"/>
      <c r="AA494" s="240"/>
      <c r="AB494" s="215"/>
      <c r="AC494" s="239"/>
      <c r="AD494" s="246"/>
      <c r="AE494" s="239"/>
      <c r="AF494" s="239"/>
      <c r="AG494" s="243"/>
      <c r="AI494" s="239"/>
      <c r="AJ494" s="239"/>
      <c r="AK494" s="239"/>
      <c r="AO494" s="240"/>
    </row>
    <row r="495" spans="14:41">
      <c r="N495" s="1"/>
      <c r="W495" s="1"/>
      <c r="X495" s="240"/>
      <c r="Y495" s="240"/>
      <c r="Z495" s="240"/>
      <c r="AA495" s="240"/>
      <c r="AB495" s="215"/>
      <c r="AC495" s="239"/>
      <c r="AD495" s="246"/>
      <c r="AE495" s="239"/>
      <c r="AF495" s="239"/>
      <c r="AG495" s="243"/>
      <c r="AI495" s="239"/>
      <c r="AJ495" s="239"/>
      <c r="AK495" s="239"/>
      <c r="AO495" s="240"/>
    </row>
    <row r="496" spans="14:41">
      <c r="N496" s="1"/>
      <c r="W496" s="1"/>
      <c r="X496" s="240"/>
      <c r="Y496" s="240"/>
      <c r="Z496" s="240"/>
      <c r="AA496" s="240"/>
      <c r="AB496" s="215"/>
      <c r="AC496" s="239"/>
      <c r="AD496" s="246"/>
      <c r="AE496" s="239"/>
      <c r="AF496" s="239"/>
      <c r="AG496" s="243"/>
      <c r="AI496" s="239"/>
      <c r="AJ496" s="239"/>
      <c r="AK496" s="239"/>
      <c r="AO496" s="240"/>
    </row>
    <row r="497" spans="14:41">
      <c r="N497" s="1"/>
      <c r="W497" s="1"/>
      <c r="X497" s="240"/>
      <c r="Y497" s="240"/>
      <c r="Z497" s="240"/>
      <c r="AA497" s="240"/>
      <c r="AB497" s="215"/>
      <c r="AC497" s="239"/>
      <c r="AD497" s="246"/>
      <c r="AE497" s="239"/>
      <c r="AF497" s="239"/>
      <c r="AG497" s="243"/>
      <c r="AI497" s="239"/>
      <c r="AJ497" s="239"/>
      <c r="AK497" s="239"/>
      <c r="AO497" s="240"/>
    </row>
    <row r="498" spans="14:41">
      <c r="N498" s="1"/>
      <c r="W498" s="1"/>
      <c r="X498" s="240"/>
      <c r="Y498" s="240"/>
      <c r="Z498" s="240"/>
      <c r="AA498" s="240"/>
      <c r="AB498" s="215"/>
      <c r="AC498" s="239"/>
      <c r="AD498" s="246"/>
      <c r="AE498" s="239"/>
      <c r="AF498" s="239"/>
      <c r="AG498" s="243"/>
      <c r="AI498" s="239"/>
      <c r="AJ498" s="239"/>
      <c r="AK498" s="239"/>
      <c r="AO498" s="240"/>
    </row>
    <row r="499" spans="14:41">
      <c r="N499" s="1"/>
      <c r="W499" s="1"/>
      <c r="X499" s="240"/>
      <c r="Y499" s="240"/>
      <c r="Z499" s="240"/>
      <c r="AA499" s="240"/>
      <c r="AB499" s="215"/>
      <c r="AC499" s="239"/>
      <c r="AD499" s="246"/>
      <c r="AE499" s="239"/>
      <c r="AF499" s="239"/>
      <c r="AG499" s="243"/>
      <c r="AI499" s="239"/>
      <c r="AJ499" s="239"/>
      <c r="AK499" s="239"/>
      <c r="AO499" s="240"/>
    </row>
    <row r="500" spans="14:41">
      <c r="N500" s="1"/>
      <c r="W500" s="1"/>
      <c r="X500" s="240"/>
      <c r="Y500" s="240"/>
      <c r="Z500" s="240"/>
      <c r="AA500" s="240"/>
      <c r="AB500" s="215"/>
      <c r="AC500" s="239"/>
      <c r="AD500" s="246"/>
      <c r="AE500" s="239"/>
      <c r="AF500" s="239"/>
      <c r="AG500" s="243"/>
      <c r="AI500" s="239"/>
      <c r="AJ500" s="239"/>
      <c r="AK500" s="239"/>
      <c r="AO500" s="240"/>
    </row>
    <row r="501" spans="14:41">
      <c r="N501" s="1"/>
      <c r="W501" s="1"/>
      <c r="X501" s="240"/>
      <c r="Y501" s="240"/>
      <c r="Z501" s="240"/>
      <c r="AA501" s="240"/>
      <c r="AB501" s="215"/>
      <c r="AC501" s="239"/>
      <c r="AD501" s="246"/>
      <c r="AE501" s="239"/>
      <c r="AF501" s="239"/>
      <c r="AG501" s="243"/>
      <c r="AI501" s="239"/>
      <c r="AJ501" s="239"/>
      <c r="AK501" s="239"/>
      <c r="AO501" s="240"/>
    </row>
    <row r="502" spans="14:41">
      <c r="N502" s="1"/>
      <c r="W502" s="1"/>
      <c r="X502" s="240"/>
      <c r="Y502" s="240"/>
      <c r="Z502" s="240"/>
      <c r="AA502" s="240"/>
      <c r="AB502" s="215"/>
      <c r="AC502" s="239"/>
      <c r="AD502" s="246"/>
      <c r="AE502" s="239"/>
      <c r="AF502" s="239"/>
      <c r="AG502" s="243"/>
      <c r="AI502" s="239"/>
      <c r="AJ502" s="239"/>
      <c r="AK502" s="239"/>
      <c r="AO502" s="240"/>
    </row>
    <row r="503" spans="14:41">
      <c r="N503" s="1"/>
      <c r="W503" s="1"/>
      <c r="X503" s="240"/>
      <c r="Y503" s="240"/>
      <c r="Z503" s="240"/>
      <c r="AA503" s="240"/>
      <c r="AB503" s="215"/>
      <c r="AC503" s="239"/>
      <c r="AD503" s="246"/>
      <c r="AE503" s="239"/>
      <c r="AF503" s="239"/>
      <c r="AG503" s="243"/>
      <c r="AI503" s="239"/>
      <c r="AJ503" s="239"/>
      <c r="AK503" s="239"/>
      <c r="AO503" s="240"/>
    </row>
    <row r="504" spans="14:41">
      <c r="N504" s="1"/>
      <c r="W504" s="1"/>
      <c r="X504" s="240"/>
      <c r="Y504" s="240"/>
      <c r="Z504" s="240"/>
      <c r="AA504" s="240"/>
      <c r="AB504" s="215"/>
      <c r="AC504" s="239"/>
      <c r="AD504" s="246"/>
      <c r="AE504" s="239"/>
      <c r="AF504" s="239"/>
      <c r="AG504" s="243"/>
      <c r="AI504" s="239"/>
      <c r="AJ504" s="239"/>
      <c r="AK504" s="239"/>
      <c r="AO504" s="240"/>
    </row>
    <row r="505" spans="14:41">
      <c r="N505" s="1"/>
      <c r="W505" s="1"/>
      <c r="X505" s="240"/>
      <c r="Y505" s="240"/>
      <c r="Z505" s="240"/>
      <c r="AA505" s="240"/>
      <c r="AB505" s="215"/>
      <c r="AC505" s="239"/>
      <c r="AD505" s="246"/>
      <c r="AE505" s="239"/>
      <c r="AF505" s="239"/>
      <c r="AG505" s="243"/>
      <c r="AI505" s="239"/>
      <c r="AJ505" s="239"/>
      <c r="AK505" s="239"/>
      <c r="AO505" s="240"/>
    </row>
    <row r="506" spans="14:41">
      <c r="N506" s="1"/>
      <c r="W506" s="1"/>
      <c r="X506" s="240"/>
      <c r="Y506" s="240"/>
      <c r="Z506" s="240"/>
      <c r="AA506" s="240"/>
      <c r="AB506" s="215"/>
      <c r="AC506" s="239"/>
      <c r="AD506" s="246"/>
      <c r="AE506" s="239"/>
      <c r="AF506" s="239"/>
      <c r="AG506" s="243"/>
      <c r="AI506" s="239"/>
      <c r="AJ506" s="239"/>
      <c r="AK506" s="239"/>
      <c r="AO506" s="240"/>
    </row>
    <row r="507" spans="14:41">
      <c r="N507" s="1"/>
      <c r="W507" s="1"/>
      <c r="X507" s="240"/>
      <c r="Y507" s="240"/>
      <c r="Z507" s="240"/>
      <c r="AA507" s="240"/>
      <c r="AB507" s="215"/>
      <c r="AC507" s="239"/>
      <c r="AD507" s="246"/>
      <c r="AE507" s="239"/>
      <c r="AF507" s="239"/>
      <c r="AG507" s="243"/>
      <c r="AI507" s="239"/>
      <c r="AJ507" s="239"/>
      <c r="AK507" s="239"/>
      <c r="AO507" s="240"/>
    </row>
    <row r="508" spans="14:41">
      <c r="N508" s="1"/>
      <c r="W508" s="1"/>
      <c r="X508" s="240"/>
      <c r="Y508" s="240"/>
      <c r="Z508" s="240"/>
      <c r="AA508" s="240"/>
      <c r="AB508" s="215"/>
      <c r="AC508" s="239"/>
      <c r="AD508" s="246"/>
      <c r="AE508" s="239"/>
      <c r="AF508" s="239"/>
      <c r="AG508" s="243"/>
      <c r="AI508" s="239"/>
      <c r="AJ508" s="239"/>
      <c r="AK508" s="239"/>
      <c r="AO508" s="240"/>
    </row>
    <row r="509" spans="14:41">
      <c r="N509" s="1"/>
      <c r="W509" s="1"/>
      <c r="X509" s="240"/>
      <c r="Y509" s="240"/>
      <c r="Z509" s="240"/>
      <c r="AA509" s="240"/>
      <c r="AB509" s="215"/>
      <c r="AC509" s="239"/>
      <c r="AD509" s="246"/>
      <c r="AE509" s="239"/>
      <c r="AF509" s="239"/>
      <c r="AG509" s="243"/>
      <c r="AI509" s="239"/>
      <c r="AJ509" s="239"/>
      <c r="AK509" s="239"/>
      <c r="AO509" s="240"/>
    </row>
    <row r="510" spans="14:41">
      <c r="N510" s="1"/>
      <c r="W510" s="1"/>
      <c r="X510" s="240"/>
      <c r="Y510" s="240"/>
      <c r="Z510" s="240"/>
      <c r="AA510" s="240"/>
      <c r="AB510" s="215"/>
      <c r="AC510" s="239"/>
      <c r="AD510" s="246"/>
      <c r="AE510" s="239"/>
      <c r="AF510" s="239"/>
      <c r="AG510" s="243"/>
      <c r="AI510" s="239"/>
      <c r="AJ510" s="239"/>
      <c r="AK510" s="239"/>
      <c r="AO510" s="240"/>
    </row>
    <row r="511" spans="14:41">
      <c r="N511" s="1"/>
      <c r="W511" s="1"/>
      <c r="X511" s="240"/>
      <c r="Y511" s="240"/>
      <c r="Z511" s="240"/>
      <c r="AA511" s="240"/>
      <c r="AB511" s="215"/>
      <c r="AC511" s="239"/>
      <c r="AD511" s="246"/>
      <c r="AE511" s="239"/>
      <c r="AF511" s="239"/>
      <c r="AG511" s="243"/>
      <c r="AI511" s="239"/>
      <c r="AJ511" s="239"/>
      <c r="AK511" s="239"/>
      <c r="AO511" s="240"/>
    </row>
    <row r="512" spans="14:41">
      <c r="N512" s="1"/>
      <c r="W512" s="1"/>
      <c r="X512" s="240"/>
      <c r="Y512" s="240"/>
      <c r="Z512" s="240"/>
      <c r="AA512" s="240"/>
      <c r="AB512" s="216"/>
      <c r="AC512" s="239"/>
      <c r="AD512" s="246"/>
      <c r="AE512" s="239"/>
      <c r="AF512" s="239"/>
      <c r="AG512" s="243"/>
      <c r="AI512" s="239"/>
      <c r="AJ512" s="239"/>
      <c r="AK512" s="239"/>
      <c r="AO512" s="240"/>
    </row>
    <row r="513" spans="14:41">
      <c r="N513" s="1"/>
      <c r="W513" s="1"/>
      <c r="X513" s="240"/>
      <c r="Y513" s="240"/>
      <c r="Z513" s="240"/>
      <c r="AA513" s="240"/>
      <c r="AB513" s="216"/>
      <c r="AC513" s="239"/>
      <c r="AD513" s="246"/>
      <c r="AE513" s="239"/>
      <c r="AF513" s="239"/>
      <c r="AG513" s="243"/>
      <c r="AI513" s="239"/>
      <c r="AJ513" s="239"/>
      <c r="AK513" s="239"/>
      <c r="AO513" s="240"/>
    </row>
    <row r="514" spans="14:41">
      <c r="N514" s="1"/>
      <c r="W514" s="1"/>
      <c r="X514" s="240"/>
      <c r="Y514" s="240"/>
      <c r="Z514" s="240"/>
      <c r="AA514" s="240"/>
      <c r="AB514" s="216"/>
      <c r="AC514" s="239"/>
      <c r="AD514" s="246"/>
      <c r="AE514" s="239"/>
      <c r="AF514" s="239"/>
      <c r="AG514" s="243"/>
      <c r="AI514" s="239"/>
      <c r="AJ514" s="239"/>
      <c r="AK514" s="239"/>
      <c r="AO514" s="240"/>
    </row>
    <row r="515" spans="14:41">
      <c r="N515" s="1"/>
      <c r="W515" s="1"/>
      <c r="X515" s="240"/>
      <c r="Y515" s="240"/>
      <c r="Z515" s="240"/>
      <c r="AA515" s="240"/>
      <c r="AB515" s="216"/>
      <c r="AC515" s="239"/>
      <c r="AD515" s="246"/>
      <c r="AE515" s="239"/>
      <c r="AF515" s="239"/>
      <c r="AG515" s="243"/>
      <c r="AI515" s="239"/>
      <c r="AJ515" s="239"/>
      <c r="AK515" s="239"/>
      <c r="AO515" s="240"/>
    </row>
    <row r="516" spans="14:41">
      <c r="N516" s="1"/>
      <c r="W516" s="1"/>
      <c r="X516" s="240"/>
      <c r="Y516" s="240"/>
      <c r="Z516" s="240"/>
      <c r="AA516" s="240"/>
      <c r="AB516" s="216"/>
      <c r="AC516" s="239"/>
      <c r="AD516" s="246"/>
      <c r="AE516" s="239"/>
      <c r="AF516" s="239"/>
      <c r="AG516" s="243"/>
      <c r="AI516" s="239"/>
      <c r="AJ516" s="239"/>
      <c r="AK516" s="239"/>
      <c r="AO516" s="240"/>
    </row>
    <row r="517" spans="14:41">
      <c r="N517" s="1"/>
      <c r="W517" s="1"/>
      <c r="X517" s="240"/>
      <c r="Y517" s="240"/>
      <c r="Z517" s="240"/>
      <c r="AA517" s="240"/>
      <c r="AB517" s="216"/>
      <c r="AC517" s="239"/>
      <c r="AD517" s="246"/>
      <c r="AE517" s="239"/>
      <c r="AF517" s="239"/>
      <c r="AG517" s="243"/>
      <c r="AI517" s="239"/>
      <c r="AJ517" s="239"/>
      <c r="AK517" s="239"/>
      <c r="AO517" s="240"/>
    </row>
    <row r="518" spans="14:41">
      <c r="N518" s="1"/>
      <c r="W518" s="1"/>
      <c r="X518" s="240"/>
      <c r="Y518" s="240"/>
      <c r="Z518" s="240"/>
      <c r="AA518" s="240"/>
      <c r="AB518" s="216"/>
      <c r="AC518" s="239"/>
      <c r="AD518" s="246"/>
      <c r="AE518" s="239"/>
      <c r="AF518" s="239"/>
      <c r="AG518" s="243"/>
      <c r="AI518" s="239"/>
      <c r="AJ518" s="239"/>
      <c r="AK518" s="239"/>
      <c r="AO518" s="240"/>
    </row>
    <row r="519" spans="14:41">
      <c r="N519" s="1"/>
      <c r="W519" s="1"/>
      <c r="X519" s="240"/>
      <c r="Y519" s="240"/>
      <c r="Z519" s="240"/>
      <c r="AA519" s="240"/>
      <c r="AB519" s="216"/>
      <c r="AC519" s="239"/>
      <c r="AD519" s="246"/>
      <c r="AE519" s="239"/>
      <c r="AF519" s="239"/>
      <c r="AG519" s="243"/>
      <c r="AI519" s="239"/>
      <c r="AJ519" s="239"/>
      <c r="AK519" s="239"/>
      <c r="AO519" s="240"/>
    </row>
    <row r="520" spans="14:41">
      <c r="N520" s="1"/>
      <c r="W520" s="1"/>
      <c r="X520" s="240"/>
      <c r="Y520" s="240"/>
      <c r="Z520" s="240"/>
      <c r="AA520" s="240"/>
      <c r="AB520" s="216"/>
      <c r="AC520" s="239"/>
      <c r="AD520" s="246"/>
      <c r="AE520" s="239"/>
      <c r="AF520" s="239"/>
      <c r="AG520" s="243"/>
      <c r="AI520" s="239"/>
      <c r="AJ520" s="239"/>
      <c r="AK520" s="239"/>
      <c r="AO520" s="240"/>
    </row>
    <row r="521" spans="14:41">
      <c r="N521" s="1"/>
      <c r="W521" s="1"/>
      <c r="X521" s="240"/>
      <c r="Y521" s="240"/>
      <c r="Z521" s="240"/>
      <c r="AA521" s="240"/>
      <c r="AB521" s="216"/>
      <c r="AC521" s="239"/>
      <c r="AD521" s="246"/>
      <c r="AE521" s="239"/>
      <c r="AF521" s="239"/>
      <c r="AG521" s="243"/>
      <c r="AI521" s="239"/>
      <c r="AJ521" s="239"/>
      <c r="AK521" s="239"/>
      <c r="AO521" s="240"/>
    </row>
    <row r="522" spans="14:41">
      <c r="N522" s="1"/>
      <c r="W522" s="1"/>
      <c r="X522" s="240"/>
      <c r="Y522" s="240"/>
      <c r="Z522" s="240"/>
      <c r="AA522" s="240"/>
      <c r="AB522" s="216"/>
      <c r="AC522" s="239"/>
      <c r="AD522" s="246"/>
      <c r="AE522" s="239"/>
      <c r="AF522" s="239"/>
      <c r="AG522" s="243"/>
      <c r="AI522" s="239"/>
      <c r="AJ522" s="239"/>
      <c r="AK522" s="239"/>
      <c r="AO522" s="240"/>
    </row>
    <row r="523" spans="14:41">
      <c r="N523" s="1"/>
      <c r="W523" s="1"/>
      <c r="X523" s="240"/>
      <c r="Y523" s="240"/>
      <c r="Z523" s="240"/>
      <c r="AA523" s="240"/>
      <c r="AB523" s="216"/>
      <c r="AC523" s="239"/>
      <c r="AD523" s="246"/>
      <c r="AE523" s="239"/>
      <c r="AF523" s="239"/>
      <c r="AG523" s="243"/>
      <c r="AI523" s="239"/>
      <c r="AJ523" s="239"/>
      <c r="AK523" s="239"/>
      <c r="AO523" s="240"/>
    </row>
    <row r="524" spans="14:41">
      <c r="N524" s="1"/>
      <c r="W524" s="1"/>
      <c r="X524" s="240"/>
      <c r="Y524" s="240"/>
      <c r="Z524" s="240"/>
      <c r="AA524" s="240"/>
      <c r="AB524" s="216"/>
      <c r="AC524" s="239"/>
      <c r="AD524" s="246"/>
      <c r="AE524" s="239"/>
      <c r="AF524" s="239"/>
      <c r="AG524" s="243"/>
      <c r="AI524" s="239"/>
      <c r="AJ524" s="239"/>
      <c r="AK524" s="239"/>
      <c r="AO524" s="240"/>
    </row>
    <row r="525" spans="14:41">
      <c r="N525" s="1"/>
      <c r="W525" s="1"/>
      <c r="X525" s="240"/>
      <c r="Y525" s="240"/>
      <c r="Z525" s="240"/>
      <c r="AA525" s="240"/>
      <c r="AB525" s="216"/>
      <c r="AC525" s="239"/>
      <c r="AD525" s="246"/>
      <c r="AE525" s="239"/>
      <c r="AF525" s="239"/>
      <c r="AG525" s="243"/>
      <c r="AI525" s="239"/>
      <c r="AJ525" s="239"/>
      <c r="AK525" s="239"/>
      <c r="AO525" s="240"/>
    </row>
    <row r="526" spans="14:41">
      <c r="N526" s="1"/>
      <c r="W526" s="1"/>
      <c r="X526" s="240"/>
      <c r="Y526" s="240"/>
      <c r="Z526" s="240"/>
      <c r="AA526" s="240"/>
      <c r="AB526" s="216"/>
      <c r="AC526" s="239"/>
      <c r="AD526" s="246"/>
      <c r="AE526" s="239"/>
      <c r="AF526" s="239"/>
      <c r="AG526" s="243"/>
      <c r="AI526" s="239"/>
      <c r="AJ526" s="239"/>
      <c r="AK526" s="239"/>
      <c r="AO526" s="240"/>
    </row>
    <row r="527" spans="14:41">
      <c r="N527" s="1"/>
      <c r="W527" s="1"/>
      <c r="X527" s="240"/>
      <c r="Y527" s="240"/>
      <c r="Z527" s="240"/>
      <c r="AA527" s="240"/>
      <c r="AB527" s="216"/>
      <c r="AC527" s="239"/>
      <c r="AD527" s="246"/>
      <c r="AE527" s="239"/>
      <c r="AF527" s="239"/>
      <c r="AG527" s="243"/>
      <c r="AI527" s="239"/>
      <c r="AJ527" s="239"/>
      <c r="AK527" s="239"/>
      <c r="AO527" s="240"/>
    </row>
    <row r="528" spans="14:41">
      <c r="N528" s="1"/>
      <c r="W528" s="1"/>
      <c r="X528" s="240"/>
      <c r="Y528" s="240"/>
      <c r="Z528" s="240"/>
      <c r="AA528" s="240"/>
      <c r="AB528" s="216"/>
      <c r="AC528" s="239"/>
      <c r="AD528" s="246"/>
      <c r="AE528" s="239"/>
      <c r="AF528" s="239"/>
      <c r="AG528" s="243"/>
      <c r="AI528" s="239"/>
      <c r="AJ528" s="239"/>
      <c r="AK528" s="239"/>
      <c r="AO528" s="240"/>
    </row>
    <row r="529" spans="14:41">
      <c r="N529" s="1"/>
      <c r="W529" s="1"/>
      <c r="X529" s="240"/>
      <c r="Y529" s="240"/>
      <c r="Z529" s="240"/>
      <c r="AA529" s="240"/>
      <c r="AB529" s="216"/>
      <c r="AC529" s="239"/>
      <c r="AD529" s="246"/>
      <c r="AE529" s="239"/>
      <c r="AF529" s="239"/>
      <c r="AG529" s="243"/>
      <c r="AI529" s="239"/>
      <c r="AJ529" s="239"/>
      <c r="AK529" s="239"/>
      <c r="AO529" s="240"/>
    </row>
    <row r="530" spans="14:41">
      <c r="N530" s="1"/>
      <c r="W530" s="1"/>
      <c r="X530" s="240"/>
      <c r="Y530" s="240"/>
      <c r="Z530" s="240"/>
      <c r="AA530" s="240"/>
      <c r="AB530" s="216"/>
      <c r="AC530" s="239"/>
      <c r="AD530" s="246"/>
      <c r="AE530" s="239"/>
      <c r="AF530" s="239"/>
      <c r="AG530" s="243"/>
      <c r="AI530" s="239"/>
      <c r="AJ530" s="239"/>
      <c r="AK530" s="239"/>
      <c r="AO530" s="240"/>
    </row>
    <row r="531" spans="14:41">
      <c r="N531" s="1"/>
      <c r="W531" s="1"/>
      <c r="X531" s="240"/>
      <c r="Y531" s="240"/>
      <c r="Z531" s="240"/>
      <c r="AA531" s="240"/>
      <c r="AB531" s="216"/>
      <c r="AC531" s="239"/>
      <c r="AD531" s="246"/>
      <c r="AE531" s="239"/>
      <c r="AF531" s="239"/>
      <c r="AG531" s="243"/>
      <c r="AI531" s="239"/>
      <c r="AJ531" s="239"/>
      <c r="AK531" s="239"/>
      <c r="AO531" s="240"/>
    </row>
    <row r="532" spans="14:41">
      <c r="N532" s="1"/>
      <c r="W532" s="1"/>
      <c r="X532" s="240"/>
      <c r="Y532" s="240"/>
      <c r="Z532" s="240"/>
      <c r="AA532" s="240"/>
      <c r="AB532" s="216"/>
      <c r="AC532" s="239"/>
      <c r="AD532" s="246"/>
      <c r="AE532" s="239"/>
      <c r="AF532" s="239"/>
      <c r="AG532" s="243"/>
      <c r="AI532" s="239"/>
      <c r="AJ532" s="239"/>
      <c r="AK532" s="239"/>
      <c r="AO532" s="240"/>
    </row>
    <row r="533" spans="14:41">
      <c r="N533" s="1"/>
      <c r="W533" s="1"/>
      <c r="X533" s="240"/>
      <c r="Y533" s="240"/>
      <c r="Z533" s="240"/>
      <c r="AA533" s="240"/>
      <c r="AB533" s="216"/>
      <c r="AC533" s="239"/>
      <c r="AD533" s="246"/>
      <c r="AE533" s="239"/>
      <c r="AF533" s="239"/>
      <c r="AG533" s="243"/>
      <c r="AI533" s="239"/>
      <c r="AJ533" s="239"/>
      <c r="AK533" s="239"/>
      <c r="AO533" s="240"/>
    </row>
    <row r="534" spans="14:41">
      <c r="N534" s="1"/>
      <c r="W534" s="1"/>
      <c r="X534" s="240"/>
      <c r="Y534" s="240"/>
      <c r="Z534" s="240"/>
      <c r="AA534" s="240"/>
      <c r="AB534" s="216"/>
      <c r="AC534" s="239"/>
      <c r="AD534" s="246"/>
      <c r="AE534" s="239"/>
      <c r="AF534" s="239"/>
      <c r="AG534" s="243"/>
      <c r="AI534" s="239"/>
      <c r="AJ534" s="239"/>
      <c r="AK534" s="239"/>
      <c r="AO534" s="240"/>
    </row>
    <row r="535" spans="14:41">
      <c r="N535" s="1"/>
      <c r="W535" s="1"/>
      <c r="X535" s="240"/>
      <c r="Y535" s="240"/>
      <c r="Z535" s="240"/>
      <c r="AA535" s="240"/>
      <c r="AB535" s="216"/>
      <c r="AC535" s="239"/>
      <c r="AD535" s="246"/>
      <c r="AE535" s="239"/>
      <c r="AF535" s="239"/>
      <c r="AG535" s="243"/>
      <c r="AI535" s="239"/>
      <c r="AJ535" s="239"/>
      <c r="AK535" s="239"/>
      <c r="AO535" s="240"/>
    </row>
    <row r="536" spans="14:41">
      <c r="N536" s="1"/>
      <c r="W536" s="1"/>
      <c r="X536" s="240"/>
      <c r="Y536" s="240"/>
      <c r="Z536" s="240"/>
      <c r="AA536" s="240"/>
      <c r="AB536" s="216"/>
      <c r="AC536" s="239"/>
      <c r="AD536" s="246"/>
      <c r="AE536" s="239"/>
      <c r="AF536" s="239"/>
      <c r="AG536" s="243"/>
      <c r="AI536" s="239"/>
      <c r="AJ536" s="239"/>
      <c r="AK536" s="239"/>
      <c r="AO536" s="240"/>
    </row>
    <row r="537" spans="14:41">
      <c r="N537" s="1"/>
      <c r="W537" s="1"/>
      <c r="X537" s="240"/>
      <c r="Y537" s="240"/>
      <c r="Z537" s="240"/>
      <c r="AA537" s="240"/>
      <c r="AB537" s="216"/>
      <c r="AC537" s="239"/>
      <c r="AD537" s="246"/>
      <c r="AE537" s="239"/>
      <c r="AF537" s="239"/>
      <c r="AG537" s="243"/>
      <c r="AI537" s="239"/>
      <c r="AJ537" s="239"/>
      <c r="AK537" s="239"/>
      <c r="AO537" s="240"/>
    </row>
    <row r="538" spans="14:41">
      <c r="N538" s="1"/>
      <c r="W538" s="1"/>
      <c r="X538" s="240"/>
      <c r="Y538" s="240"/>
      <c r="Z538" s="240"/>
      <c r="AA538" s="240"/>
      <c r="AB538" s="216"/>
      <c r="AC538" s="239"/>
      <c r="AD538" s="246"/>
      <c r="AE538" s="239"/>
      <c r="AF538" s="239"/>
      <c r="AG538" s="243"/>
      <c r="AI538" s="239"/>
      <c r="AJ538" s="239"/>
      <c r="AK538" s="239"/>
      <c r="AO538" s="240"/>
    </row>
    <row r="539" spans="14:41">
      <c r="N539" s="1"/>
      <c r="W539" s="1"/>
      <c r="X539" s="240"/>
      <c r="Y539" s="240"/>
      <c r="Z539" s="240"/>
      <c r="AA539" s="240"/>
      <c r="AB539" s="216"/>
      <c r="AC539" s="239"/>
      <c r="AD539" s="246"/>
      <c r="AE539" s="239"/>
      <c r="AF539" s="239"/>
      <c r="AG539" s="243"/>
      <c r="AI539" s="239"/>
      <c r="AJ539" s="239"/>
      <c r="AK539" s="239"/>
      <c r="AO539" s="240"/>
    </row>
    <row r="540" spans="14:41">
      <c r="N540" s="1"/>
      <c r="W540" s="1"/>
      <c r="X540" s="240"/>
      <c r="Y540" s="240"/>
      <c r="Z540" s="240"/>
      <c r="AA540" s="240"/>
      <c r="AB540" s="216"/>
      <c r="AC540" s="239"/>
      <c r="AD540" s="246"/>
      <c r="AE540" s="239"/>
      <c r="AF540" s="239"/>
      <c r="AG540" s="243"/>
      <c r="AI540" s="239"/>
      <c r="AJ540" s="239"/>
      <c r="AK540" s="239"/>
      <c r="AO540" s="240"/>
    </row>
    <row r="541" spans="14:41">
      <c r="N541" s="1"/>
      <c r="W541" s="1"/>
      <c r="X541" s="240"/>
      <c r="Y541" s="240"/>
      <c r="Z541" s="240"/>
      <c r="AA541" s="240"/>
      <c r="AB541" s="216"/>
      <c r="AC541" s="239"/>
      <c r="AD541" s="246"/>
      <c r="AE541" s="239"/>
      <c r="AF541" s="239"/>
      <c r="AG541" s="243"/>
      <c r="AI541" s="239"/>
      <c r="AJ541" s="239"/>
      <c r="AK541" s="239"/>
      <c r="AO541" s="240"/>
    </row>
    <row r="542" spans="14:41">
      <c r="N542" s="1"/>
      <c r="W542" s="1"/>
      <c r="X542" s="240"/>
      <c r="Y542" s="240"/>
      <c r="Z542" s="240"/>
      <c r="AA542" s="240"/>
      <c r="AB542" s="216"/>
      <c r="AC542" s="239"/>
      <c r="AD542" s="246"/>
      <c r="AE542" s="239"/>
      <c r="AF542" s="239"/>
      <c r="AG542" s="243"/>
      <c r="AI542" s="239"/>
      <c r="AJ542" s="239"/>
      <c r="AK542" s="239"/>
      <c r="AO542" s="240"/>
    </row>
    <row r="543" spans="14:41">
      <c r="N543" s="1"/>
      <c r="W543" s="1"/>
      <c r="X543" s="240"/>
      <c r="Y543" s="240"/>
      <c r="Z543" s="240"/>
      <c r="AA543" s="240"/>
      <c r="AB543" s="216"/>
      <c r="AC543" s="239"/>
      <c r="AD543" s="246"/>
      <c r="AE543" s="239"/>
      <c r="AF543" s="239"/>
      <c r="AG543" s="243"/>
      <c r="AI543" s="239"/>
      <c r="AJ543" s="239"/>
      <c r="AK543" s="239"/>
      <c r="AO543" s="240"/>
    </row>
    <row r="544" spans="14:41">
      <c r="N544" s="1"/>
      <c r="W544" s="1"/>
      <c r="X544" s="240"/>
      <c r="Y544" s="240"/>
      <c r="Z544" s="240"/>
      <c r="AA544" s="240"/>
      <c r="AB544" s="216"/>
      <c r="AC544" s="239"/>
      <c r="AD544" s="246"/>
      <c r="AE544" s="239"/>
      <c r="AF544" s="239"/>
      <c r="AG544" s="243"/>
      <c r="AI544" s="239"/>
      <c r="AJ544" s="239"/>
      <c r="AK544" s="239"/>
      <c r="AO544" s="240"/>
    </row>
    <row r="545" spans="14:41">
      <c r="N545" s="1"/>
      <c r="W545" s="1"/>
      <c r="X545" s="240"/>
      <c r="Y545" s="240"/>
      <c r="Z545" s="240"/>
      <c r="AA545" s="240"/>
      <c r="AB545" s="216"/>
      <c r="AC545" s="239"/>
      <c r="AD545" s="246"/>
      <c r="AE545" s="239"/>
      <c r="AF545" s="239"/>
      <c r="AG545" s="243"/>
      <c r="AI545" s="239"/>
      <c r="AJ545" s="239"/>
      <c r="AK545" s="239"/>
      <c r="AO545" s="240"/>
    </row>
    <row r="546" spans="14:41">
      <c r="N546" s="1"/>
      <c r="W546" s="1"/>
      <c r="X546" s="240"/>
      <c r="Y546" s="240"/>
      <c r="Z546" s="240"/>
      <c r="AA546" s="240"/>
      <c r="AB546" s="216"/>
      <c r="AC546" s="239"/>
      <c r="AD546" s="246"/>
      <c r="AE546" s="239"/>
      <c r="AF546" s="239"/>
      <c r="AG546" s="243"/>
      <c r="AI546" s="239"/>
      <c r="AJ546" s="239"/>
      <c r="AK546" s="239"/>
      <c r="AO546" s="240"/>
    </row>
    <row r="547" spans="14:41">
      <c r="N547" s="1"/>
      <c r="W547" s="1"/>
      <c r="X547" s="240"/>
      <c r="Y547" s="240"/>
      <c r="Z547" s="240"/>
      <c r="AA547" s="240"/>
      <c r="AB547" s="216"/>
      <c r="AC547" s="239"/>
      <c r="AD547" s="246"/>
      <c r="AE547" s="239"/>
      <c r="AF547" s="239"/>
      <c r="AG547" s="243"/>
      <c r="AI547" s="239"/>
      <c r="AJ547" s="239"/>
      <c r="AK547" s="239"/>
      <c r="AO547" s="240"/>
    </row>
    <row r="548" spans="14:41">
      <c r="N548" s="1"/>
      <c r="W548" s="1"/>
      <c r="X548" s="240"/>
      <c r="Y548" s="240"/>
      <c r="Z548" s="240"/>
      <c r="AA548" s="240"/>
      <c r="AB548" s="216"/>
      <c r="AC548" s="239"/>
      <c r="AD548" s="246"/>
      <c r="AE548" s="239"/>
      <c r="AF548" s="239"/>
      <c r="AG548" s="243"/>
      <c r="AI548" s="239"/>
      <c r="AJ548" s="239"/>
      <c r="AK548" s="239"/>
      <c r="AO548" s="240"/>
    </row>
    <row r="549" spans="14:41">
      <c r="N549" s="1"/>
      <c r="W549" s="1"/>
      <c r="X549" s="240"/>
      <c r="Y549" s="240"/>
      <c r="Z549" s="240"/>
      <c r="AA549" s="240"/>
      <c r="AB549" s="216"/>
      <c r="AC549" s="239"/>
      <c r="AD549" s="246"/>
      <c r="AE549" s="239"/>
      <c r="AF549" s="239"/>
      <c r="AG549" s="243"/>
      <c r="AI549" s="239"/>
      <c r="AJ549" s="239"/>
      <c r="AK549" s="239"/>
      <c r="AO549" s="240"/>
    </row>
    <row r="550" spans="14:41">
      <c r="N550" s="1"/>
      <c r="W550" s="1"/>
      <c r="X550" s="240"/>
      <c r="Y550" s="240"/>
      <c r="Z550" s="240"/>
      <c r="AA550" s="240"/>
      <c r="AB550" s="216"/>
      <c r="AC550" s="239"/>
      <c r="AD550" s="246"/>
      <c r="AE550" s="239"/>
      <c r="AF550" s="239"/>
      <c r="AG550" s="243"/>
      <c r="AI550" s="239"/>
      <c r="AJ550" s="239"/>
      <c r="AK550" s="239"/>
      <c r="AO550" s="240"/>
    </row>
    <row r="551" spans="14:41">
      <c r="N551" s="1"/>
      <c r="W551" s="1"/>
      <c r="X551" s="240"/>
      <c r="Y551" s="240"/>
      <c r="Z551" s="240"/>
      <c r="AA551" s="240"/>
      <c r="AB551" s="216"/>
      <c r="AC551" s="239"/>
      <c r="AD551" s="246"/>
      <c r="AE551" s="239"/>
      <c r="AF551" s="239"/>
      <c r="AG551" s="243"/>
      <c r="AI551" s="239"/>
      <c r="AJ551" s="239"/>
      <c r="AK551" s="239"/>
      <c r="AO551" s="240"/>
    </row>
    <row r="552" spans="14:41">
      <c r="N552" s="1"/>
      <c r="W552" s="1"/>
      <c r="X552" s="240"/>
      <c r="Y552" s="240"/>
      <c r="Z552" s="240"/>
      <c r="AA552" s="240"/>
      <c r="AB552" s="216"/>
      <c r="AC552" s="239"/>
      <c r="AD552" s="246"/>
      <c r="AE552" s="239"/>
      <c r="AF552" s="239"/>
      <c r="AG552" s="243"/>
      <c r="AI552" s="239"/>
      <c r="AJ552" s="239"/>
      <c r="AK552" s="239"/>
      <c r="AO552" s="240"/>
    </row>
    <row r="553" spans="14:41">
      <c r="N553" s="1"/>
      <c r="W553" s="1"/>
      <c r="X553" s="240"/>
      <c r="Y553" s="240"/>
      <c r="Z553" s="240"/>
      <c r="AA553" s="240"/>
      <c r="AB553" s="216"/>
      <c r="AC553" s="239"/>
      <c r="AD553" s="246"/>
      <c r="AE553" s="239"/>
      <c r="AF553" s="239"/>
      <c r="AG553" s="243"/>
      <c r="AI553" s="239"/>
      <c r="AJ553" s="239"/>
      <c r="AK553" s="239"/>
      <c r="AO553" s="240"/>
    </row>
    <row r="554" spans="14:41">
      <c r="N554" s="1"/>
      <c r="W554" s="1"/>
      <c r="X554" s="240"/>
      <c r="Y554" s="240"/>
      <c r="Z554" s="240"/>
      <c r="AA554" s="240"/>
      <c r="AB554" s="216"/>
      <c r="AC554" s="239"/>
      <c r="AD554" s="246"/>
      <c r="AE554" s="239"/>
      <c r="AF554" s="239"/>
      <c r="AG554" s="243"/>
      <c r="AI554" s="239"/>
      <c r="AJ554" s="239"/>
      <c r="AK554" s="239"/>
      <c r="AO554" s="240"/>
    </row>
    <row r="555" spans="14:41">
      <c r="N555" s="1"/>
      <c r="W555" s="1"/>
      <c r="X555" s="240"/>
      <c r="Y555" s="240"/>
      <c r="Z555" s="240"/>
      <c r="AA555" s="240"/>
      <c r="AB555" s="216"/>
      <c r="AC555" s="239"/>
      <c r="AD555" s="246"/>
      <c r="AE555" s="239"/>
      <c r="AF555" s="239"/>
      <c r="AG555" s="243"/>
      <c r="AI555" s="239"/>
      <c r="AJ555" s="239"/>
      <c r="AK555" s="239"/>
      <c r="AO555" s="240"/>
    </row>
    <row r="556" spans="14:41">
      <c r="N556" s="1"/>
      <c r="W556" s="1"/>
      <c r="X556" s="240"/>
      <c r="Y556" s="240"/>
      <c r="Z556" s="240"/>
      <c r="AA556" s="240"/>
      <c r="AB556" s="216"/>
      <c r="AC556" s="239"/>
      <c r="AD556" s="246"/>
      <c r="AE556" s="239"/>
      <c r="AF556" s="239"/>
      <c r="AG556" s="243"/>
      <c r="AI556" s="239"/>
      <c r="AJ556" s="239"/>
      <c r="AK556" s="239"/>
      <c r="AO556" s="240"/>
    </row>
    <row r="557" spans="14:41">
      <c r="N557" s="1"/>
      <c r="W557" s="1"/>
      <c r="X557" s="240"/>
      <c r="Y557" s="240"/>
      <c r="Z557" s="240"/>
      <c r="AA557" s="240"/>
      <c r="AB557" s="216"/>
      <c r="AC557" s="239"/>
      <c r="AD557" s="246"/>
      <c r="AE557" s="239"/>
      <c r="AF557" s="239"/>
      <c r="AG557" s="243"/>
      <c r="AI557" s="239"/>
      <c r="AJ557" s="239"/>
      <c r="AK557" s="239"/>
      <c r="AO557" s="240"/>
    </row>
    <row r="558" spans="14:41">
      <c r="N558" s="1"/>
      <c r="W558" s="1"/>
      <c r="X558" s="240"/>
      <c r="Y558" s="240"/>
      <c r="Z558" s="240"/>
      <c r="AA558" s="240"/>
      <c r="AB558" s="216"/>
      <c r="AC558" s="239"/>
      <c r="AD558" s="246"/>
      <c r="AE558" s="239"/>
      <c r="AF558" s="239"/>
      <c r="AG558" s="243"/>
      <c r="AI558" s="239"/>
      <c r="AJ558" s="239"/>
      <c r="AK558" s="239"/>
      <c r="AO558" s="240"/>
    </row>
    <row r="559" spans="14:41">
      <c r="N559" s="1"/>
      <c r="W559" s="1"/>
      <c r="X559" s="240"/>
      <c r="Y559" s="240"/>
      <c r="Z559" s="240"/>
      <c r="AA559" s="240"/>
      <c r="AB559" s="216"/>
      <c r="AC559" s="239"/>
      <c r="AD559" s="246"/>
      <c r="AE559" s="239"/>
      <c r="AF559" s="239"/>
      <c r="AG559" s="243"/>
      <c r="AI559" s="239"/>
      <c r="AJ559" s="239"/>
      <c r="AK559" s="239"/>
      <c r="AO559" s="240"/>
    </row>
    <row r="560" spans="14:41">
      <c r="N560" s="1"/>
      <c r="W560" s="1"/>
      <c r="X560" s="240"/>
      <c r="Y560" s="240"/>
      <c r="Z560" s="240"/>
      <c r="AA560" s="240"/>
      <c r="AB560" s="216"/>
      <c r="AC560" s="239"/>
      <c r="AD560" s="246"/>
      <c r="AE560" s="239"/>
      <c r="AF560" s="239"/>
      <c r="AG560" s="243"/>
      <c r="AI560" s="239"/>
      <c r="AJ560" s="239"/>
      <c r="AK560" s="239"/>
      <c r="AO560" s="240"/>
    </row>
    <row r="561" spans="14:41">
      <c r="N561" s="1"/>
      <c r="W561" s="1"/>
      <c r="X561" s="240"/>
      <c r="Y561" s="240"/>
      <c r="Z561" s="240"/>
      <c r="AA561" s="240"/>
      <c r="AB561" s="216"/>
      <c r="AC561" s="239"/>
      <c r="AD561" s="246"/>
      <c r="AE561" s="239"/>
      <c r="AF561" s="239"/>
      <c r="AG561" s="243"/>
      <c r="AI561" s="239"/>
      <c r="AJ561" s="239"/>
      <c r="AK561" s="239"/>
      <c r="AO561" s="240"/>
    </row>
    <row r="562" spans="14:41">
      <c r="N562" s="1"/>
      <c r="W562" s="1"/>
      <c r="X562" s="240"/>
      <c r="Y562" s="240"/>
      <c r="Z562" s="240"/>
      <c r="AA562" s="240"/>
      <c r="AB562" s="216"/>
      <c r="AC562" s="239"/>
      <c r="AD562" s="246"/>
      <c r="AE562" s="239"/>
      <c r="AF562" s="239"/>
      <c r="AG562" s="243"/>
      <c r="AI562" s="239"/>
      <c r="AJ562" s="239"/>
      <c r="AK562" s="239"/>
      <c r="AO562" s="240"/>
    </row>
    <row r="563" spans="14:41">
      <c r="N563" s="1"/>
      <c r="W563" s="1"/>
      <c r="X563" s="240"/>
      <c r="Y563" s="240"/>
      <c r="Z563" s="240"/>
      <c r="AA563" s="240"/>
      <c r="AB563" s="216"/>
      <c r="AC563" s="239"/>
      <c r="AD563" s="246"/>
      <c r="AE563" s="239"/>
      <c r="AF563" s="239"/>
      <c r="AG563" s="243"/>
      <c r="AI563" s="239"/>
      <c r="AJ563" s="239"/>
      <c r="AK563" s="239"/>
      <c r="AO563" s="240"/>
    </row>
    <row r="564" spans="14:41">
      <c r="N564" s="1"/>
      <c r="W564" s="1"/>
      <c r="X564" s="240"/>
      <c r="Y564" s="240"/>
      <c r="Z564" s="240"/>
      <c r="AA564" s="240"/>
      <c r="AB564" s="216"/>
      <c r="AC564" s="239"/>
      <c r="AD564" s="246"/>
      <c r="AE564" s="239"/>
      <c r="AF564" s="239"/>
      <c r="AG564" s="243"/>
      <c r="AI564" s="239"/>
      <c r="AJ564" s="239"/>
      <c r="AK564" s="239"/>
      <c r="AO564" s="240"/>
    </row>
    <row r="565" spans="14:41">
      <c r="N565" s="1"/>
      <c r="W565" s="1"/>
      <c r="X565" s="240"/>
      <c r="Y565" s="240"/>
      <c r="Z565" s="240"/>
      <c r="AA565" s="240"/>
      <c r="AB565" s="216"/>
      <c r="AC565" s="239"/>
      <c r="AD565" s="246"/>
      <c r="AE565" s="239"/>
      <c r="AF565" s="239"/>
      <c r="AG565" s="243"/>
      <c r="AI565" s="239"/>
      <c r="AJ565" s="239"/>
      <c r="AK565" s="239"/>
      <c r="AO565" s="240"/>
    </row>
    <row r="566" spans="14:41">
      <c r="N566" s="1"/>
      <c r="W566" s="1"/>
      <c r="X566" s="240"/>
      <c r="Y566" s="240"/>
      <c r="Z566" s="240"/>
      <c r="AA566" s="240"/>
      <c r="AB566" s="216"/>
      <c r="AC566" s="239"/>
      <c r="AD566" s="246"/>
      <c r="AE566" s="239"/>
      <c r="AF566" s="239"/>
      <c r="AG566" s="243"/>
      <c r="AI566" s="239"/>
      <c r="AJ566" s="239"/>
      <c r="AK566" s="239"/>
      <c r="AO566" s="240"/>
    </row>
    <row r="567" spans="14:41">
      <c r="N567" s="1"/>
      <c r="W567" s="1"/>
      <c r="X567" s="240"/>
      <c r="Y567" s="240"/>
      <c r="Z567" s="240"/>
      <c r="AA567" s="240"/>
      <c r="AB567" s="216"/>
      <c r="AC567" s="239"/>
      <c r="AD567" s="246"/>
      <c r="AE567" s="239"/>
      <c r="AF567" s="239"/>
      <c r="AG567" s="243"/>
      <c r="AI567" s="239"/>
      <c r="AJ567" s="239"/>
      <c r="AK567" s="239"/>
      <c r="AO567" s="240"/>
    </row>
    <row r="568" spans="14:41">
      <c r="N568" s="1"/>
      <c r="W568" s="1"/>
      <c r="X568" s="240"/>
      <c r="Y568" s="240"/>
      <c r="Z568" s="240"/>
      <c r="AA568" s="240"/>
      <c r="AB568" s="216"/>
      <c r="AC568" s="239"/>
      <c r="AD568" s="246"/>
      <c r="AE568" s="239"/>
      <c r="AF568" s="239"/>
      <c r="AG568" s="243"/>
      <c r="AI568" s="239"/>
      <c r="AJ568" s="239"/>
      <c r="AK568" s="239"/>
      <c r="AO568" s="240"/>
    </row>
    <row r="569" spans="14:41">
      <c r="N569" s="1"/>
      <c r="W569" s="1"/>
      <c r="X569" s="240"/>
      <c r="Y569" s="240"/>
      <c r="Z569" s="240"/>
      <c r="AA569" s="240"/>
      <c r="AB569" s="216"/>
      <c r="AC569" s="239"/>
      <c r="AD569" s="246"/>
      <c r="AE569" s="239"/>
      <c r="AF569" s="239"/>
      <c r="AG569" s="243"/>
      <c r="AI569" s="239"/>
      <c r="AJ569" s="239"/>
      <c r="AK569" s="239"/>
      <c r="AO569" s="240"/>
    </row>
    <row r="570" spans="14:41">
      <c r="N570" s="1"/>
      <c r="W570" s="1"/>
      <c r="X570" s="240"/>
      <c r="Y570" s="240"/>
      <c r="Z570" s="240"/>
      <c r="AA570" s="240"/>
      <c r="AB570" s="216"/>
      <c r="AC570" s="239"/>
      <c r="AD570" s="246"/>
      <c r="AE570" s="239"/>
      <c r="AF570" s="239"/>
      <c r="AG570" s="243"/>
      <c r="AI570" s="239"/>
      <c r="AJ570" s="239"/>
      <c r="AK570" s="239"/>
      <c r="AO570" s="240"/>
    </row>
    <row r="571" spans="14:41">
      <c r="N571" s="1"/>
      <c r="W571" s="1"/>
      <c r="X571" s="240"/>
      <c r="Y571" s="240"/>
      <c r="Z571" s="240"/>
      <c r="AA571" s="240"/>
      <c r="AB571" s="216"/>
      <c r="AC571" s="239"/>
      <c r="AD571" s="246"/>
      <c r="AE571" s="239"/>
      <c r="AF571" s="239"/>
      <c r="AG571" s="243"/>
      <c r="AI571" s="239"/>
      <c r="AJ571" s="239"/>
      <c r="AK571" s="239"/>
      <c r="AO571" s="240"/>
    </row>
    <row r="572" spans="14:41">
      <c r="N572" s="1"/>
      <c r="W572" s="1"/>
      <c r="X572" s="240"/>
      <c r="Y572" s="240"/>
      <c r="Z572" s="240"/>
      <c r="AA572" s="240"/>
      <c r="AB572" s="216"/>
      <c r="AC572" s="239"/>
      <c r="AD572" s="246"/>
      <c r="AE572" s="239"/>
      <c r="AF572" s="239"/>
      <c r="AG572" s="243"/>
      <c r="AI572" s="239"/>
      <c r="AJ572" s="239"/>
      <c r="AK572" s="239"/>
      <c r="AO572" s="240"/>
    </row>
    <row r="573" spans="14:41">
      <c r="N573" s="1"/>
      <c r="W573" s="1"/>
      <c r="X573" s="240"/>
      <c r="Y573" s="240"/>
      <c r="Z573" s="240"/>
      <c r="AA573" s="240"/>
      <c r="AB573" s="216"/>
      <c r="AC573" s="239"/>
      <c r="AD573" s="246"/>
      <c r="AE573" s="239"/>
      <c r="AF573" s="239"/>
      <c r="AG573" s="243"/>
      <c r="AI573" s="239"/>
      <c r="AJ573" s="239"/>
      <c r="AK573" s="239"/>
      <c r="AO573" s="240"/>
    </row>
    <row r="574" spans="14:41">
      <c r="N574" s="1"/>
      <c r="W574" s="1"/>
      <c r="X574" s="240"/>
      <c r="Y574" s="240"/>
      <c r="Z574" s="240"/>
      <c r="AA574" s="240"/>
      <c r="AB574" s="216"/>
      <c r="AC574" s="239"/>
      <c r="AD574" s="246"/>
      <c r="AE574" s="239"/>
      <c r="AF574" s="239"/>
      <c r="AG574" s="243"/>
      <c r="AI574" s="239"/>
      <c r="AJ574" s="239"/>
      <c r="AK574" s="239"/>
      <c r="AO574" s="240"/>
    </row>
    <row r="575" spans="14:41">
      <c r="N575" s="1"/>
      <c r="W575" s="1"/>
      <c r="X575" s="240"/>
      <c r="Y575" s="240"/>
      <c r="Z575" s="240"/>
      <c r="AA575" s="240"/>
      <c r="AB575" s="216"/>
      <c r="AC575" s="239"/>
      <c r="AD575" s="246"/>
      <c r="AE575" s="239"/>
      <c r="AF575" s="239"/>
      <c r="AG575" s="243"/>
      <c r="AI575" s="239"/>
      <c r="AJ575" s="239"/>
      <c r="AK575" s="239"/>
      <c r="AO575" s="240"/>
    </row>
    <row r="576" spans="14:41">
      <c r="N576" s="1"/>
      <c r="W576" s="1"/>
      <c r="X576" s="240"/>
      <c r="Y576" s="240"/>
      <c r="Z576" s="240"/>
      <c r="AA576" s="240"/>
      <c r="AB576" s="216"/>
      <c r="AC576" s="239"/>
      <c r="AD576" s="246"/>
      <c r="AE576" s="239"/>
      <c r="AF576" s="239"/>
      <c r="AG576" s="243"/>
      <c r="AI576" s="239"/>
      <c r="AJ576" s="239"/>
      <c r="AK576" s="239"/>
      <c r="AO576" s="240"/>
    </row>
    <row r="577" spans="14:41">
      <c r="N577" s="1"/>
      <c r="W577" s="1"/>
      <c r="X577" s="240"/>
      <c r="Y577" s="240"/>
      <c r="Z577" s="240"/>
      <c r="AA577" s="240"/>
      <c r="AB577" s="216"/>
      <c r="AC577" s="239"/>
      <c r="AD577" s="246"/>
      <c r="AE577" s="239"/>
      <c r="AF577" s="239"/>
      <c r="AG577" s="243"/>
      <c r="AI577" s="239"/>
      <c r="AJ577" s="239"/>
      <c r="AK577" s="239"/>
      <c r="AO577" s="240"/>
    </row>
    <row r="578" spans="14:41">
      <c r="N578" s="1"/>
      <c r="W578" s="1"/>
      <c r="X578" s="240"/>
      <c r="Y578" s="240"/>
      <c r="Z578" s="240"/>
      <c r="AA578" s="240"/>
      <c r="AB578" s="216"/>
      <c r="AC578" s="239"/>
      <c r="AD578" s="246"/>
      <c r="AE578" s="239"/>
      <c r="AF578" s="239"/>
      <c r="AG578" s="243"/>
      <c r="AI578" s="239"/>
      <c r="AJ578" s="239"/>
      <c r="AK578" s="239"/>
      <c r="AO578" s="240"/>
    </row>
    <row r="579" spans="14:41">
      <c r="N579" s="1"/>
      <c r="W579" s="1"/>
      <c r="X579" s="240"/>
      <c r="Y579" s="240"/>
      <c r="Z579" s="240"/>
      <c r="AA579" s="240"/>
      <c r="AB579" s="216"/>
      <c r="AC579" s="239"/>
      <c r="AD579" s="246"/>
      <c r="AE579" s="239"/>
      <c r="AF579" s="239"/>
      <c r="AG579" s="243"/>
      <c r="AI579" s="239"/>
      <c r="AJ579" s="239"/>
      <c r="AK579" s="239"/>
      <c r="AO579" s="240"/>
    </row>
    <row r="580" spans="14:41">
      <c r="N580" s="1"/>
      <c r="W580" s="1"/>
      <c r="X580" s="240"/>
      <c r="Y580" s="240"/>
      <c r="Z580" s="240"/>
      <c r="AA580" s="240"/>
      <c r="AB580" s="216"/>
      <c r="AC580" s="239"/>
      <c r="AD580" s="246"/>
      <c r="AE580" s="239"/>
      <c r="AF580" s="239"/>
      <c r="AG580" s="243"/>
      <c r="AI580" s="239"/>
      <c r="AJ580" s="239"/>
      <c r="AK580" s="239"/>
      <c r="AO580" s="240"/>
    </row>
    <row r="581" spans="14:41">
      <c r="N581" s="1"/>
      <c r="W581" s="1"/>
      <c r="X581" s="240"/>
      <c r="Y581" s="240"/>
      <c r="Z581" s="240"/>
      <c r="AA581" s="240"/>
      <c r="AB581" s="216"/>
      <c r="AC581" s="239"/>
      <c r="AD581" s="246"/>
      <c r="AE581" s="239"/>
      <c r="AF581" s="239"/>
      <c r="AG581" s="243"/>
      <c r="AI581" s="239"/>
      <c r="AJ581" s="239"/>
      <c r="AK581" s="239"/>
      <c r="AO581" s="240"/>
    </row>
    <row r="582" spans="14:41">
      <c r="N582" s="1"/>
      <c r="W582" s="1"/>
      <c r="X582" s="240"/>
      <c r="Y582" s="240"/>
      <c r="Z582" s="240"/>
      <c r="AA582" s="240"/>
      <c r="AB582" s="216"/>
      <c r="AC582" s="239"/>
      <c r="AD582" s="246"/>
      <c r="AE582" s="239"/>
      <c r="AF582" s="239"/>
      <c r="AG582" s="243"/>
      <c r="AI582" s="239"/>
      <c r="AJ582" s="239"/>
      <c r="AK582" s="239"/>
      <c r="AO582" s="240"/>
    </row>
    <row r="583" spans="14:41">
      <c r="N583" s="1"/>
      <c r="W583" s="1"/>
      <c r="X583" s="240"/>
      <c r="Y583" s="240"/>
      <c r="Z583" s="240"/>
      <c r="AA583" s="240"/>
      <c r="AB583" s="216"/>
      <c r="AC583" s="239"/>
      <c r="AD583" s="246"/>
      <c r="AE583" s="239"/>
      <c r="AF583" s="239"/>
      <c r="AG583" s="243"/>
      <c r="AI583" s="239"/>
      <c r="AJ583" s="239"/>
      <c r="AK583" s="239"/>
      <c r="AO583" s="240"/>
    </row>
    <row r="584" spans="14:41">
      <c r="N584" s="1"/>
      <c r="W584" s="1"/>
      <c r="X584" s="240"/>
      <c r="Y584" s="240"/>
      <c r="Z584" s="240"/>
      <c r="AA584" s="240"/>
      <c r="AB584" s="216"/>
      <c r="AC584" s="239"/>
      <c r="AD584" s="246"/>
      <c r="AE584" s="239"/>
      <c r="AF584" s="239"/>
      <c r="AG584" s="243"/>
      <c r="AI584" s="239"/>
      <c r="AJ584" s="239"/>
      <c r="AK584" s="239"/>
      <c r="AO584" s="240"/>
    </row>
    <row r="585" spans="14:41">
      <c r="N585" s="1"/>
      <c r="W585" s="1"/>
      <c r="X585" s="240"/>
      <c r="Y585" s="240"/>
      <c r="Z585" s="240"/>
      <c r="AA585" s="240"/>
      <c r="AB585" s="216"/>
      <c r="AC585" s="239"/>
      <c r="AD585" s="246"/>
      <c r="AE585" s="239"/>
      <c r="AF585" s="239"/>
      <c r="AG585" s="243"/>
      <c r="AI585" s="239"/>
      <c r="AJ585" s="239"/>
      <c r="AK585" s="239"/>
      <c r="AO585" s="240"/>
    </row>
    <row r="586" spans="14:41">
      <c r="N586" s="1"/>
      <c r="W586" s="1"/>
      <c r="X586" s="240"/>
      <c r="Y586" s="240"/>
      <c r="Z586" s="240"/>
      <c r="AA586" s="240"/>
      <c r="AB586" s="216"/>
      <c r="AC586" s="239"/>
      <c r="AD586" s="246"/>
      <c r="AE586" s="239"/>
      <c r="AF586" s="239"/>
      <c r="AG586" s="243"/>
      <c r="AI586" s="239"/>
      <c r="AJ586" s="239"/>
      <c r="AK586" s="239"/>
      <c r="AO586" s="240"/>
    </row>
    <row r="587" spans="14:41">
      <c r="N587" s="1"/>
      <c r="W587" s="1"/>
      <c r="X587" s="240"/>
      <c r="Y587" s="240"/>
      <c r="Z587" s="240"/>
      <c r="AA587" s="240"/>
      <c r="AB587" s="216"/>
      <c r="AC587" s="239"/>
      <c r="AD587" s="246"/>
      <c r="AE587" s="239"/>
      <c r="AF587" s="239"/>
      <c r="AG587" s="243"/>
      <c r="AI587" s="239"/>
      <c r="AJ587" s="239"/>
      <c r="AK587" s="239"/>
      <c r="AO587" s="240"/>
    </row>
    <row r="588" spans="14:41">
      <c r="N588" s="1"/>
      <c r="W588" s="1"/>
      <c r="X588" s="240"/>
      <c r="Y588" s="240"/>
      <c r="Z588" s="240"/>
      <c r="AA588" s="240"/>
      <c r="AB588" s="216"/>
      <c r="AC588" s="239"/>
      <c r="AD588" s="246"/>
      <c r="AE588" s="239"/>
      <c r="AF588" s="239"/>
      <c r="AG588" s="243"/>
      <c r="AI588" s="239"/>
      <c r="AJ588" s="239"/>
      <c r="AK588" s="239"/>
      <c r="AO588" s="240"/>
    </row>
    <row r="589" spans="14:41">
      <c r="N589" s="1"/>
      <c r="W589" s="1"/>
      <c r="X589" s="240"/>
      <c r="Y589" s="240"/>
      <c r="Z589" s="240"/>
      <c r="AA589" s="240"/>
      <c r="AB589" s="216"/>
      <c r="AC589" s="239"/>
      <c r="AD589" s="246"/>
      <c r="AE589" s="239"/>
      <c r="AF589" s="239"/>
      <c r="AG589" s="243"/>
      <c r="AI589" s="239"/>
      <c r="AJ589" s="239"/>
      <c r="AK589" s="239"/>
      <c r="AO589" s="240"/>
    </row>
    <row r="590" spans="14:41">
      <c r="N590" s="1"/>
      <c r="W590" s="1"/>
      <c r="X590" s="240"/>
      <c r="Y590" s="240"/>
      <c r="Z590" s="240"/>
      <c r="AA590" s="240"/>
      <c r="AB590" s="216"/>
      <c r="AC590" s="239"/>
      <c r="AD590" s="246"/>
      <c r="AE590" s="239"/>
      <c r="AF590" s="239"/>
      <c r="AG590" s="243"/>
      <c r="AI590" s="239"/>
      <c r="AJ590" s="239"/>
      <c r="AK590" s="239"/>
      <c r="AO590" s="240"/>
    </row>
    <row r="591" spans="14:41">
      <c r="N591" s="1"/>
      <c r="W591" s="1"/>
      <c r="X591" s="240"/>
      <c r="Y591" s="240"/>
      <c r="Z591" s="240"/>
      <c r="AA591" s="240"/>
      <c r="AB591" s="216"/>
      <c r="AC591" s="239"/>
      <c r="AD591" s="246"/>
      <c r="AE591" s="239"/>
      <c r="AF591" s="239"/>
      <c r="AG591" s="243"/>
      <c r="AI591" s="239"/>
      <c r="AJ591" s="239"/>
      <c r="AK591" s="239"/>
      <c r="AO591" s="240"/>
    </row>
    <row r="592" spans="14:41">
      <c r="N592" s="1"/>
      <c r="W592" s="1"/>
      <c r="X592" s="240"/>
      <c r="Y592" s="240"/>
      <c r="Z592" s="240"/>
      <c r="AA592" s="240"/>
      <c r="AB592" s="216"/>
      <c r="AC592" s="239"/>
      <c r="AD592" s="246"/>
      <c r="AE592" s="239"/>
      <c r="AF592" s="239"/>
      <c r="AG592" s="243"/>
      <c r="AI592" s="239"/>
      <c r="AJ592" s="239"/>
      <c r="AK592" s="239"/>
      <c r="AO592" s="240"/>
    </row>
    <row r="593" spans="14:41">
      <c r="N593" s="1"/>
      <c r="W593" s="1"/>
      <c r="X593" s="240"/>
      <c r="Y593" s="240"/>
      <c r="Z593" s="240"/>
      <c r="AA593" s="240"/>
      <c r="AB593" s="216"/>
      <c r="AC593" s="239"/>
      <c r="AD593" s="246"/>
      <c r="AE593" s="239"/>
      <c r="AF593" s="239"/>
      <c r="AG593" s="243"/>
      <c r="AI593" s="239"/>
      <c r="AJ593" s="239"/>
      <c r="AK593" s="239"/>
      <c r="AO593" s="240"/>
    </row>
    <row r="594" spans="14:41">
      <c r="N594" s="1"/>
      <c r="W594" s="1"/>
      <c r="X594" s="240"/>
      <c r="Y594" s="240"/>
      <c r="Z594" s="240"/>
      <c r="AA594" s="240"/>
      <c r="AB594" s="216"/>
      <c r="AC594" s="239"/>
      <c r="AD594" s="246"/>
      <c r="AE594" s="239"/>
      <c r="AF594" s="239"/>
      <c r="AG594" s="243"/>
      <c r="AI594" s="239"/>
      <c r="AJ594" s="239"/>
      <c r="AK594" s="239"/>
      <c r="AO594" s="240"/>
    </row>
    <row r="595" spans="14:41">
      <c r="N595" s="1"/>
      <c r="W595" s="1"/>
      <c r="X595" s="240"/>
      <c r="Y595" s="240"/>
      <c r="Z595" s="240"/>
      <c r="AA595" s="240"/>
      <c r="AB595" s="216"/>
      <c r="AC595" s="239"/>
      <c r="AD595" s="246"/>
      <c r="AE595" s="239"/>
      <c r="AF595" s="239"/>
      <c r="AG595" s="243"/>
      <c r="AI595" s="239"/>
      <c r="AJ595" s="239"/>
      <c r="AK595" s="239"/>
      <c r="AO595" s="240"/>
    </row>
    <row r="596" spans="14:41">
      <c r="N596" s="1"/>
      <c r="W596" s="1"/>
      <c r="X596" s="240"/>
      <c r="Y596" s="240"/>
      <c r="Z596" s="240"/>
      <c r="AA596" s="240"/>
      <c r="AB596" s="216"/>
      <c r="AC596" s="239"/>
      <c r="AD596" s="246"/>
      <c r="AE596" s="239"/>
      <c r="AF596" s="239"/>
      <c r="AG596" s="243"/>
      <c r="AI596" s="239"/>
      <c r="AJ596" s="239"/>
      <c r="AK596" s="239"/>
      <c r="AO596" s="240"/>
    </row>
    <row r="597" spans="14:41">
      <c r="N597" s="1"/>
      <c r="W597" s="1"/>
      <c r="X597" s="240"/>
      <c r="Y597" s="240"/>
      <c r="Z597" s="240"/>
      <c r="AA597" s="240"/>
      <c r="AB597" s="216"/>
      <c r="AC597" s="239"/>
      <c r="AD597" s="246"/>
      <c r="AE597" s="239"/>
      <c r="AF597" s="239"/>
      <c r="AG597" s="243"/>
      <c r="AI597" s="239"/>
      <c r="AJ597" s="239"/>
      <c r="AK597" s="239"/>
      <c r="AO597" s="240"/>
    </row>
    <row r="598" spans="14:41">
      <c r="N598" s="1"/>
      <c r="W598" s="1"/>
      <c r="X598" s="240"/>
      <c r="Y598" s="240"/>
      <c r="Z598" s="240"/>
      <c r="AA598" s="240"/>
      <c r="AB598" s="216"/>
      <c r="AC598" s="239"/>
      <c r="AD598" s="246"/>
      <c r="AE598" s="239"/>
      <c r="AF598" s="239"/>
      <c r="AG598" s="243"/>
      <c r="AI598" s="239"/>
      <c r="AJ598" s="239"/>
      <c r="AK598" s="239"/>
      <c r="AO598" s="240"/>
    </row>
    <row r="599" spans="14:41">
      <c r="N599" s="1"/>
      <c r="W599" s="1"/>
      <c r="X599" s="240"/>
      <c r="Y599" s="240"/>
      <c r="Z599" s="240"/>
      <c r="AA599" s="240"/>
      <c r="AB599" s="216"/>
      <c r="AC599" s="239"/>
      <c r="AD599" s="246"/>
      <c r="AE599" s="239"/>
      <c r="AF599" s="239"/>
      <c r="AG599" s="243"/>
      <c r="AI599" s="239"/>
      <c r="AJ599" s="239"/>
      <c r="AK599" s="239"/>
      <c r="AO599" s="240"/>
    </row>
    <row r="600" spans="14:41">
      <c r="N600" s="1"/>
      <c r="W600" s="1"/>
      <c r="X600" s="240"/>
      <c r="Y600" s="240"/>
      <c r="Z600" s="240"/>
      <c r="AA600" s="240"/>
      <c r="AB600" s="216"/>
      <c r="AC600" s="239"/>
      <c r="AD600" s="246"/>
      <c r="AE600" s="239"/>
      <c r="AF600" s="239"/>
      <c r="AG600" s="243"/>
      <c r="AI600" s="239"/>
      <c r="AJ600" s="239"/>
      <c r="AK600" s="239"/>
      <c r="AO600" s="240"/>
    </row>
    <row r="601" spans="14:41">
      <c r="N601" s="1"/>
      <c r="W601" s="1"/>
      <c r="X601" s="240"/>
      <c r="Y601" s="240"/>
      <c r="Z601" s="240"/>
      <c r="AA601" s="240"/>
      <c r="AB601" s="216"/>
      <c r="AC601" s="239"/>
      <c r="AD601" s="246"/>
      <c r="AE601" s="239"/>
      <c r="AF601" s="239"/>
      <c r="AG601" s="243"/>
      <c r="AI601" s="239"/>
      <c r="AJ601" s="239"/>
      <c r="AK601" s="239"/>
      <c r="AO601" s="240"/>
    </row>
    <row r="602" spans="14:41">
      <c r="N602" s="1"/>
      <c r="W602" s="1"/>
      <c r="X602" s="240"/>
      <c r="Y602" s="240"/>
      <c r="Z602" s="240"/>
      <c r="AA602" s="240"/>
      <c r="AB602" s="216"/>
      <c r="AC602" s="239"/>
      <c r="AD602" s="246"/>
      <c r="AE602" s="239"/>
      <c r="AF602" s="239"/>
      <c r="AG602" s="243"/>
      <c r="AI602" s="239"/>
      <c r="AJ602" s="239"/>
      <c r="AK602" s="239"/>
      <c r="AO602" s="240"/>
    </row>
    <row r="603" spans="14:41">
      <c r="N603" s="1"/>
      <c r="W603" s="1"/>
      <c r="X603" s="240"/>
      <c r="Y603" s="240"/>
      <c r="Z603" s="240"/>
      <c r="AA603" s="240"/>
      <c r="AB603" s="216"/>
      <c r="AC603" s="239"/>
      <c r="AD603" s="246"/>
      <c r="AE603" s="239"/>
      <c r="AF603" s="239"/>
      <c r="AG603" s="243"/>
      <c r="AI603" s="239"/>
      <c r="AJ603" s="239"/>
      <c r="AK603" s="239"/>
      <c r="AO603" s="240"/>
    </row>
    <row r="604" spans="14:41">
      <c r="N604" s="1"/>
      <c r="W604" s="1"/>
      <c r="X604" s="240"/>
      <c r="Y604" s="240"/>
      <c r="Z604" s="240"/>
      <c r="AA604" s="240"/>
      <c r="AB604" s="216"/>
      <c r="AC604" s="239"/>
      <c r="AD604" s="246"/>
      <c r="AE604" s="239"/>
      <c r="AF604" s="239"/>
      <c r="AG604" s="243"/>
      <c r="AI604" s="239"/>
      <c r="AJ604" s="239"/>
      <c r="AK604" s="239"/>
      <c r="AO604" s="240"/>
    </row>
    <row r="605" spans="14:41">
      <c r="N605" s="1"/>
      <c r="W605" s="1"/>
      <c r="X605" s="240"/>
      <c r="Y605" s="240"/>
      <c r="Z605" s="240"/>
      <c r="AA605" s="240"/>
      <c r="AB605" s="216"/>
      <c r="AC605" s="239"/>
      <c r="AD605" s="246"/>
      <c r="AE605" s="239"/>
      <c r="AF605" s="239"/>
      <c r="AG605" s="243"/>
      <c r="AI605" s="239"/>
      <c r="AJ605" s="239"/>
      <c r="AK605" s="239"/>
      <c r="AO605" s="240"/>
    </row>
    <row r="606" spans="14:41">
      <c r="N606" s="1"/>
      <c r="W606" s="1"/>
      <c r="X606" s="240"/>
      <c r="Y606" s="240"/>
      <c r="Z606" s="240"/>
      <c r="AA606" s="240"/>
      <c r="AB606" s="216"/>
      <c r="AC606" s="239"/>
      <c r="AD606" s="246"/>
      <c r="AE606" s="239"/>
      <c r="AF606" s="239"/>
      <c r="AG606" s="243"/>
      <c r="AI606" s="239"/>
      <c r="AJ606" s="239"/>
      <c r="AK606" s="239"/>
      <c r="AO606" s="240"/>
    </row>
    <row r="607" spans="14:41">
      <c r="N607" s="1"/>
      <c r="W607" s="1"/>
      <c r="X607" s="240"/>
      <c r="Y607" s="240"/>
      <c r="Z607" s="240"/>
      <c r="AA607" s="240"/>
      <c r="AB607" s="216"/>
      <c r="AC607" s="239"/>
      <c r="AD607" s="246"/>
      <c r="AE607" s="239"/>
      <c r="AF607" s="239"/>
      <c r="AG607" s="243"/>
      <c r="AI607" s="239"/>
      <c r="AJ607" s="239"/>
      <c r="AK607" s="239"/>
      <c r="AO607" s="240"/>
    </row>
    <row r="608" spans="14:41">
      <c r="N608" s="1"/>
      <c r="W608" s="1"/>
      <c r="X608" s="240"/>
      <c r="Y608" s="240"/>
      <c r="Z608" s="240"/>
      <c r="AA608" s="240"/>
      <c r="AB608" s="216"/>
      <c r="AC608" s="239"/>
      <c r="AD608" s="246"/>
      <c r="AE608" s="239"/>
      <c r="AF608" s="239"/>
      <c r="AG608" s="243"/>
      <c r="AI608" s="239"/>
      <c r="AJ608" s="239"/>
      <c r="AK608" s="239"/>
      <c r="AO608" s="240"/>
    </row>
    <row r="609" spans="14:41">
      <c r="N609" s="1"/>
      <c r="W609" s="1"/>
      <c r="X609" s="240"/>
      <c r="Y609" s="240"/>
      <c r="Z609" s="240"/>
      <c r="AA609" s="240"/>
      <c r="AB609" s="216"/>
      <c r="AC609" s="239"/>
      <c r="AD609" s="246"/>
      <c r="AE609" s="239"/>
      <c r="AF609" s="239"/>
      <c r="AG609" s="243"/>
      <c r="AI609" s="239"/>
      <c r="AJ609" s="239"/>
      <c r="AK609" s="239"/>
      <c r="AO609" s="240"/>
    </row>
    <row r="610" spans="14:41">
      <c r="N610" s="1"/>
      <c r="W610" s="1"/>
      <c r="X610" s="240"/>
      <c r="Y610" s="240"/>
      <c r="Z610" s="240"/>
      <c r="AA610" s="240"/>
      <c r="AB610" s="216"/>
      <c r="AC610" s="239"/>
      <c r="AD610" s="246"/>
      <c r="AE610" s="239"/>
      <c r="AF610" s="239"/>
      <c r="AG610" s="243"/>
      <c r="AI610" s="239"/>
      <c r="AJ610" s="239"/>
      <c r="AK610" s="239"/>
      <c r="AO610" s="240"/>
    </row>
    <row r="611" spans="14:41">
      <c r="N611" s="1"/>
      <c r="W611" s="1"/>
      <c r="X611" s="240"/>
      <c r="Y611" s="240"/>
      <c r="Z611" s="240"/>
      <c r="AA611" s="240"/>
      <c r="AB611" s="216"/>
      <c r="AC611" s="239"/>
      <c r="AD611" s="246"/>
      <c r="AE611" s="239"/>
      <c r="AF611" s="239"/>
      <c r="AG611" s="243"/>
      <c r="AI611" s="239"/>
      <c r="AJ611" s="239"/>
      <c r="AK611" s="239"/>
      <c r="AO611" s="240"/>
    </row>
    <row r="612" spans="14:41">
      <c r="N612" s="1"/>
      <c r="W612" s="1"/>
      <c r="X612" s="240"/>
      <c r="Y612" s="240"/>
      <c r="Z612" s="240"/>
      <c r="AA612" s="240"/>
      <c r="AB612" s="216"/>
      <c r="AC612" s="239"/>
      <c r="AD612" s="246"/>
      <c r="AE612" s="239"/>
      <c r="AF612" s="239"/>
      <c r="AG612" s="243"/>
      <c r="AI612" s="239"/>
      <c r="AJ612" s="239"/>
      <c r="AK612" s="239"/>
      <c r="AO612" s="240"/>
    </row>
    <row r="613" spans="14:41">
      <c r="N613" s="1"/>
      <c r="W613" s="1"/>
      <c r="X613" s="240"/>
      <c r="Y613" s="240"/>
      <c r="Z613" s="240"/>
      <c r="AA613" s="240"/>
      <c r="AB613" s="216"/>
      <c r="AC613" s="239"/>
      <c r="AD613" s="246"/>
      <c r="AE613" s="239"/>
      <c r="AF613" s="239"/>
      <c r="AG613" s="243"/>
      <c r="AI613" s="239"/>
      <c r="AJ613" s="239"/>
      <c r="AK613" s="239"/>
      <c r="AO613" s="240"/>
    </row>
    <row r="614" spans="14:41">
      <c r="N614" s="1"/>
      <c r="W614" s="1"/>
      <c r="X614" s="240"/>
      <c r="Y614" s="240"/>
      <c r="Z614" s="240"/>
      <c r="AA614" s="240"/>
      <c r="AB614" s="216"/>
      <c r="AC614" s="239"/>
      <c r="AD614" s="246"/>
      <c r="AE614" s="239"/>
      <c r="AF614" s="239"/>
      <c r="AG614" s="243"/>
      <c r="AI614" s="239"/>
      <c r="AJ614" s="239"/>
      <c r="AK614" s="239"/>
      <c r="AO614" s="240"/>
    </row>
    <row r="615" spans="14:41">
      <c r="N615" s="1"/>
      <c r="W615" s="1"/>
      <c r="X615" s="240"/>
      <c r="Y615" s="240"/>
      <c r="Z615" s="240"/>
      <c r="AA615" s="240"/>
      <c r="AB615" s="216"/>
      <c r="AC615" s="239"/>
      <c r="AD615" s="246"/>
      <c r="AE615" s="239"/>
      <c r="AF615" s="239"/>
      <c r="AG615" s="243"/>
      <c r="AI615" s="239"/>
      <c r="AJ615" s="239"/>
      <c r="AK615" s="239"/>
      <c r="AO615" s="240"/>
    </row>
    <row r="616" spans="14:41">
      <c r="N616" s="1"/>
      <c r="W616" s="1"/>
      <c r="X616" s="240"/>
      <c r="Y616" s="240"/>
      <c r="Z616" s="240"/>
      <c r="AA616" s="240"/>
      <c r="AB616" s="216"/>
      <c r="AC616" s="239"/>
      <c r="AD616" s="246"/>
      <c r="AE616" s="239"/>
      <c r="AF616" s="239"/>
      <c r="AG616" s="243"/>
      <c r="AI616" s="239"/>
      <c r="AJ616" s="239"/>
      <c r="AK616" s="239"/>
      <c r="AO616" s="240"/>
    </row>
    <row r="617" spans="14:41">
      <c r="N617" s="1"/>
      <c r="W617" s="1"/>
      <c r="X617" s="240"/>
      <c r="Y617" s="240"/>
      <c r="Z617" s="240"/>
      <c r="AA617" s="240"/>
      <c r="AB617" s="216"/>
      <c r="AC617" s="239"/>
      <c r="AD617" s="246"/>
      <c r="AE617" s="239"/>
      <c r="AF617" s="239"/>
      <c r="AG617" s="243"/>
      <c r="AI617" s="239"/>
      <c r="AJ617" s="239"/>
      <c r="AK617" s="239"/>
      <c r="AO617" s="240"/>
    </row>
    <row r="618" spans="14:41">
      <c r="N618" s="1"/>
      <c r="W618" s="1"/>
      <c r="X618" s="240"/>
      <c r="Y618" s="240"/>
      <c r="Z618" s="240"/>
      <c r="AA618" s="240"/>
      <c r="AB618" s="216"/>
      <c r="AC618" s="239"/>
      <c r="AD618" s="246"/>
      <c r="AE618" s="239"/>
      <c r="AF618" s="239"/>
      <c r="AG618" s="243"/>
      <c r="AI618" s="239"/>
      <c r="AJ618" s="239"/>
      <c r="AK618" s="239"/>
      <c r="AO618" s="240"/>
    </row>
    <row r="619" spans="14:41">
      <c r="N619" s="1"/>
      <c r="W619" s="1"/>
      <c r="X619" s="240"/>
      <c r="Y619" s="240"/>
      <c r="Z619" s="240"/>
      <c r="AA619" s="240"/>
      <c r="AB619" s="216"/>
      <c r="AC619" s="239"/>
      <c r="AD619" s="246"/>
      <c r="AE619" s="239"/>
      <c r="AF619" s="239"/>
      <c r="AG619" s="243"/>
      <c r="AI619" s="239"/>
      <c r="AJ619" s="239"/>
      <c r="AK619" s="239"/>
      <c r="AO619" s="240"/>
    </row>
    <row r="620" spans="14:41">
      <c r="N620" s="1"/>
      <c r="W620" s="1"/>
      <c r="X620" s="240"/>
      <c r="Y620" s="240"/>
      <c r="Z620" s="240"/>
      <c r="AA620" s="240"/>
      <c r="AB620" s="216"/>
      <c r="AC620" s="239"/>
      <c r="AD620" s="246"/>
      <c r="AE620" s="239"/>
      <c r="AF620" s="239"/>
      <c r="AG620" s="243"/>
      <c r="AI620" s="239"/>
      <c r="AJ620" s="239"/>
      <c r="AK620" s="239"/>
      <c r="AO620" s="240"/>
    </row>
    <row r="621" spans="14:41">
      <c r="N621" s="1"/>
      <c r="W621" s="1"/>
      <c r="X621" s="240"/>
      <c r="Y621" s="240"/>
      <c r="Z621" s="240"/>
      <c r="AA621" s="240"/>
      <c r="AB621" s="216"/>
      <c r="AC621" s="239"/>
      <c r="AD621" s="246"/>
      <c r="AE621" s="239"/>
      <c r="AF621" s="239"/>
      <c r="AG621" s="243"/>
      <c r="AI621" s="239"/>
      <c r="AJ621" s="239"/>
      <c r="AK621" s="239"/>
      <c r="AO621" s="240"/>
    </row>
    <row r="622" spans="14:41">
      <c r="N622" s="1"/>
      <c r="W622" s="1"/>
      <c r="X622" s="240"/>
      <c r="Y622" s="240"/>
      <c r="Z622" s="240"/>
      <c r="AA622" s="240"/>
      <c r="AB622" s="216"/>
      <c r="AC622" s="239"/>
      <c r="AD622" s="246"/>
      <c r="AE622" s="239"/>
      <c r="AF622" s="239"/>
      <c r="AG622" s="243"/>
      <c r="AI622" s="239"/>
      <c r="AJ622" s="239"/>
      <c r="AK622" s="239"/>
      <c r="AO622" s="240"/>
    </row>
    <row r="623" spans="14:41">
      <c r="N623" s="1"/>
      <c r="W623" s="1"/>
      <c r="X623" s="240"/>
      <c r="Y623" s="240"/>
      <c r="Z623" s="240"/>
      <c r="AA623" s="240"/>
      <c r="AB623" s="216"/>
      <c r="AC623" s="239"/>
      <c r="AD623" s="246"/>
      <c r="AE623" s="239"/>
      <c r="AF623" s="239"/>
      <c r="AG623" s="243"/>
      <c r="AI623" s="239"/>
      <c r="AJ623" s="239"/>
      <c r="AK623" s="239"/>
      <c r="AO623" s="240"/>
    </row>
    <row r="624" spans="14:41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240"/>
      <c r="Y624" s="240"/>
      <c r="Z624" s="240"/>
      <c r="AA624" s="240"/>
      <c r="AB624" s="216"/>
      <c r="AC624" s="239"/>
      <c r="AD624" s="246"/>
      <c r="AE624" s="244"/>
      <c r="AF624" s="244"/>
      <c r="AG624" s="243"/>
      <c r="AH624" s="243"/>
      <c r="AI624" s="239"/>
      <c r="AJ624" s="239"/>
      <c r="AK624" s="239"/>
    </row>
    <row r="625" spans="28:37">
      <c r="AB625" s="215"/>
      <c r="AC625" s="239"/>
      <c r="AD625" s="239"/>
      <c r="AE625" s="244"/>
      <c r="AF625" s="244"/>
      <c r="AG625" s="243"/>
      <c r="AH625" s="243"/>
      <c r="AI625" s="239"/>
      <c r="AJ625" s="239"/>
      <c r="AK625" s="239"/>
    </row>
    <row r="626" spans="28:37">
      <c r="AB626" s="215"/>
      <c r="AC626" s="239"/>
      <c r="AD626" s="239"/>
      <c r="AE626" s="244"/>
      <c r="AF626" s="244"/>
      <c r="AG626" s="243"/>
      <c r="AH626" s="243"/>
      <c r="AI626" s="239"/>
      <c r="AJ626" s="239"/>
      <c r="AK626" s="239"/>
    </row>
    <row r="627" spans="28:37">
      <c r="AB627" s="215"/>
      <c r="AC627" s="239"/>
      <c r="AD627" s="239"/>
      <c r="AE627" s="244"/>
      <c r="AF627" s="244"/>
      <c r="AG627" s="243"/>
      <c r="AH627" s="243"/>
      <c r="AI627" s="239"/>
      <c r="AJ627" s="239"/>
      <c r="AK627" s="239"/>
    </row>
    <row r="628" spans="28:37">
      <c r="AB628" s="215"/>
      <c r="AC628" s="239"/>
      <c r="AD628" s="239"/>
      <c r="AE628" s="244"/>
      <c r="AF628" s="244"/>
      <c r="AG628" s="243"/>
      <c r="AH628" s="243"/>
      <c r="AI628" s="239"/>
      <c r="AJ628" s="239"/>
      <c r="AK628" s="239"/>
    </row>
    <row r="629" spans="28:37">
      <c r="AB629" s="215"/>
      <c r="AC629" s="239"/>
      <c r="AD629" s="239"/>
      <c r="AE629" s="244"/>
      <c r="AF629" s="244"/>
      <c r="AG629" s="243"/>
      <c r="AH629" s="243"/>
      <c r="AI629" s="239"/>
      <c r="AJ629" s="239"/>
      <c r="AK629" s="239"/>
    </row>
    <row r="630" spans="28:37">
      <c r="AB630" s="215"/>
      <c r="AC630" s="239"/>
      <c r="AD630" s="239"/>
      <c r="AE630" s="244"/>
      <c r="AF630" s="244"/>
      <c r="AG630" s="243"/>
      <c r="AH630" s="243"/>
      <c r="AI630" s="239"/>
      <c r="AJ630" s="239"/>
      <c r="AK630" s="239"/>
    </row>
    <row r="631" spans="28:37">
      <c r="AB631" s="215"/>
      <c r="AC631" s="239"/>
      <c r="AD631" s="239"/>
      <c r="AE631" s="244"/>
      <c r="AF631" s="244"/>
      <c r="AG631" s="243"/>
      <c r="AH631" s="243"/>
      <c r="AI631" s="239"/>
      <c r="AJ631" s="239"/>
      <c r="AK631" s="239"/>
    </row>
    <row r="632" spans="28:37">
      <c r="AB632" s="215"/>
      <c r="AC632" s="239"/>
      <c r="AD632" s="239"/>
      <c r="AE632" s="244"/>
      <c r="AF632" s="244"/>
      <c r="AG632" s="243"/>
      <c r="AH632" s="243"/>
      <c r="AI632" s="239"/>
      <c r="AJ632" s="239"/>
      <c r="AK632" s="239"/>
    </row>
    <row r="633" spans="28:37">
      <c r="AB633" s="215"/>
      <c r="AC633" s="239"/>
      <c r="AD633" s="239"/>
      <c r="AE633" s="244"/>
      <c r="AF633" s="244"/>
      <c r="AG633" s="243"/>
      <c r="AH633" s="243"/>
      <c r="AI633" s="239"/>
      <c r="AJ633" s="239"/>
      <c r="AK633" s="239"/>
    </row>
    <row r="634" spans="28:37">
      <c r="AB634" s="215"/>
      <c r="AC634" s="239"/>
      <c r="AD634" s="239"/>
      <c r="AE634" s="244"/>
      <c r="AF634" s="244"/>
      <c r="AG634" s="243"/>
      <c r="AH634" s="243"/>
      <c r="AI634" s="239"/>
      <c r="AJ634" s="239"/>
      <c r="AK634" s="239"/>
    </row>
    <row r="635" spans="28:37">
      <c r="AB635" s="215"/>
      <c r="AC635" s="239"/>
      <c r="AD635" s="239"/>
      <c r="AE635" s="244"/>
      <c r="AF635" s="244"/>
      <c r="AG635" s="243"/>
      <c r="AH635" s="243"/>
      <c r="AI635" s="239"/>
      <c r="AJ635" s="239"/>
      <c r="AK635" s="239"/>
    </row>
    <row r="636" spans="28:37">
      <c r="AB636" s="215"/>
      <c r="AC636" s="239"/>
      <c r="AD636" s="239"/>
      <c r="AE636" s="244"/>
      <c r="AF636" s="244"/>
      <c r="AG636" s="243"/>
      <c r="AH636" s="243"/>
      <c r="AI636" s="239"/>
      <c r="AJ636" s="239"/>
      <c r="AK636" s="239"/>
    </row>
    <row r="637" spans="28:37">
      <c r="AB637" s="215"/>
      <c r="AC637" s="239"/>
      <c r="AD637" s="239"/>
      <c r="AE637" s="244"/>
      <c r="AF637" s="244"/>
      <c r="AG637" s="243"/>
      <c r="AH637" s="243"/>
      <c r="AI637" s="239"/>
      <c r="AJ637" s="239"/>
      <c r="AK637" s="239"/>
    </row>
    <row r="638" spans="28:37">
      <c r="AB638" s="215"/>
      <c r="AC638" s="239"/>
      <c r="AD638" s="239"/>
      <c r="AE638" s="244"/>
      <c r="AF638" s="244"/>
      <c r="AG638" s="243"/>
      <c r="AH638" s="243"/>
      <c r="AI638" s="239"/>
      <c r="AJ638" s="239"/>
      <c r="AK638" s="239"/>
    </row>
    <row r="639" spans="28:37">
      <c r="AB639" s="215"/>
      <c r="AC639" s="239"/>
      <c r="AD639" s="239"/>
      <c r="AE639" s="244"/>
      <c r="AF639" s="244"/>
      <c r="AG639" s="243"/>
      <c r="AH639" s="243"/>
      <c r="AI639" s="239"/>
      <c r="AJ639" s="239"/>
      <c r="AK639" s="239"/>
    </row>
    <row r="640" spans="28:37">
      <c r="AB640" s="215"/>
      <c r="AC640" s="239"/>
      <c r="AD640" s="239"/>
      <c r="AE640" s="244"/>
      <c r="AF640" s="244"/>
      <c r="AG640" s="243"/>
      <c r="AH640" s="243"/>
      <c r="AI640" s="239"/>
      <c r="AJ640" s="239"/>
      <c r="AK640" s="239"/>
    </row>
    <row r="641" spans="28:37">
      <c r="AB641" s="215"/>
      <c r="AC641" s="239"/>
      <c r="AD641" s="239"/>
      <c r="AE641" s="244"/>
      <c r="AF641" s="244"/>
      <c r="AG641" s="243"/>
      <c r="AH641" s="243"/>
      <c r="AI641" s="239"/>
      <c r="AJ641" s="239"/>
      <c r="AK641" s="239"/>
    </row>
    <row r="642" spans="28:37">
      <c r="AB642" s="215"/>
      <c r="AC642" s="239"/>
      <c r="AD642" s="239"/>
      <c r="AE642" s="244"/>
      <c r="AF642" s="244"/>
      <c r="AG642" s="243"/>
      <c r="AH642" s="243"/>
      <c r="AI642" s="239"/>
      <c r="AJ642" s="239"/>
      <c r="AK642" s="239"/>
    </row>
    <row r="643" spans="28:37">
      <c r="AB643" s="215"/>
      <c r="AC643" s="239"/>
      <c r="AD643" s="239"/>
      <c r="AE643" s="244"/>
      <c r="AF643" s="244"/>
      <c r="AG643" s="243"/>
      <c r="AH643" s="243"/>
      <c r="AI643" s="239"/>
      <c r="AJ643" s="239"/>
      <c r="AK643" s="239"/>
    </row>
    <row r="644" spans="28:37">
      <c r="AB644" s="215"/>
      <c r="AC644" s="239"/>
      <c r="AD644" s="239"/>
      <c r="AE644" s="244"/>
      <c r="AF644" s="244"/>
      <c r="AG644" s="243"/>
      <c r="AH644" s="243"/>
      <c r="AI644" s="239"/>
      <c r="AJ644" s="239"/>
      <c r="AK644" s="239"/>
    </row>
    <row r="645" spans="28:37">
      <c r="AB645" s="215"/>
      <c r="AC645" s="239"/>
      <c r="AD645" s="239"/>
      <c r="AE645" s="244"/>
      <c r="AF645" s="244"/>
      <c r="AG645" s="243"/>
      <c r="AH645" s="243"/>
      <c r="AI645" s="239"/>
      <c r="AJ645" s="239"/>
      <c r="AK645" s="239"/>
    </row>
    <row r="646" spans="28:37">
      <c r="AB646" s="215"/>
      <c r="AC646" s="239"/>
      <c r="AD646" s="239"/>
      <c r="AE646" s="244"/>
      <c r="AF646" s="244"/>
      <c r="AG646" s="243"/>
      <c r="AH646" s="243"/>
      <c r="AI646" s="239"/>
      <c r="AJ646" s="239"/>
      <c r="AK646" s="239"/>
    </row>
    <row r="647" spans="28:37">
      <c r="AB647" s="215"/>
      <c r="AC647" s="239"/>
      <c r="AD647" s="239"/>
      <c r="AE647" s="244"/>
      <c r="AF647" s="244"/>
      <c r="AG647" s="243"/>
      <c r="AH647" s="243"/>
      <c r="AI647" s="239"/>
      <c r="AJ647" s="239"/>
      <c r="AK647" s="239"/>
    </row>
    <row r="648" spans="28:37">
      <c r="AB648" s="215"/>
      <c r="AC648" s="239"/>
      <c r="AD648" s="239"/>
      <c r="AE648" s="244"/>
      <c r="AF648" s="244"/>
      <c r="AG648" s="243"/>
      <c r="AH648" s="243"/>
      <c r="AI648" s="239"/>
      <c r="AJ648" s="239"/>
      <c r="AK648" s="239"/>
    </row>
    <row r="649" spans="28:37">
      <c r="AB649" s="215"/>
      <c r="AC649" s="239"/>
      <c r="AD649" s="239"/>
      <c r="AE649" s="244"/>
      <c r="AF649" s="244"/>
      <c r="AG649" s="243"/>
      <c r="AH649" s="243"/>
      <c r="AI649" s="239"/>
      <c r="AJ649" s="239"/>
      <c r="AK649" s="239"/>
    </row>
    <row r="650" spans="28:37">
      <c r="AB650" s="215"/>
      <c r="AC650" s="239"/>
      <c r="AD650" s="239"/>
      <c r="AE650" s="244"/>
      <c r="AF650" s="244"/>
      <c r="AG650" s="243"/>
      <c r="AH650" s="243"/>
      <c r="AI650" s="239"/>
      <c r="AJ650" s="239"/>
      <c r="AK650" s="239"/>
    </row>
    <row r="651" spans="28:37">
      <c r="AB651" s="215"/>
      <c r="AC651" s="239"/>
      <c r="AD651" s="239"/>
      <c r="AE651" s="244"/>
      <c r="AF651" s="244"/>
      <c r="AG651" s="243"/>
      <c r="AH651" s="243"/>
      <c r="AI651" s="239"/>
      <c r="AJ651" s="239"/>
      <c r="AK651" s="239"/>
    </row>
    <row r="652" spans="28:37">
      <c r="AB652" s="215"/>
      <c r="AC652" s="239"/>
      <c r="AD652" s="239"/>
      <c r="AE652" s="244"/>
      <c r="AF652" s="244"/>
      <c r="AG652" s="243"/>
      <c r="AH652" s="243"/>
      <c r="AI652" s="239"/>
      <c r="AJ652" s="239"/>
      <c r="AK652" s="239"/>
    </row>
    <row r="653" spans="28:37">
      <c r="AB653" s="215"/>
      <c r="AC653" s="239"/>
      <c r="AD653" s="239"/>
      <c r="AE653" s="244"/>
      <c r="AF653" s="244"/>
      <c r="AG653" s="243"/>
      <c r="AH653" s="243"/>
      <c r="AI653" s="239"/>
      <c r="AJ653" s="239"/>
      <c r="AK653" s="239"/>
    </row>
    <row r="654" spans="28:37">
      <c r="AB654" s="215"/>
      <c r="AC654" s="239"/>
      <c r="AD654" s="239"/>
      <c r="AE654" s="244"/>
      <c r="AF654" s="244"/>
      <c r="AG654" s="243"/>
      <c r="AH654" s="243"/>
      <c r="AI654" s="239"/>
      <c r="AJ654" s="239"/>
      <c r="AK654" s="239"/>
    </row>
    <row r="655" spans="28:37">
      <c r="AB655" s="215"/>
      <c r="AC655" s="239"/>
      <c r="AD655" s="239"/>
      <c r="AE655" s="244"/>
      <c r="AF655" s="244"/>
      <c r="AG655" s="243"/>
      <c r="AH655" s="243"/>
      <c r="AI655" s="239"/>
      <c r="AJ655" s="239"/>
      <c r="AK655" s="239"/>
    </row>
    <row r="656" spans="28:37">
      <c r="AB656" s="215"/>
      <c r="AC656" s="239"/>
      <c r="AD656" s="239"/>
      <c r="AE656" s="244"/>
      <c r="AF656" s="244"/>
      <c r="AG656" s="243"/>
      <c r="AH656" s="243"/>
      <c r="AI656" s="239"/>
      <c r="AJ656" s="239"/>
      <c r="AK656" s="239"/>
    </row>
    <row r="657" spans="28:37">
      <c r="AB657" s="215"/>
      <c r="AC657" s="239"/>
      <c r="AD657" s="239"/>
      <c r="AE657" s="244"/>
      <c r="AF657" s="244"/>
      <c r="AG657" s="243"/>
      <c r="AH657" s="243"/>
      <c r="AI657" s="239"/>
      <c r="AJ657" s="239"/>
      <c r="AK657" s="239"/>
    </row>
    <row r="658" spans="28:37">
      <c r="AB658" s="215"/>
      <c r="AC658" s="239"/>
      <c r="AD658" s="239"/>
      <c r="AE658" s="244"/>
      <c r="AF658" s="244"/>
      <c r="AG658" s="243"/>
      <c r="AH658" s="243"/>
      <c r="AI658" s="239"/>
      <c r="AJ658" s="239"/>
      <c r="AK658" s="239"/>
    </row>
    <row r="659" spans="28:37">
      <c r="AB659" s="215"/>
      <c r="AC659" s="239"/>
      <c r="AD659" s="239"/>
      <c r="AE659" s="244"/>
      <c r="AF659" s="244"/>
      <c r="AG659" s="243"/>
      <c r="AH659" s="243"/>
      <c r="AI659" s="239"/>
      <c r="AJ659" s="239"/>
      <c r="AK659" s="239"/>
    </row>
    <row r="660" spans="28:37">
      <c r="AB660" s="215"/>
      <c r="AC660" s="239"/>
      <c r="AD660" s="239"/>
      <c r="AE660" s="244"/>
      <c r="AF660" s="244"/>
      <c r="AG660" s="243"/>
      <c r="AH660" s="243"/>
      <c r="AI660" s="239"/>
      <c r="AJ660" s="239"/>
      <c r="AK660" s="239"/>
    </row>
    <row r="661" spans="28:37">
      <c r="AB661" s="215"/>
      <c r="AC661" s="239"/>
      <c r="AD661" s="239"/>
      <c r="AE661" s="244"/>
      <c r="AF661" s="244"/>
      <c r="AG661" s="243"/>
      <c r="AH661" s="243"/>
      <c r="AI661" s="239"/>
      <c r="AJ661" s="239"/>
      <c r="AK661" s="239"/>
    </row>
    <row r="662" spans="28:37">
      <c r="AB662" s="215"/>
      <c r="AC662" s="239"/>
      <c r="AD662" s="239"/>
      <c r="AE662" s="244"/>
      <c r="AF662" s="244"/>
      <c r="AG662" s="243"/>
      <c r="AH662" s="243"/>
      <c r="AI662" s="239"/>
      <c r="AJ662" s="239"/>
      <c r="AK662" s="239"/>
    </row>
    <row r="663" spans="28:37">
      <c r="AB663" s="215"/>
      <c r="AC663" s="239"/>
      <c r="AD663" s="239"/>
      <c r="AE663" s="244"/>
      <c r="AF663" s="244"/>
      <c r="AG663" s="243"/>
      <c r="AH663" s="243"/>
      <c r="AI663" s="239"/>
      <c r="AJ663" s="239"/>
      <c r="AK663" s="239"/>
    </row>
    <row r="664" spans="28:37">
      <c r="AB664" s="215"/>
      <c r="AC664" s="239"/>
      <c r="AD664" s="239"/>
      <c r="AE664" s="244"/>
      <c r="AF664" s="244"/>
      <c r="AG664" s="243"/>
      <c r="AH664" s="243"/>
      <c r="AI664" s="239"/>
      <c r="AJ664" s="239"/>
      <c r="AK664" s="239"/>
    </row>
    <row r="665" spans="28:37">
      <c r="AB665" s="215"/>
      <c r="AC665" s="239"/>
      <c r="AD665" s="239"/>
      <c r="AE665" s="244"/>
      <c r="AF665" s="244"/>
      <c r="AG665" s="243"/>
      <c r="AH665" s="243"/>
      <c r="AI665" s="239"/>
      <c r="AJ665" s="239"/>
      <c r="AK665" s="239"/>
    </row>
    <row r="666" spans="28:37">
      <c r="AB666" s="215"/>
      <c r="AC666" s="239"/>
      <c r="AD666" s="239"/>
      <c r="AE666" s="244"/>
      <c r="AF666" s="244"/>
      <c r="AG666" s="243"/>
      <c r="AH666" s="243"/>
      <c r="AI666" s="239"/>
      <c r="AJ666" s="239"/>
      <c r="AK666" s="239"/>
    </row>
    <row r="667" spans="28:37">
      <c r="AB667" s="215"/>
      <c r="AC667" s="239"/>
      <c r="AD667" s="239"/>
      <c r="AE667" s="244"/>
      <c r="AF667" s="244"/>
      <c r="AG667" s="243"/>
      <c r="AH667" s="243"/>
      <c r="AI667" s="239"/>
      <c r="AJ667" s="239"/>
      <c r="AK667" s="239"/>
    </row>
    <row r="668" spans="28:37">
      <c r="AB668" s="215"/>
      <c r="AC668" s="239"/>
      <c r="AD668" s="239"/>
      <c r="AE668" s="244"/>
      <c r="AF668" s="244"/>
      <c r="AG668" s="243"/>
      <c r="AH668" s="243"/>
      <c r="AI668" s="239"/>
      <c r="AJ668" s="239"/>
      <c r="AK668" s="239"/>
    </row>
    <row r="669" spans="28:37">
      <c r="AB669" s="215"/>
      <c r="AC669" s="239"/>
      <c r="AD669" s="239"/>
      <c r="AE669" s="244"/>
      <c r="AF669" s="244"/>
      <c r="AG669" s="243"/>
      <c r="AH669" s="243"/>
      <c r="AI669" s="239"/>
      <c r="AJ669" s="239"/>
      <c r="AK669" s="239"/>
    </row>
    <row r="670" spans="28:37">
      <c r="AB670" s="215"/>
      <c r="AC670" s="239"/>
      <c r="AD670" s="239"/>
      <c r="AE670" s="244"/>
      <c r="AF670" s="244"/>
      <c r="AG670" s="243"/>
      <c r="AH670" s="243"/>
      <c r="AI670" s="239"/>
      <c r="AJ670" s="239"/>
      <c r="AK670" s="239"/>
    </row>
    <row r="671" spans="28:37">
      <c r="AB671" s="215"/>
      <c r="AC671" s="239"/>
      <c r="AD671" s="239"/>
      <c r="AE671" s="244"/>
      <c r="AF671" s="244"/>
      <c r="AG671" s="243"/>
      <c r="AH671" s="243"/>
      <c r="AI671" s="239"/>
      <c r="AJ671" s="239"/>
      <c r="AK671" s="239"/>
    </row>
    <row r="672" spans="28:37">
      <c r="AB672" s="215"/>
      <c r="AC672" s="239"/>
      <c r="AD672" s="239"/>
      <c r="AE672" s="244"/>
      <c r="AF672" s="244"/>
      <c r="AG672" s="243"/>
      <c r="AH672" s="243"/>
      <c r="AI672" s="239"/>
      <c r="AJ672" s="239"/>
      <c r="AK672" s="239"/>
    </row>
    <row r="673" spans="28:37">
      <c r="AB673" s="215"/>
      <c r="AC673" s="239"/>
      <c r="AD673" s="239"/>
      <c r="AE673" s="244"/>
      <c r="AF673" s="244"/>
      <c r="AG673" s="243"/>
      <c r="AH673" s="243"/>
      <c r="AI673" s="239"/>
      <c r="AJ673" s="239"/>
      <c r="AK673" s="239"/>
    </row>
    <row r="674" spans="28:37">
      <c r="AB674" s="215"/>
      <c r="AC674" s="239"/>
      <c r="AD674" s="239"/>
      <c r="AE674" s="244"/>
      <c r="AF674" s="244"/>
      <c r="AG674" s="243"/>
      <c r="AH674" s="243"/>
      <c r="AI674" s="239"/>
      <c r="AJ674" s="239"/>
      <c r="AK674" s="239"/>
    </row>
    <row r="675" spans="28:37">
      <c r="AB675" s="215"/>
      <c r="AC675" s="239"/>
      <c r="AD675" s="239"/>
      <c r="AE675" s="244"/>
      <c r="AF675" s="244"/>
      <c r="AG675" s="243"/>
      <c r="AH675" s="243"/>
      <c r="AI675" s="239"/>
      <c r="AJ675" s="239"/>
      <c r="AK675" s="239"/>
    </row>
    <row r="676" spans="28:37">
      <c r="AB676" s="215"/>
      <c r="AC676" s="239"/>
      <c r="AD676" s="239"/>
      <c r="AE676" s="244"/>
      <c r="AF676" s="244"/>
      <c r="AG676" s="243"/>
      <c r="AH676" s="243"/>
      <c r="AI676" s="239"/>
      <c r="AJ676" s="239"/>
      <c r="AK676" s="239"/>
    </row>
    <row r="677" spans="28:37">
      <c r="AB677" s="215"/>
      <c r="AC677" s="239"/>
      <c r="AD677" s="239"/>
      <c r="AE677" s="244"/>
      <c r="AF677" s="244"/>
      <c r="AG677" s="243"/>
      <c r="AH677" s="243"/>
      <c r="AI677" s="239"/>
      <c r="AJ677" s="239"/>
      <c r="AK677" s="239"/>
    </row>
    <row r="678" spans="28:37">
      <c r="AB678" s="215"/>
      <c r="AC678" s="239"/>
      <c r="AD678" s="239"/>
      <c r="AE678" s="244"/>
      <c r="AF678" s="244"/>
      <c r="AG678" s="243"/>
      <c r="AH678" s="243"/>
      <c r="AI678" s="239"/>
      <c r="AJ678" s="239"/>
      <c r="AK678" s="239"/>
    </row>
    <row r="679" spans="28:37">
      <c r="AB679" s="215"/>
      <c r="AC679" s="239"/>
      <c r="AD679" s="239"/>
      <c r="AE679" s="244"/>
      <c r="AF679" s="244"/>
      <c r="AG679" s="243"/>
      <c r="AH679" s="243"/>
      <c r="AI679" s="239"/>
      <c r="AJ679" s="239"/>
      <c r="AK679" s="239"/>
    </row>
    <row r="680" spans="28:37">
      <c r="AB680" s="215"/>
      <c r="AC680" s="239"/>
      <c r="AD680" s="239"/>
      <c r="AE680" s="244"/>
      <c r="AF680" s="244"/>
      <c r="AG680" s="243"/>
      <c r="AH680" s="243"/>
      <c r="AI680" s="239"/>
      <c r="AJ680" s="239"/>
      <c r="AK680" s="239"/>
    </row>
    <row r="681" spans="28:37">
      <c r="AB681" s="215"/>
      <c r="AC681" s="239"/>
      <c r="AD681" s="239"/>
      <c r="AE681" s="244"/>
      <c r="AF681" s="244"/>
      <c r="AG681" s="243"/>
      <c r="AH681" s="243"/>
      <c r="AI681" s="239"/>
      <c r="AJ681" s="239"/>
      <c r="AK681" s="239"/>
    </row>
    <row r="682" spans="28:37">
      <c r="AB682" s="215"/>
      <c r="AC682" s="239"/>
      <c r="AD682" s="239"/>
      <c r="AE682" s="244"/>
      <c r="AF682" s="244"/>
      <c r="AG682" s="243"/>
      <c r="AH682" s="243"/>
      <c r="AI682" s="239"/>
      <c r="AJ682" s="239"/>
      <c r="AK682" s="239"/>
    </row>
    <row r="683" spans="28:37">
      <c r="AB683" s="215"/>
      <c r="AC683" s="239"/>
      <c r="AD683" s="239"/>
      <c r="AE683" s="244"/>
      <c r="AF683" s="244"/>
      <c r="AG683" s="243"/>
      <c r="AH683" s="243"/>
      <c r="AI683" s="239"/>
      <c r="AJ683" s="239"/>
      <c r="AK683" s="239"/>
    </row>
    <row r="684" spans="28:37">
      <c r="AB684" s="215"/>
      <c r="AC684" s="239"/>
      <c r="AD684" s="239"/>
      <c r="AE684" s="244"/>
      <c r="AF684" s="244"/>
      <c r="AG684" s="243"/>
      <c r="AH684" s="243"/>
      <c r="AI684" s="239"/>
      <c r="AJ684" s="239"/>
      <c r="AK684" s="239"/>
    </row>
    <row r="685" spans="28:37">
      <c r="AB685" s="215"/>
      <c r="AC685" s="239"/>
      <c r="AD685" s="239"/>
      <c r="AE685" s="244"/>
      <c r="AF685" s="244"/>
      <c r="AG685" s="243"/>
      <c r="AH685" s="243"/>
      <c r="AI685" s="239"/>
      <c r="AJ685" s="239"/>
      <c r="AK685" s="239"/>
    </row>
    <row r="686" spans="28:37">
      <c r="AB686" s="215"/>
      <c r="AC686" s="239"/>
      <c r="AD686" s="239"/>
      <c r="AE686" s="244"/>
      <c r="AF686" s="244"/>
      <c r="AG686" s="243"/>
      <c r="AH686" s="243"/>
      <c r="AI686" s="239"/>
      <c r="AJ686" s="239"/>
      <c r="AK686" s="239"/>
    </row>
    <row r="687" spans="28:37">
      <c r="AB687" s="215"/>
      <c r="AC687" s="239"/>
      <c r="AD687" s="239"/>
      <c r="AE687" s="244"/>
      <c r="AF687" s="244"/>
      <c r="AG687" s="243"/>
      <c r="AH687" s="243"/>
      <c r="AI687" s="239"/>
      <c r="AJ687" s="239"/>
      <c r="AK687" s="239"/>
    </row>
    <row r="688" spans="28:37">
      <c r="AB688" s="215"/>
      <c r="AC688" s="239"/>
      <c r="AD688" s="239"/>
      <c r="AE688" s="244"/>
      <c r="AF688" s="244"/>
      <c r="AG688" s="243"/>
      <c r="AH688" s="243"/>
      <c r="AI688" s="239"/>
      <c r="AJ688" s="239"/>
      <c r="AK688" s="239"/>
    </row>
    <row r="689" spans="28:37">
      <c r="AB689" s="215"/>
      <c r="AC689" s="239"/>
      <c r="AD689" s="239"/>
      <c r="AE689" s="244"/>
      <c r="AF689" s="244"/>
      <c r="AG689" s="243"/>
      <c r="AH689" s="243"/>
      <c r="AI689" s="239"/>
      <c r="AJ689" s="239"/>
      <c r="AK689" s="239"/>
    </row>
    <row r="690" spans="28:37">
      <c r="AB690" s="215"/>
      <c r="AC690" s="239"/>
      <c r="AD690" s="239"/>
      <c r="AE690" s="244"/>
      <c r="AF690" s="244"/>
      <c r="AG690" s="243"/>
      <c r="AH690" s="243"/>
      <c r="AI690" s="239"/>
      <c r="AJ690" s="239"/>
      <c r="AK690" s="239"/>
    </row>
    <row r="691" spans="28:37">
      <c r="AB691" s="215"/>
      <c r="AC691" s="239"/>
      <c r="AD691" s="239"/>
      <c r="AE691" s="244"/>
      <c r="AF691" s="244"/>
      <c r="AG691" s="243"/>
      <c r="AH691" s="243"/>
      <c r="AI691" s="239"/>
      <c r="AJ691" s="239"/>
      <c r="AK691" s="239"/>
    </row>
    <row r="692" spans="28:37">
      <c r="AB692" s="215"/>
      <c r="AC692" s="239"/>
      <c r="AD692" s="239"/>
      <c r="AE692" s="244"/>
      <c r="AF692" s="244"/>
      <c r="AG692" s="243"/>
      <c r="AH692" s="243"/>
      <c r="AI692" s="239"/>
      <c r="AJ692" s="239"/>
      <c r="AK692" s="239"/>
    </row>
    <row r="693" spans="28:37">
      <c r="AB693" s="215"/>
      <c r="AC693" s="239"/>
      <c r="AD693" s="239"/>
      <c r="AE693" s="244"/>
      <c r="AF693" s="244"/>
      <c r="AG693" s="243"/>
      <c r="AH693" s="243"/>
      <c r="AI693" s="239"/>
      <c r="AJ693" s="239"/>
      <c r="AK693" s="239"/>
    </row>
    <row r="694" spans="28:37">
      <c r="AB694" s="215"/>
      <c r="AC694" s="239"/>
      <c r="AD694" s="239"/>
      <c r="AE694" s="244"/>
      <c r="AF694" s="244"/>
      <c r="AG694" s="243"/>
      <c r="AH694" s="243"/>
      <c r="AI694" s="239"/>
      <c r="AJ694" s="239"/>
      <c r="AK694" s="239"/>
    </row>
    <row r="695" spans="28:37">
      <c r="AB695" s="215"/>
      <c r="AC695" s="239"/>
      <c r="AD695" s="239"/>
      <c r="AE695" s="244"/>
      <c r="AF695" s="244"/>
      <c r="AG695" s="243"/>
      <c r="AH695" s="243"/>
      <c r="AI695" s="239"/>
      <c r="AJ695" s="239"/>
      <c r="AK695" s="239"/>
    </row>
    <row r="696" spans="28:37">
      <c r="AB696" s="215"/>
      <c r="AC696" s="239"/>
      <c r="AD696" s="239"/>
      <c r="AE696" s="244"/>
      <c r="AF696" s="244"/>
      <c r="AG696" s="243"/>
      <c r="AH696" s="243"/>
      <c r="AI696" s="239"/>
      <c r="AJ696" s="239"/>
      <c r="AK696" s="239"/>
    </row>
    <row r="697" spans="28:37">
      <c r="AB697" s="215"/>
      <c r="AC697" s="239"/>
      <c r="AD697" s="239"/>
      <c r="AE697" s="244"/>
      <c r="AF697" s="244"/>
      <c r="AG697" s="243"/>
      <c r="AH697" s="243"/>
      <c r="AI697" s="239"/>
      <c r="AJ697" s="239"/>
      <c r="AK697" s="239"/>
    </row>
    <row r="698" spans="28:37">
      <c r="AB698" s="215"/>
      <c r="AC698" s="239"/>
      <c r="AD698" s="239"/>
      <c r="AE698" s="244"/>
      <c r="AF698" s="244"/>
      <c r="AG698" s="243"/>
      <c r="AH698" s="243"/>
      <c r="AI698" s="239"/>
      <c r="AJ698" s="239"/>
      <c r="AK698" s="239"/>
    </row>
    <row r="699" spans="28:37">
      <c r="AB699" s="215"/>
      <c r="AC699" s="239"/>
      <c r="AD699" s="239"/>
      <c r="AE699" s="244"/>
      <c r="AF699" s="244"/>
      <c r="AG699" s="243"/>
      <c r="AH699" s="243"/>
      <c r="AI699" s="239"/>
      <c r="AJ699" s="239"/>
      <c r="AK699" s="239"/>
    </row>
    <row r="700" spans="28:37">
      <c r="AB700" s="215"/>
      <c r="AC700" s="239"/>
      <c r="AD700" s="239"/>
      <c r="AE700" s="244"/>
      <c r="AF700" s="244"/>
      <c r="AG700" s="243"/>
      <c r="AH700" s="243"/>
      <c r="AI700" s="239"/>
      <c r="AJ700" s="239"/>
      <c r="AK700" s="239"/>
    </row>
    <row r="701" spans="28:37">
      <c r="AB701" s="215"/>
      <c r="AC701" s="239"/>
      <c r="AD701" s="239"/>
      <c r="AE701" s="244"/>
      <c r="AF701" s="244"/>
      <c r="AG701" s="243"/>
      <c r="AH701" s="243"/>
      <c r="AI701" s="239"/>
      <c r="AJ701" s="239"/>
      <c r="AK701" s="239"/>
    </row>
    <row r="702" spans="28:37">
      <c r="AB702" s="215"/>
      <c r="AC702" s="239"/>
      <c r="AD702" s="239"/>
      <c r="AE702" s="244"/>
      <c r="AF702" s="244"/>
      <c r="AG702" s="243"/>
      <c r="AH702" s="243"/>
      <c r="AI702" s="239"/>
      <c r="AJ702" s="239"/>
      <c r="AK702" s="239"/>
    </row>
    <row r="703" spans="28:37">
      <c r="AB703" s="215"/>
      <c r="AC703" s="239"/>
      <c r="AD703" s="239"/>
      <c r="AE703" s="244"/>
      <c r="AF703" s="244"/>
      <c r="AG703" s="243"/>
      <c r="AH703" s="243"/>
      <c r="AI703" s="239"/>
      <c r="AJ703" s="239"/>
      <c r="AK703" s="239"/>
    </row>
    <row r="704" spans="28:37">
      <c r="AB704" s="215"/>
      <c r="AC704" s="239"/>
      <c r="AD704" s="239"/>
      <c r="AE704" s="244"/>
      <c r="AF704" s="244"/>
      <c r="AG704" s="243"/>
      <c r="AH704" s="243"/>
      <c r="AI704" s="239"/>
      <c r="AJ704" s="239"/>
      <c r="AK704" s="239"/>
    </row>
    <row r="705" spans="28:37">
      <c r="AB705" s="215"/>
      <c r="AC705" s="239"/>
      <c r="AD705" s="239"/>
      <c r="AE705" s="244"/>
      <c r="AF705" s="244"/>
      <c r="AG705" s="243"/>
      <c r="AH705" s="243"/>
      <c r="AI705" s="239"/>
      <c r="AJ705" s="239"/>
      <c r="AK705" s="239"/>
    </row>
    <row r="706" spans="28:37">
      <c r="AB706" s="215"/>
      <c r="AC706" s="239"/>
      <c r="AD706" s="239"/>
      <c r="AE706" s="244"/>
      <c r="AF706" s="244"/>
      <c r="AG706" s="243"/>
      <c r="AH706" s="243"/>
      <c r="AI706" s="239"/>
      <c r="AJ706" s="239"/>
      <c r="AK706" s="239"/>
    </row>
    <row r="707" spans="28:37">
      <c r="AB707" s="215"/>
      <c r="AC707" s="239"/>
      <c r="AD707" s="239"/>
      <c r="AE707" s="244"/>
      <c r="AF707" s="244"/>
      <c r="AG707" s="243"/>
      <c r="AH707" s="243"/>
      <c r="AI707" s="239"/>
      <c r="AJ707" s="239"/>
      <c r="AK707" s="239"/>
    </row>
    <row r="708" spans="28:37">
      <c r="AB708" s="215"/>
      <c r="AC708" s="239"/>
      <c r="AD708" s="239"/>
      <c r="AE708" s="244"/>
      <c r="AF708" s="244"/>
      <c r="AG708" s="243"/>
      <c r="AH708" s="243"/>
      <c r="AI708" s="239"/>
      <c r="AJ708" s="239"/>
      <c r="AK708" s="239"/>
    </row>
    <row r="709" spans="28:37">
      <c r="AB709" s="215"/>
      <c r="AC709" s="239"/>
      <c r="AD709" s="239"/>
      <c r="AE709" s="244"/>
      <c r="AF709" s="244"/>
      <c r="AG709" s="243"/>
      <c r="AH709" s="243"/>
      <c r="AI709" s="239"/>
      <c r="AJ709" s="239"/>
      <c r="AK709" s="239"/>
    </row>
    <row r="710" spans="28:37">
      <c r="AB710" s="215"/>
      <c r="AC710" s="239"/>
      <c r="AD710" s="239"/>
      <c r="AE710" s="244"/>
      <c r="AF710" s="244"/>
      <c r="AG710" s="243"/>
      <c r="AH710" s="243"/>
      <c r="AI710" s="239"/>
      <c r="AJ710" s="239"/>
      <c r="AK710" s="239"/>
    </row>
    <row r="711" spans="28:37">
      <c r="AB711" s="215"/>
      <c r="AC711" s="239"/>
      <c r="AD711" s="239"/>
      <c r="AE711" s="244"/>
      <c r="AF711" s="244"/>
      <c r="AG711" s="243"/>
      <c r="AH711" s="243"/>
      <c r="AI711" s="239"/>
      <c r="AJ711" s="239"/>
      <c r="AK711" s="239"/>
    </row>
    <row r="712" spans="28:37">
      <c r="AB712" s="215"/>
      <c r="AC712" s="239"/>
      <c r="AD712" s="239"/>
      <c r="AE712" s="244"/>
      <c r="AF712" s="244"/>
      <c r="AG712" s="243"/>
      <c r="AH712" s="243"/>
      <c r="AI712" s="239"/>
      <c r="AJ712" s="239"/>
      <c r="AK712" s="239"/>
    </row>
    <row r="713" spans="28:37">
      <c r="AB713" s="215"/>
      <c r="AC713" s="239"/>
      <c r="AD713" s="239"/>
      <c r="AE713" s="244"/>
      <c r="AF713" s="244"/>
      <c r="AG713" s="243"/>
      <c r="AH713" s="243"/>
      <c r="AI713" s="239"/>
      <c r="AJ713" s="239"/>
      <c r="AK713" s="239"/>
    </row>
    <row r="714" spans="28:37">
      <c r="AB714" s="215"/>
      <c r="AC714" s="239"/>
      <c r="AD714" s="239"/>
      <c r="AE714" s="244"/>
      <c r="AF714" s="244"/>
      <c r="AG714" s="243"/>
      <c r="AH714" s="243"/>
      <c r="AI714" s="239"/>
      <c r="AJ714" s="239"/>
      <c r="AK714" s="239"/>
    </row>
    <row r="715" spans="28:37">
      <c r="AB715" s="215"/>
      <c r="AC715" s="239"/>
      <c r="AD715" s="239"/>
      <c r="AE715" s="244"/>
      <c r="AF715" s="244"/>
      <c r="AG715" s="243"/>
      <c r="AH715" s="243"/>
      <c r="AI715" s="239"/>
      <c r="AJ715" s="239"/>
      <c r="AK715" s="239"/>
    </row>
    <row r="716" spans="28:37">
      <c r="AB716" s="215"/>
      <c r="AC716" s="239"/>
      <c r="AD716" s="239"/>
      <c r="AE716" s="244"/>
      <c r="AF716" s="244"/>
      <c r="AG716" s="243"/>
      <c r="AH716" s="243"/>
      <c r="AI716" s="239"/>
      <c r="AJ716" s="239"/>
      <c r="AK716" s="239"/>
    </row>
    <row r="717" spans="28:37">
      <c r="AB717" s="215"/>
      <c r="AC717" s="239"/>
      <c r="AD717" s="239"/>
      <c r="AE717" s="244"/>
      <c r="AF717" s="244"/>
      <c r="AG717" s="243"/>
      <c r="AH717" s="243"/>
      <c r="AI717" s="239"/>
      <c r="AJ717" s="239"/>
      <c r="AK717" s="239"/>
    </row>
    <row r="718" spans="28:37">
      <c r="AB718" s="215"/>
      <c r="AC718" s="239"/>
      <c r="AD718" s="239"/>
      <c r="AE718" s="244"/>
      <c r="AF718" s="244"/>
      <c r="AG718" s="243"/>
      <c r="AH718" s="243"/>
      <c r="AI718" s="239"/>
      <c r="AJ718" s="239"/>
      <c r="AK718" s="239"/>
    </row>
    <row r="719" spans="28:37">
      <c r="AB719" s="215"/>
      <c r="AC719" s="239"/>
      <c r="AD719" s="239"/>
      <c r="AE719" s="244"/>
      <c r="AF719" s="244"/>
      <c r="AG719" s="243"/>
      <c r="AH719" s="243"/>
      <c r="AI719" s="239"/>
      <c r="AJ719" s="239"/>
      <c r="AK719" s="239"/>
    </row>
    <row r="720" spans="28:37">
      <c r="AB720" s="215"/>
      <c r="AC720" s="239"/>
      <c r="AD720" s="239"/>
      <c r="AE720" s="244"/>
      <c r="AF720" s="244"/>
      <c r="AG720" s="243"/>
      <c r="AH720" s="243"/>
      <c r="AI720" s="239"/>
      <c r="AJ720" s="239"/>
      <c r="AK720" s="239"/>
    </row>
    <row r="721" spans="28:37">
      <c r="AB721" s="215"/>
      <c r="AC721" s="239"/>
      <c r="AD721" s="239"/>
      <c r="AE721" s="244"/>
      <c r="AF721" s="244"/>
      <c r="AG721" s="243"/>
      <c r="AH721" s="243"/>
      <c r="AI721" s="239"/>
      <c r="AJ721" s="239"/>
      <c r="AK721" s="239"/>
    </row>
    <row r="722" spans="28:37">
      <c r="AB722" s="215"/>
      <c r="AC722" s="239"/>
      <c r="AD722" s="239"/>
      <c r="AE722" s="244"/>
      <c r="AF722" s="244"/>
      <c r="AG722" s="243"/>
      <c r="AH722" s="243"/>
      <c r="AI722" s="239"/>
      <c r="AJ722" s="239"/>
      <c r="AK722" s="239"/>
    </row>
    <row r="723" spans="28:37">
      <c r="AB723" s="215"/>
      <c r="AC723" s="239"/>
      <c r="AD723" s="239"/>
      <c r="AE723" s="244"/>
      <c r="AF723" s="244"/>
      <c r="AG723" s="243"/>
      <c r="AH723" s="243"/>
      <c r="AI723" s="239"/>
      <c r="AJ723" s="239"/>
      <c r="AK723" s="239"/>
    </row>
    <row r="724" spans="28:37">
      <c r="AB724" s="215"/>
      <c r="AC724" s="239"/>
      <c r="AD724" s="239"/>
      <c r="AE724" s="244"/>
      <c r="AF724" s="244"/>
      <c r="AG724" s="243"/>
      <c r="AH724" s="243"/>
      <c r="AI724" s="239"/>
      <c r="AJ724" s="239"/>
      <c r="AK724" s="239"/>
    </row>
    <row r="725" spans="28:37">
      <c r="AB725" s="215"/>
      <c r="AC725" s="239"/>
      <c r="AD725" s="239"/>
      <c r="AE725" s="244"/>
      <c r="AF725" s="244"/>
      <c r="AG725" s="243"/>
      <c r="AH725" s="243"/>
      <c r="AI725" s="239"/>
      <c r="AJ725" s="239"/>
      <c r="AK725" s="239"/>
    </row>
    <row r="726" spans="28:37">
      <c r="AB726" s="215"/>
      <c r="AC726" s="239"/>
      <c r="AD726" s="239"/>
      <c r="AE726" s="244"/>
      <c r="AF726" s="244"/>
      <c r="AG726" s="243"/>
      <c r="AH726" s="243"/>
      <c r="AI726" s="239"/>
      <c r="AJ726" s="239"/>
      <c r="AK726" s="239"/>
    </row>
    <row r="727" spans="28:37">
      <c r="AB727" s="215"/>
      <c r="AC727" s="239"/>
      <c r="AD727" s="239"/>
      <c r="AE727" s="244"/>
      <c r="AF727" s="244"/>
      <c r="AG727" s="243"/>
      <c r="AH727" s="243"/>
      <c r="AI727" s="239"/>
      <c r="AJ727" s="239"/>
      <c r="AK727" s="239"/>
    </row>
    <row r="728" spans="28:37">
      <c r="AB728" s="215"/>
      <c r="AC728" s="239"/>
      <c r="AD728" s="239"/>
      <c r="AE728" s="244"/>
      <c r="AF728" s="244"/>
      <c r="AG728" s="243"/>
      <c r="AH728" s="243"/>
      <c r="AI728" s="239"/>
      <c r="AJ728" s="239"/>
      <c r="AK728" s="239"/>
    </row>
    <row r="729" spans="28:37">
      <c r="AB729" s="215"/>
      <c r="AC729" s="239"/>
      <c r="AD729" s="239"/>
      <c r="AE729" s="244"/>
      <c r="AF729" s="244"/>
      <c r="AG729" s="243"/>
      <c r="AH729" s="243"/>
      <c r="AI729" s="239"/>
      <c r="AJ729" s="239"/>
      <c r="AK729" s="239"/>
    </row>
    <row r="730" spans="28:37">
      <c r="AB730" s="215"/>
      <c r="AC730" s="239"/>
      <c r="AD730" s="239"/>
      <c r="AE730" s="244"/>
      <c r="AF730" s="244"/>
      <c r="AG730" s="243"/>
      <c r="AH730" s="243"/>
      <c r="AI730" s="239"/>
      <c r="AJ730" s="239"/>
      <c r="AK730" s="239"/>
    </row>
    <row r="731" spans="28:37">
      <c r="AB731" s="215"/>
      <c r="AC731" s="239"/>
      <c r="AD731" s="239"/>
      <c r="AE731" s="244"/>
      <c r="AF731" s="244"/>
      <c r="AG731" s="243"/>
      <c r="AH731" s="243"/>
      <c r="AI731" s="239"/>
      <c r="AJ731" s="239"/>
      <c r="AK731" s="239"/>
    </row>
    <row r="732" spans="28:37">
      <c r="AB732" s="215"/>
      <c r="AC732" s="239"/>
      <c r="AD732" s="239"/>
      <c r="AE732" s="244"/>
      <c r="AF732" s="244"/>
      <c r="AG732" s="243"/>
      <c r="AH732" s="243"/>
      <c r="AI732" s="239"/>
      <c r="AJ732" s="239"/>
      <c r="AK732" s="239"/>
    </row>
    <row r="733" spans="28:37">
      <c r="AB733" s="215"/>
      <c r="AC733" s="239"/>
      <c r="AD733" s="239"/>
      <c r="AE733" s="244"/>
      <c r="AF733" s="244"/>
      <c r="AG733" s="243"/>
      <c r="AH733" s="243"/>
      <c r="AI733" s="239"/>
      <c r="AJ733" s="239"/>
      <c r="AK733" s="239"/>
    </row>
    <row r="734" spans="28:37">
      <c r="AB734" s="215"/>
      <c r="AC734" s="239"/>
      <c r="AD734" s="239"/>
      <c r="AE734" s="244"/>
      <c r="AF734" s="244"/>
      <c r="AG734" s="243"/>
      <c r="AH734" s="243"/>
      <c r="AI734" s="239"/>
      <c r="AJ734" s="239"/>
      <c r="AK734" s="239"/>
    </row>
    <row r="735" spans="28:37">
      <c r="AB735" s="215"/>
      <c r="AC735" s="239"/>
      <c r="AD735" s="239"/>
      <c r="AE735" s="244"/>
      <c r="AF735" s="244"/>
      <c r="AG735" s="243"/>
      <c r="AH735" s="243"/>
      <c r="AI735" s="239"/>
      <c r="AJ735" s="239"/>
      <c r="AK735" s="239"/>
    </row>
    <row r="736" spans="28:37">
      <c r="AB736" s="215"/>
      <c r="AC736" s="239"/>
      <c r="AD736" s="239"/>
      <c r="AE736" s="244"/>
      <c r="AF736" s="244"/>
      <c r="AG736" s="243"/>
      <c r="AH736" s="243"/>
      <c r="AI736" s="239"/>
      <c r="AJ736" s="239"/>
      <c r="AK736" s="239"/>
    </row>
    <row r="737" spans="28:37">
      <c r="AB737" s="215"/>
      <c r="AC737" s="239"/>
      <c r="AD737" s="239"/>
      <c r="AE737" s="244"/>
      <c r="AF737" s="244"/>
      <c r="AG737" s="243"/>
      <c r="AH737" s="243"/>
      <c r="AI737" s="239"/>
      <c r="AJ737" s="239"/>
      <c r="AK737" s="239"/>
    </row>
    <row r="738" spans="28:37">
      <c r="AB738" s="215"/>
      <c r="AC738" s="239"/>
      <c r="AD738" s="239"/>
      <c r="AE738" s="244"/>
      <c r="AF738" s="244"/>
      <c r="AG738" s="243"/>
      <c r="AH738" s="243"/>
      <c r="AI738" s="239"/>
      <c r="AJ738" s="239"/>
      <c r="AK738" s="239"/>
    </row>
    <row r="739" spans="28:37">
      <c r="AB739" s="215"/>
      <c r="AC739" s="239"/>
      <c r="AD739" s="239"/>
      <c r="AE739" s="244"/>
      <c r="AF739" s="244"/>
      <c r="AG739" s="243"/>
      <c r="AH739" s="243"/>
      <c r="AI739" s="239"/>
      <c r="AJ739" s="239"/>
      <c r="AK739" s="239"/>
    </row>
    <row r="740" spans="28:37">
      <c r="AB740" s="215"/>
      <c r="AC740" s="239"/>
      <c r="AD740" s="239"/>
      <c r="AE740" s="244"/>
      <c r="AF740" s="244"/>
      <c r="AG740" s="243"/>
      <c r="AH740" s="243"/>
      <c r="AI740" s="239"/>
      <c r="AJ740" s="239"/>
      <c r="AK740" s="239"/>
    </row>
    <row r="741" spans="28:37">
      <c r="AB741" s="215"/>
      <c r="AC741" s="239"/>
      <c r="AD741" s="239"/>
      <c r="AE741" s="244"/>
      <c r="AF741" s="244"/>
      <c r="AG741" s="243"/>
      <c r="AH741" s="243"/>
      <c r="AI741" s="239"/>
      <c r="AJ741" s="239"/>
      <c r="AK741" s="239"/>
    </row>
    <row r="742" spans="28:37">
      <c r="AB742" s="215"/>
      <c r="AC742" s="239"/>
      <c r="AD742" s="239"/>
      <c r="AE742" s="244"/>
      <c r="AF742" s="244"/>
      <c r="AG742" s="243"/>
      <c r="AH742" s="243"/>
      <c r="AI742" s="239"/>
      <c r="AJ742" s="239"/>
      <c r="AK742" s="239"/>
    </row>
    <row r="743" spans="28:37">
      <c r="AB743" s="215"/>
      <c r="AC743" s="239"/>
      <c r="AD743" s="239"/>
      <c r="AE743" s="244"/>
      <c r="AF743" s="244"/>
      <c r="AG743" s="243"/>
      <c r="AH743" s="243"/>
      <c r="AI743" s="239"/>
      <c r="AJ743" s="239"/>
      <c r="AK743" s="239"/>
    </row>
    <row r="744" spans="28:37">
      <c r="AB744" s="215"/>
      <c r="AC744" s="239"/>
      <c r="AD744" s="239"/>
      <c r="AE744" s="244"/>
      <c r="AF744" s="244"/>
      <c r="AG744" s="243"/>
      <c r="AH744" s="243"/>
      <c r="AI744" s="239"/>
      <c r="AJ744" s="239"/>
      <c r="AK744" s="239"/>
    </row>
    <row r="745" spans="28:37">
      <c r="AB745" s="215"/>
      <c r="AC745" s="239"/>
      <c r="AD745" s="239"/>
      <c r="AE745" s="244"/>
      <c r="AF745" s="244"/>
      <c r="AG745" s="243"/>
      <c r="AH745" s="243"/>
      <c r="AI745" s="239"/>
      <c r="AJ745" s="239"/>
      <c r="AK745" s="239"/>
    </row>
    <row r="746" spans="28:37">
      <c r="AB746" s="215"/>
      <c r="AC746" s="239"/>
      <c r="AD746" s="239"/>
      <c r="AE746" s="244"/>
      <c r="AF746" s="244"/>
      <c r="AG746" s="243"/>
      <c r="AH746" s="243"/>
      <c r="AI746" s="239"/>
      <c r="AJ746" s="239"/>
      <c r="AK746" s="239"/>
    </row>
    <row r="747" spans="28:37">
      <c r="AB747" s="215"/>
      <c r="AC747" s="239"/>
      <c r="AD747" s="239"/>
      <c r="AE747" s="244"/>
      <c r="AF747" s="244"/>
      <c r="AG747" s="243"/>
      <c r="AH747" s="243"/>
      <c r="AI747" s="239"/>
      <c r="AJ747" s="239"/>
      <c r="AK747" s="239"/>
    </row>
    <row r="748" spans="28:37">
      <c r="AB748" s="215"/>
      <c r="AC748" s="239"/>
      <c r="AD748" s="239"/>
      <c r="AE748" s="244"/>
      <c r="AF748" s="244"/>
      <c r="AG748" s="243"/>
      <c r="AH748" s="243"/>
      <c r="AI748" s="239"/>
      <c r="AJ748" s="239"/>
      <c r="AK748" s="239"/>
    </row>
    <row r="749" spans="28:37">
      <c r="AB749" s="215"/>
      <c r="AC749" s="239"/>
      <c r="AD749" s="239"/>
      <c r="AE749" s="244"/>
      <c r="AF749" s="244"/>
      <c r="AG749" s="243"/>
      <c r="AH749" s="243"/>
      <c r="AI749" s="239"/>
      <c r="AJ749" s="239"/>
      <c r="AK749" s="239"/>
    </row>
    <row r="750" spans="28:37">
      <c r="AB750" s="215"/>
      <c r="AC750" s="239"/>
      <c r="AD750" s="239"/>
      <c r="AE750" s="244"/>
      <c r="AF750" s="244"/>
      <c r="AG750" s="243"/>
      <c r="AH750" s="243"/>
      <c r="AI750" s="239"/>
      <c r="AJ750" s="239"/>
      <c r="AK750" s="239"/>
    </row>
    <row r="751" spans="28:37">
      <c r="AB751" s="215"/>
      <c r="AC751" s="239"/>
      <c r="AD751" s="239"/>
      <c r="AE751" s="244"/>
      <c r="AF751" s="244"/>
      <c r="AG751" s="243"/>
      <c r="AH751" s="243"/>
      <c r="AI751" s="239"/>
      <c r="AJ751" s="239"/>
      <c r="AK751" s="239"/>
    </row>
    <row r="752" spans="28:37">
      <c r="AB752" s="215"/>
      <c r="AC752" s="239"/>
      <c r="AD752" s="239"/>
      <c r="AE752" s="244"/>
      <c r="AF752" s="244"/>
      <c r="AG752" s="243"/>
      <c r="AH752" s="243"/>
      <c r="AI752" s="239"/>
      <c r="AJ752" s="239"/>
      <c r="AK752" s="239"/>
    </row>
    <row r="753" spans="28:37">
      <c r="AB753" s="215"/>
      <c r="AC753" s="239"/>
      <c r="AD753" s="239"/>
      <c r="AE753" s="244"/>
      <c r="AF753" s="244"/>
      <c r="AG753" s="243"/>
      <c r="AH753" s="243"/>
      <c r="AI753" s="239"/>
      <c r="AJ753" s="239"/>
      <c r="AK753" s="239"/>
    </row>
    <row r="754" spans="28:37">
      <c r="AB754" s="215"/>
      <c r="AC754" s="239"/>
      <c r="AD754" s="239"/>
      <c r="AE754" s="244"/>
      <c r="AF754" s="244"/>
      <c r="AG754" s="243"/>
      <c r="AH754" s="243"/>
      <c r="AI754" s="239"/>
      <c r="AJ754" s="239"/>
      <c r="AK754" s="239"/>
    </row>
    <row r="755" spans="28:37">
      <c r="AB755" s="215"/>
      <c r="AC755" s="239"/>
      <c r="AD755" s="239"/>
      <c r="AE755" s="244"/>
      <c r="AF755" s="244"/>
      <c r="AG755" s="243"/>
      <c r="AH755" s="243"/>
      <c r="AI755" s="239"/>
      <c r="AJ755" s="239"/>
      <c r="AK755" s="239"/>
    </row>
    <row r="756" spans="28:37">
      <c r="AB756" s="215"/>
      <c r="AC756" s="239"/>
      <c r="AD756" s="239"/>
      <c r="AE756" s="244"/>
      <c r="AF756" s="244"/>
      <c r="AG756" s="243"/>
      <c r="AH756" s="243"/>
      <c r="AI756" s="239"/>
      <c r="AJ756" s="239"/>
      <c r="AK756" s="239"/>
    </row>
    <row r="757" spans="28:37">
      <c r="AB757" s="215"/>
      <c r="AC757" s="239"/>
      <c r="AD757" s="239"/>
      <c r="AE757" s="244"/>
      <c r="AF757" s="244"/>
      <c r="AG757" s="243"/>
      <c r="AH757" s="243"/>
      <c r="AI757" s="239"/>
      <c r="AJ757" s="239"/>
      <c r="AK757" s="239"/>
    </row>
    <row r="758" spans="28:37">
      <c r="AB758" s="215"/>
      <c r="AC758" s="239"/>
      <c r="AD758" s="239"/>
      <c r="AE758" s="244"/>
      <c r="AF758" s="244"/>
      <c r="AG758" s="243"/>
      <c r="AH758" s="243"/>
      <c r="AI758" s="239"/>
      <c r="AJ758" s="239"/>
      <c r="AK758" s="239"/>
    </row>
    <row r="759" spans="28:37">
      <c r="AB759" s="215"/>
      <c r="AC759" s="239"/>
      <c r="AD759" s="239"/>
      <c r="AE759" s="244"/>
      <c r="AF759" s="244"/>
      <c r="AG759" s="243"/>
      <c r="AH759" s="243"/>
      <c r="AI759" s="239"/>
      <c r="AJ759" s="239"/>
      <c r="AK759" s="239"/>
    </row>
    <row r="760" spans="28:37">
      <c r="AB760" s="215"/>
      <c r="AC760" s="239"/>
      <c r="AD760" s="239"/>
      <c r="AE760" s="244"/>
      <c r="AF760" s="244"/>
      <c r="AG760" s="243"/>
      <c r="AH760" s="243"/>
      <c r="AI760" s="239"/>
      <c r="AJ760" s="239"/>
      <c r="AK760" s="239"/>
    </row>
    <row r="761" spans="28:37">
      <c r="AB761" s="215"/>
      <c r="AC761" s="239"/>
      <c r="AD761" s="239"/>
      <c r="AE761" s="244"/>
      <c r="AF761" s="244"/>
      <c r="AG761" s="243"/>
      <c r="AH761" s="243"/>
      <c r="AI761" s="239"/>
      <c r="AJ761" s="239"/>
      <c r="AK761" s="239"/>
    </row>
    <row r="762" spans="28:37">
      <c r="AB762" s="215"/>
      <c r="AC762" s="239"/>
      <c r="AD762" s="239"/>
      <c r="AE762" s="244"/>
      <c r="AF762" s="244"/>
      <c r="AG762" s="243"/>
      <c r="AH762" s="243"/>
      <c r="AI762" s="239"/>
      <c r="AJ762" s="239"/>
      <c r="AK762" s="239"/>
    </row>
    <row r="763" spans="28:37">
      <c r="AB763" s="215"/>
      <c r="AC763" s="239"/>
      <c r="AD763" s="239"/>
      <c r="AE763" s="244"/>
      <c r="AF763" s="244"/>
      <c r="AG763" s="243"/>
      <c r="AH763" s="243"/>
      <c r="AI763" s="239"/>
      <c r="AJ763" s="239"/>
      <c r="AK763" s="239"/>
    </row>
    <row r="764" spans="28:37">
      <c r="AB764" s="215"/>
      <c r="AC764" s="239"/>
      <c r="AD764" s="239"/>
      <c r="AE764" s="244"/>
      <c r="AF764" s="244"/>
      <c r="AG764" s="243"/>
      <c r="AH764" s="243"/>
      <c r="AI764" s="239"/>
      <c r="AJ764" s="239"/>
      <c r="AK764" s="239"/>
    </row>
    <row r="765" spans="28:37">
      <c r="AB765" s="215"/>
      <c r="AC765" s="239"/>
      <c r="AD765" s="239"/>
      <c r="AE765" s="244"/>
      <c r="AF765" s="244"/>
      <c r="AG765" s="243"/>
      <c r="AH765" s="243"/>
      <c r="AI765" s="239"/>
      <c r="AJ765" s="239"/>
      <c r="AK765" s="239"/>
    </row>
    <row r="766" spans="28:37">
      <c r="AB766" s="215"/>
      <c r="AC766" s="239"/>
      <c r="AD766" s="239"/>
      <c r="AE766" s="244"/>
      <c r="AF766" s="244"/>
      <c r="AG766" s="243"/>
      <c r="AH766" s="243"/>
      <c r="AI766" s="239"/>
      <c r="AJ766" s="239"/>
      <c r="AK766" s="239"/>
    </row>
    <row r="767" spans="28:37">
      <c r="AB767" s="215"/>
      <c r="AC767" s="239"/>
      <c r="AD767" s="239"/>
      <c r="AE767" s="244"/>
      <c r="AF767" s="244"/>
      <c r="AG767" s="243"/>
      <c r="AH767" s="243"/>
      <c r="AI767" s="239"/>
      <c r="AJ767" s="239"/>
      <c r="AK767" s="239"/>
    </row>
    <row r="768" spans="28:37">
      <c r="AB768" s="215"/>
      <c r="AC768" s="239"/>
      <c r="AD768" s="239"/>
      <c r="AE768" s="244"/>
      <c r="AF768" s="244"/>
      <c r="AG768" s="243"/>
      <c r="AH768" s="243"/>
      <c r="AI768" s="239"/>
      <c r="AJ768" s="239"/>
      <c r="AK768" s="239"/>
    </row>
    <row r="769" spans="28:37">
      <c r="AB769" s="215"/>
      <c r="AC769" s="239"/>
      <c r="AD769" s="239"/>
      <c r="AE769" s="244"/>
      <c r="AF769" s="244"/>
      <c r="AG769" s="243"/>
      <c r="AH769" s="243"/>
      <c r="AI769" s="239"/>
      <c r="AJ769" s="239"/>
      <c r="AK769" s="239"/>
    </row>
    <row r="770" spans="28:37">
      <c r="AB770" s="215"/>
      <c r="AC770" s="239"/>
      <c r="AD770" s="239"/>
      <c r="AE770" s="244"/>
      <c r="AF770" s="244"/>
      <c r="AG770" s="243"/>
      <c r="AH770" s="243"/>
      <c r="AI770" s="239"/>
      <c r="AJ770" s="239"/>
      <c r="AK770" s="239"/>
    </row>
    <row r="771" spans="28:37">
      <c r="AB771" s="215"/>
      <c r="AC771" s="239"/>
      <c r="AD771" s="239"/>
      <c r="AE771" s="244"/>
      <c r="AF771" s="244"/>
      <c r="AG771" s="243"/>
      <c r="AH771" s="243"/>
      <c r="AI771" s="239"/>
      <c r="AJ771" s="239"/>
      <c r="AK771" s="239"/>
    </row>
    <row r="772" spans="28:37">
      <c r="AB772" s="215"/>
      <c r="AC772" s="239"/>
      <c r="AD772" s="239"/>
      <c r="AE772" s="244"/>
      <c r="AF772" s="244"/>
      <c r="AG772" s="243"/>
      <c r="AH772" s="243"/>
      <c r="AI772" s="239"/>
      <c r="AJ772" s="239"/>
      <c r="AK772" s="239"/>
    </row>
    <row r="773" spans="28:37">
      <c r="AB773" s="215"/>
      <c r="AC773" s="239"/>
      <c r="AD773" s="239"/>
      <c r="AE773" s="244"/>
      <c r="AF773" s="244"/>
      <c r="AG773" s="243"/>
      <c r="AH773" s="243"/>
      <c r="AI773" s="239"/>
      <c r="AJ773" s="239"/>
      <c r="AK773" s="239"/>
    </row>
    <row r="774" spans="28:37">
      <c r="AB774" s="215"/>
      <c r="AC774" s="239"/>
      <c r="AD774" s="239"/>
      <c r="AE774" s="244"/>
      <c r="AF774" s="244"/>
      <c r="AG774" s="243"/>
      <c r="AH774" s="243"/>
      <c r="AI774" s="239"/>
      <c r="AJ774" s="239"/>
      <c r="AK774" s="239"/>
    </row>
    <row r="775" spans="28:37">
      <c r="AB775" s="215"/>
      <c r="AC775" s="239"/>
      <c r="AD775" s="239"/>
      <c r="AE775" s="244"/>
      <c r="AF775" s="244"/>
      <c r="AG775" s="243"/>
      <c r="AH775" s="243"/>
      <c r="AI775" s="239"/>
      <c r="AJ775" s="239"/>
      <c r="AK775" s="239"/>
    </row>
    <row r="776" spans="28:37">
      <c r="AB776" s="215"/>
      <c r="AC776" s="239"/>
      <c r="AD776" s="239"/>
      <c r="AE776" s="244"/>
      <c r="AF776" s="244"/>
      <c r="AG776" s="243"/>
      <c r="AH776" s="243"/>
      <c r="AI776" s="239"/>
      <c r="AJ776" s="239"/>
      <c r="AK776" s="239"/>
    </row>
    <row r="777" spans="28:37">
      <c r="AB777" s="215"/>
      <c r="AC777" s="239"/>
      <c r="AD777" s="239"/>
      <c r="AE777" s="244"/>
      <c r="AF777" s="244"/>
      <c r="AG777" s="243"/>
      <c r="AH777" s="243"/>
      <c r="AI777" s="239"/>
      <c r="AJ777" s="239"/>
      <c r="AK777" s="239"/>
    </row>
    <row r="778" spans="28:37">
      <c r="AB778" s="215"/>
      <c r="AC778" s="239"/>
      <c r="AD778" s="239"/>
      <c r="AE778" s="244"/>
      <c r="AF778" s="244"/>
      <c r="AG778" s="243"/>
      <c r="AH778" s="243"/>
      <c r="AI778" s="239"/>
      <c r="AJ778" s="239"/>
      <c r="AK778" s="239"/>
    </row>
    <row r="779" spans="28:37">
      <c r="AB779" s="215"/>
      <c r="AC779" s="239"/>
      <c r="AD779" s="239"/>
      <c r="AE779" s="244"/>
      <c r="AF779" s="244"/>
      <c r="AG779" s="243"/>
      <c r="AH779" s="243"/>
      <c r="AI779" s="239"/>
      <c r="AJ779" s="239"/>
      <c r="AK779" s="239"/>
    </row>
    <row r="780" spans="28:37">
      <c r="AB780" s="215"/>
      <c r="AC780" s="239"/>
      <c r="AD780" s="239"/>
      <c r="AE780" s="244"/>
      <c r="AF780" s="244"/>
      <c r="AG780" s="243"/>
      <c r="AH780" s="243"/>
      <c r="AI780" s="239"/>
      <c r="AJ780" s="239"/>
      <c r="AK780" s="239"/>
    </row>
    <row r="781" spans="28:37">
      <c r="AB781" s="215"/>
      <c r="AC781" s="239"/>
      <c r="AD781" s="239"/>
      <c r="AE781" s="244"/>
      <c r="AF781" s="244"/>
      <c r="AG781" s="243"/>
      <c r="AH781" s="243"/>
      <c r="AI781" s="239"/>
      <c r="AJ781" s="239"/>
      <c r="AK781" s="239"/>
    </row>
    <row r="782" spans="28:37">
      <c r="AB782" s="215"/>
      <c r="AC782" s="239"/>
      <c r="AD782" s="239"/>
      <c r="AE782" s="244"/>
      <c r="AF782" s="244"/>
      <c r="AG782" s="243"/>
      <c r="AH782" s="243"/>
      <c r="AI782" s="239"/>
      <c r="AJ782" s="239"/>
      <c r="AK782" s="239"/>
    </row>
    <row r="783" spans="28:37">
      <c r="AB783" s="215"/>
      <c r="AC783" s="239"/>
      <c r="AD783" s="239"/>
      <c r="AE783" s="244"/>
      <c r="AF783" s="244"/>
      <c r="AG783" s="243"/>
      <c r="AH783" s="243"/>
      <c r="AI783" s="239"/>
      <c r="AJ783" s="239"/>
      <c r="AK783" s="239"/>
    </row>
    <row r="784" spans="28:37">
      <c r="AB784" s="215"/>
      <c r="AC784" s="239"/>
      <c r="AD784" s="239"/>
      <c r="AE784" s="244"/>
      <c r="AF784" s="244"/>
      <c r="AG784" s="243"/>
      <c r="AH784" s="243"/>
      <c r="AI784" s="239"/>
      <c r="AJ784" s="239"/>
      <c r="AK784" s="239"/>
    </row>
    <row r="785" spans="28:37">
      <c r="AB785" s="215"/>
      <c r="AC785" s="239"/>
      <c r="AD785" s="239"/>
      <c r="AE785" s="244"/>
      <c r="AF785" s="244"/>
      <c r="AG785" s="243"/>
      <c r="AH785" s="243"/>
      <c r="AI785" s="239"/>
      <c r="AJ785" s="239"/>
      <c r="AK785" s="239"/>
    </row>
    <row r="786" spans="28:37">
      <c r="AB786" s="215"/>
      <c r="AC786" s="239"/>
      <c r="AD786" s="239"/>
      <c r="AE786" s="244"/>
      <c r="AF786" s="244"/>
      <c r="AG786" s="243"/>
      <c r="AH786" s="243"/>
      <c r="AI786" s="239"/>
      <c r="AJ786" s="239"/>
      <c r="AK786" s="239"/>
    </row>
    <row r="787" spans="28:37">
      <c r="AB787" s="215"/>
      <c r="AC787" s="239"/>
      <c r="AD787" s="239"/>
      <c r="AE787" s="244"/>
      <c r="AF787" s="244"/>
      <c r="AG787" s="243"/>
      <c r="AH787" s="243"/>
      <c r="AI787" s="239"/>
      <c r="AJ787" s="239"/>
      <c r="AK787" s="239"/>
    </row>
    <row r="788" spans="28:37">
      <c r="AB788" s="215"/>
      <c r="AC788" s="239"/>
      <c r="AD788" s="239"/>
      <c r="AE788" s="244"/>
      <c r="AF788" s="244"/>
      <c r="AG788" s="243"/>
      <c r="AH788" s="243"/>
      <c r="AI788" s="239"/>
      <c r="AJ788" s="239"/>
      <c r="AK788" s="239"/>
    </row>
    <row r="789" spans="28:37">
      <c r="AB789" s="215"/>
      <c r="AC789" s="239"/>
      <c r="AD789" s="239"/>
      <c r="AE789" s="244"/>
      <c r="AF789" s="244"/>
      <c r="AG789" s="243"/>
      <c r="AH789" s="243"/>
      <c r="AI789" s="239"/>
      <c r="AJ789" s="239"/>
      <c r="AK789" s="239"/>
    </row>
    <row r="790" spans="28:37">
      <c r="AB790" s="215"/>
      <c r="AC790" s="239"/>
      <c r="AD790" s="239"/>
      <c r="AE790" s="244"/>
      <c r="AF790" s="244"/>
      <c r="AG790" s="243"/>
      <c r="AH790" s="243"/>
      <c r="AI790" s="239"/>
      <c r="AJ790" s="239"/>
      <c r="AK790" s="239"/>
    </row>
    <row r="791" spans="28:37">
      <c r="AB791" s="215"/>
      <c r="AC791" s="239"/>
      <c r="AD791" s="239"/>
      <c r="AE791" s="244"/>
      <c r="AF791" s="244"/>
      <c r="AG791" s="243"/>
      <c r="AH791" s="243"/>
      <c r="AI791" s="239"/>
      <c r="AJ791" s="239"/>
      <c r="AK791" s="239"/>
    </row>
    <row r="792" spans="28:37">
      <c r="AB792" s="215"/>
      <c r="AC792" s="239"/>
      <c r="AD792" s="239"/>
      <c r="AE792" s="244"/>
      <c r="AF792" s="244"/>
      <c r="AG792" s="243"/>
      <c r="AH792" s="243"/>
      <c r="AI792" s="239"/>
      <c r="AJ792" s="239"/>
      <c r="AK792" s="239"/>
    </row>
    <row r="793" spans="28:37">
      <c r="AB793" s="215"/>
      <c r="AC793" s="239"/>
      <c r="AD793" s="239"/>
      <c r="AE793" s="244"/>
      <c r="AF793" s="244"/>
      <c r="AG793" s="243"/>
      <c r="AH793" s="243"/>
      <c r="AI793" s="239"/>
      <c r="AJ793" s="239"/>
      <c r="AK793" s="239"/>
    </row>
    <row r="794" spans="28:37">
      <c r="AB794" s="215"/>
      <c r="AC794" s="239"/>
      <c r="AD794" s="239"/>
      <c r="AE794" s="244"/>
      <c r="AF794" s="244"/>
      <c r="AG794" s="243"/>
      <c r="AH794" s="243"/>
      <c r="AI794" s="239"/>
      <c r="AJ794" s="239"/>
      <c r="AK794" s="239"/>
    </row>
    <row r="795" spans="28:37">
      <c r="AB795" s="215"/>
      <c r="AC795" s="239"/>
      <c r="AD795" s="239"/>
      <c r="AE795" s="244"/>
      <c r="AF795" s="244"/>
      <c r="AG795" s="243"/>
      <c r="AH795" s="243"/>
      <c r="AI795" s="239"/>
      <c r="AJ795" s="239"/>
      <c r="AK795" s="239"/>
    </row>
    <row r="796" spans="28:37">
      <c r="AB796" s="215"/>
      <c r="AC796" s="239"/>
      <c r="AD796" s="239"/>
      <c r="AE796" s="244"/>
      <c r="AF796" s="244"/>
      <c r="AG796" s="243"/>
      <c r="AH796" s="243"/>
      <c r="AI796" s="239"/>
      <c r="AJ796" s="239"/>
      <c r="AK796" s="239"/>
    </row>
    <row r="797" spans="28:37">
      <c r="AB797" s="215"/>
      <c r="AC797" s="239"/>
      <c r="AD797" s="239"/>
      <c r="AE797" s="244"/>
      <c r="AF797" s="244"/>
      <c r="AG797" s="243"/>
      <c r="AH797" s="243"/>
      <c r="AI797" s="239"/>
      <c r="AJ797" s="239"/>
      <c r="AK797" s="239"/>
    </row>
    <row r="798" spans="28:37">
      <c r="AB798" s="215"/>
      <c r="AC798" s="239"/>
      <c r="AD798" s="239"/>
      <c r="AE798" s="244"/>
      <c r="AF798" s="244"/>
      <c r="AG798" s="243"/>
      <c r="AH798" s="243"/>
      <c r="AI798" s="239"/>
      <c r="AJ798" s="239"/>
      <c r="AK798" s="239"/>
    </row>
    <row r="799" spans="28:37">
      <c r="AB799" s="215"/>
      <c r="AC799" s="239"/>
      <c r="AD799" s="239"/>
      <c r="AE799" s="244"/>
      <c r="AF799" s="244"/>
      <c r="AG799" s="243"/>
      <c r="AH799" s="243"/>
      <c r="AI799" s="239"/>
      <c r="AJ799" s="239"/>
      <c r="AK799" s="239"/>
    </row>
    <row r="800" spans="28:37">
      <c r="AB800" s="215"/>
      <c r="AC800" s="239"/>
      <c r="AD800" s="239"/>
      <c r="AE800" s="244"/>
      <c r="AF800" s="244"/>
      <c r="AG800" s="243"/>
      <c r="AH800" s="243"/>
      <c r="AI800" s="239"/>
      <c r="AJ800" s="239"/>
      <c r="AK800" s="239"/>
    </row>
    <row r="801" spans="28:37">
      <c r="AB801" s="215"/>
      <c r="AC801" s="239"/>
      <c r="AD801" s="239"/>
      <c r="AE801" s="244"/>
      <c r="AF801" s="244"/>
      <c r="AG801" s="243"/>
      <c r="AH801" s="243"/>
      <c r="AI801" s="239"/>
      <c r="AJ801" s="239"/>
      <c r="AK801" s="239"/>
    </row>
    <row r="802" spans="28:37">
      <c r="AB802" s="215"/>
      <c r="AC802" s="239"/>
      <c r="AD802" s="239"/>
      <c r="AE802" s="244"/>
      <c r="AF802" s="244"/>
      <c r="AG802" s="243"/>
      <c r="AH802" s="243"/>
      <c r="AI802" s="239"/>
      <c r="AJ802" s="239"/>
      <c r="AK802" s="239"/>
    </row>
    <row r="803" spans="28:37">
      <c r="AB803" s="215"/>
      <c r="AC803" s="239"/>
      <c r="AD803" s="239"/>
      <c r="AE803" s="244"/>
      <c r="AF803" s="244"/>
      <c r="AG803" s="243"/>
      <c r="AH803" s="243"/>
      <c r="AI803" s="239"/>
      <c r="AJ803" s="239"/>
      <c r="AK803" s="239"/>
    </row>
    <row r="804" spans="28:37">
      <c r="AB804" s="215"/>
      <c r="AC804" s="239"/>
      <c r="AD804" s="239"/>
      <c r="AE804" s="244"/>
      <c r="AF804" s="244"/>
      <c r="AG804" s="243"/>
      <c r="AH804" s="243"/>
      <c r="AI804" s="239"/>
      <c r="AJ804" s="239"/>
      <c r="AK804" s="239"/>
    </row>
    <row r="805" spans="28:37">
      <c r="AB805" s="215"/>
      <c r="AC805" s="239"/>
      <c r="AD805" s="239"/>
      <c r="AE805" s="244"/>
      <c r="AF805" s="244"/>
      <c r="AG805" s="243"/>
      <c r="AH805" s="243"/>
      <c r="AI805" s="239"/>
      <c r="AJ805" s="239"/>
      <c r="AK805" s="239"/>
    </row>
    <row r="806" spans="28:37">
      <c r="AB806" s="215"/>
      <c r="AC806" s="239"/>
      <c r="AD806" s="239"/>
      <c r="AE806" s="244"/>
      <c r="AF806" s="244"/>
      <c r="AG806" s="243"/>
      <c r="AH806" s="243"/>
      <c r="AI806" s="239"/>
      <c r="AJ806" s="239"/>
      <c r="AK806" s="239"/>
    </row>
    <row r="807" spans="28:37">
      <c r="AB807" s="215"/>
      <c r="AC807" s="239"/>
      <c r="AD807" s="239"/>
      <c r="AE807" s="244"/>
      <c r="AF807" s="244"/>
      <c r="AG807" s="243"/>
      <c r="AH807" s="243"/>
      <c r="AI807" s="239"/>
      <c r="AJ807" s="239"/>
      <c r="AK807" s="239"/>
    </row>
    <row r="808" spans="28:37">
      <c r="AB808" s="215"/>
      <c r="AC808" s="239"/>
      <c r="AD808" s="239"/>
      <c r="AE808" s="244"/>
      <c r="AF808" s="244"/>
      <c r="AG808" s="243"/>
      <c r="AH808" s="243"/>
      <c r="AI808" s="239"/>
      <c r="AJ808" s="239"/>
      <c r="AK808" s="239"/>
    </row>
    <row r="809" spans="28:37">
      <c r="AB809" s="215"/>
      <c r="AC809" s="239"/>
      <c r="AD809" s="239"/>
      <c r="AE809" s="244"/>
      <c r="AF809" s="244"/>
      <c r="AG809" s="243"/>
      <c r="AH809" s="243"/>
      <c r="AI809" s="239"/>
      <c r="AJ809" s="239"/>
      <c r="AK809" s="239"/>
    </row>
    <row r="810" spans="28:37">
      <c r="AB810" s="215"/>
      <c r="AC810" s="239"/>
      <c r="AD810" s="239"/>
      <c r="AE810" s="244"/>
      <c r="AF810" s="244"/>
      <c r="AG810" s="243"/>
      <c r="AH810" s="243"/>
      <c r="AI810" s="239"/>
      <c r="AJ810" s="239"/>
      <c r="AK810" s="239"/>
    </row>
    <row r="811" spans="28:37">
      <c r="AB811" s="215"/>
      <c r="AC811" s="239"/>
      <c r="AD811" s="239"/>
      <c r="AE811" s="244"/>
      <c r="AF811" s="244"/>
      <c r="AG811" s="243"/>
      <c r="AH811" s="243"/>
      <c r="AI811" s="239"/>
      <c r="AJ811" s="239"/>
      <c r="AK811" s="239"/>
    </row>
    <row r="812" spans="28:37">
      <c r="AB812" s="215"/>
      <c r="AC812" s="239"/>
      <c r="AD812" s="239"/>
      <c r="AE812" s="244"/>
      <c r="AF812" s="244"/>
      <c r="AG812" s="243"/>
      <c r="AH812" s="243"/>
      <c r="AI812" s="239"/>
      <c r="AJ812" s="239"/>
      <c r="AK812" s="239"/>
    </row>
    <row r="813" spans="28:37">
      <c r="AB813" s="215"/>
      <c r="AC813" s="239"/>
      <c r="AD813" s="239"/>
      <c r="AE813" s="244"/>
      <c r="AF813" s="244"/>
      <c r="AG813" s="243"/>
      <c r="AH813" s="243"/>
      <c r="AI813" s="239"/>
      <c r="AJ813" s="239"/>
      <c r="AK813" s="239"/>
    </row>
    <row r="814" spans="28:37">
      <c r="AB814" s="215"/>
      <c r="AC814" s="239"/>
      <c r="AD814" s="239"/>
      <c r="AE814" s="244"/>
      <c r="AF814" s="244"/>
      <c r="AG814" s="243"/>
      <c r="AH814" s="243"/>
      <c r="AI814" s="239"/>
      <c r="AJ814" s="239"/>
      <c r="AK814" s="239"/>
    </row>
    <row r="815" spans="28:37">
      <c r="AB815" s="215"/>
      <c r="AC815" s="239"/>
      <c r="AD815" s="239"/>
      <c r="AE815" s="244"/>
      <c r="AF815" s="244"/>
      <c r="AG815" s="243"/>
      <c r="AH815" s="243"/>
      <c r="AI815" s="239"/>
      <c r="AJ815" s="239"/>
      <c r="AK815" s="239"/>
    </row>
    <row r="816" spans="28:37">
      <c r="AB816" s="215"/>
      <c r="AC816" s="239"/>
      <c r="AD816" s="239"/>
      <c r="AE816" s="244"/>
      <c r="AF816" s="244"/>
      <c r="AG816" s="243"/>
      <c r="AH816" s="243"/>
      <c r="AI816" s="239"/>
      <c r="AJ816" s="239"/>
      <c r="AK816" s="239"/>
    </row>
    <row r="817" spans="28:37">
      <c r="AB817" s="215"/>
      <c r="AC817" s="239"/>
      <c r="AD817" s="239"/>
      <c r="AE817" s="244"/>
      <c r="AF817" s="244"/>
      <c r="AG817" s="243"/>
      <c r="AH817" s="243"/>
      <c r="AI817" s="239"/>
      <c r="AJ817" s="239"/>
      <c r="AK817" s="239"/>
    </row>
    <row r="818" spans="28:37">
      <c r="AB818" s="215"/>
      <c r="AC818" s="239"/>
      <c r="AD818" s="239"/>
      <c r="AE818" s="244"/>
      <c r="AF818" s="244"/>
      <c r="AG818" s="243"/>
      <c r="AH818" s="243"/>
      <c r="AI818" s="239"/>
      <c r="AJ818" s="239"/>
      <c r="AK818" s="239"/>
    </row>
    <row r="819" spans="28:37">
      <c r="AB819" s="215"/>
      <c r="AC819" s="239"/>
      <c r="AD819" s="239"/>
      <c r="AE819" s="244"/>
      <c r="AF819" s="244"/>
      <c r="AG819" s="243"/>
      <c r="AH819" s="243"/>
      <c r="AI819" s="239"/>
      <c r="AJ819" s="239"/>
      <c r="AK819" s="239"/>
    </row>
    <row r="820" spans="28:37">
      <c r="AB820" s="215"/>
      <c r="AC820" s="239"/>
      <c r="AD820" s="239"/>
      <c r="AE820" s="244"/>
      <c r="AF820" s="244"/>
      <c r="AG820" s="243"/>
      <c r="AH820" s="243"/>
      <c r="AI820" s="239"/>
      <c r="AJ820" s="239"/>
      <c r="AK820" s="239"/>
    </row>
    <row r="821" spans="28:37">
      <c r="AB821" s="215"/>
      <c r="AC821" s="239"/>
      <c r="AD821" s="239"/>
      <c r="AE821" s="244"/>
      <c r="AF821" s="244"/>
      <c r="AG821" s="243"/>
      <c r="AH821" s="243"/>
      <c r="AI821" s="239"/>
      <c r="AJ821" s="239"/>
      <c r="AK821" s="239"/>
    </row>
    <row r="822" spans="28:37">
      <c r="AB822" s="215"/>
      <c r="AC822" s="239"/>
      <c r="AD822" s="239"/>
      <c r="AE822" s="244"/>
      <c r="AF822" s="244"/>
      <c r="AG822" s="243"/>
      <c r="AH822" s="243"/>
      <c r="AI822" s="239"/>
      <c r="AJ822" s="239"/>
      <c r="AK822" s="239"/>
    </row>
    <row r="823" spans="28:37">
      <c r="AB823" s="215"/>
      <c r="AC823" s="239"/>
      <c r="AD823" s="239"/>
      <c r="AE823" s="244"/>
      <c r="AF823" s="244"/>
      <c r="AG823" s="243"/>
      <c r="AH823" s="243"/>
      <c r="AI823" s="239"/>
      <c r="AJ823" s="239"/>
      <c r="AK823" s="239"/>
    </row>
    <row r="824" spans="28:37">
      <c r="AB824" s="215"/>
      <c r="AC824" s="239"/>
      <c r="AD824" s="239"/>
      <c r="AE824" s="244"/>
      <c r="AF824" s="244"/>
      <c r="AG824" s="243"/>
      <c r="AH824" s="243"/>
      <c r="AI824" s="239"/>
      <c r="AJ824" s="239"/>
      <c r="AK824" s="239"/>
    </row>
    <row r="825" spans="28:37">
      <c r="AB825" s="215"/>
      <c r="AC825" s="239"/>
      <c r="AD825" s="239"/>
      <c r="AE825" s="244"/>
      <c r="AF825" s="244"/>
      <c r="AG825" s="243"/>
      <c r="AH825" s="243"/>
      <c r="AI825" s="239"/>
      <c r="AJ825" s="239"/>
      <c r="AK825" s="239"/>
    </row>
    <row r="826" spans="28:37">
      <c r="AB826" s="215"/>
      <c r="AC826" s="239"/>
      <c r="AD826" s="239"/>
      <c r="AE826" s="244"/>
      <c r="AF826" s="244"/>
      <c r="AG826" s="243"/>
      <c r="AH826" s="243"/>
      <c r="AI826" s="239"/>
      <c r="AJ826" s="239"/>
      <c r="AK826" s="239"/>
    </row>
    <row r="827" spans="28:37">
      <c r="AB827" s="215"/>
      <c r="AC827" s="239"/>
      <c r="AD827" s="239"/>
      <c r="AE827" s="244"/>
      <c r="AF827" s="244"/>
      <c r="AG827" s="243"/>
      <c r="AH827" s="243"/>
      <c r="AI827" s="239"/>
      <c r="AJ827" s="239"/>
      <c r="AK827" s="239"/>
    </row>
    <row r="828" spans="28:37">
      <c r="AB828" s="215"/>
      <c r="AC828" s="239"/>
      <c r="AD828" s="239"/>
      <c r="AE828" s="244"/>
      <c r="AF828" s="244"/>
      <c r="AG828" s="243"/>
      <c r="AH828" s="243"/>
      <c r="AI828" s="239"/>
      <c r="AJ828" s="239"/>
      <c r="AK828" s="239"/>
    </row>
    <row r="829" spans="28:37">
      <c r="AB829" s="215"/>
      <c r="AC829" s="239"/>
      <c r="AD829" s="239"/>
      <c r="AE829" s="244"/>
      <c r="AF829" s="244"/>
      <c r="AG829" s="243"/>
      <c r="AH829" s="243"/>
      <c r="AI829" s="239"/>
      <c r="AJ829" s="239"/>
      <c r="AK829" s="239"/>
    </row>
    <row r="830" spans="28:37">
      <c r="AB830" s="215"/>
      <c r="AC830" s="239"/>
      <c r="AD830" s="239"/>
      <c r="AE830" s="244"/>
      <c r="AF830" s="244"/>
      <c r="AG830" s="243"/>
      <c r="AH830" s="243"/>
      <c r="AI830" s="239"/>
      <c r="AJ830" s="239"/>
      <c r="AK830" s="239"/>
    </row>
    <row r="831" spans="28:37">
      <c r="AB831" s="215"/>
      <c r="AC831" s="239"/>
      <c r="AD831" s="239"/>
      <c r="AE831" s="244"/>
      <c r="AF831" s="244"/>
      <c r="AG831" s="243"/>
      <c r="AH831" s="243"/>
      <c r="AI831" s="239"/>
      <c r="AJ831" s="239"/>
      <c r="AK831" s="239"/>
    </row>
    <row r="832" spans="28:37">
      <c r="AB832" s="215"/>
      <c r="AC832" s="239"/>
      <c r="AD832" s="239"/>
      <c r="AE832" s="244"/>
      <c r="AF832" s="244"/>
      <c r="AG832" s="243"/>
      <c r="AH832" s="243"/>
      <c r="AI832" s="239"/>
      <c r="AJ832" s="239"/>
      <c r="AK832" s="239"/>
    </row>
    <row r="833" spans="28:37">
      <c r="AB833" s="215"/>
      <c r="AC833" s="239"/>
      <c r="AD833" s="239"/>
      <c r="AE833" s="244"/>
      <c r="AF833" s="244"/>
      <c r="AG833" s="243"/>
      <c r="AH833" s="243"/>
      <c r="AI833" s="239"/>
      <c r="AJ833" s="239"/>
      <c r="AK833" s="239"/>
    </row>
    <row r="834" spans="28:37">
      <c r="AB834" s="215"/>
      <c r="AC834" s="239"/>
      <c r="AD834" s="239"/>
      <c r="AE834" s="244"/>
      <c r="AF834" s="244"/>
      <c r="AG834" s="243"/>
      <c r="AH834" s="243"/>
      <c r="AI834" s="239"/>
      <c r="AJ834" s="239"/>
      <c r="AK834" s="239"/>
    </row>
    <row r="835" spans="28:37">
      <c r="AB835" s="215"/>
      <c r="AC835" s="239"/>
      <c r="AD835" s="239"/>
      <c r="AE835" s="244"/>
      <c r="AF835" s="244"/>
      <c r="AG835" s="243"/>
      <c r="AH835" s="243"/>
      <c r="AI835" s="239"/>
      <c r="AJ835" s="239"/>
      <c r="AK835" s="239"/>
    </row>
    <row r="836" spans="28:37">
      <c r="AB836" s="215"/>
      <c r="AC836" s="239"/>
      <c r="AD836" s="239"/>
      <c r="AE836" s="244"/>
      <c r="AF836" s="244"/>
      <c r="AG836" s="243"/>
      <c r="AH836" s="243"/>
      <c r="AI836" s="239"/>
      <c r="AJ836" s="239"/>
      <c r="AK836" s="239"/>
    </row>
    <row r="837" spans="28:37">
      <c r="AB837" s="215"/>
      <c r="AC837" s="239"/>
      <c r="AD837" s="239"/>
      <c r="AE837" s="244"/>
      <c r="AF837" s="244"/>
      <c r="AG837" s="243"/>
      <c r="AH837" s="243"/>
      <c r="AI837" s="239"/>
      <c r="AJ837" s="239"/>
      <c r="AK837" s="239"/>
    </row>
    <row r="838" spans="28:37">
      <c r="AB838" s="215"/>
      <c r="AC838" s="239"/>
      <c r="AD838" s="239"/>
      <c r="AE838" s="244"/>
      <c r="AF838" s="244"/>
      <c r="AG838" s="243"/>
      <c r="AH838" s="243"/>
      <c r="AI838" s="239"/>
      <c r="AJ838" s="239"/>
      <c r="AK838" s="239"/>
    </row>
    <row r="839" spans="28:37">
      <c r="AB839" s="215"/>
      <c r="AC839" s="239"/>
      <c r="AD839" s="239"/>
      <c r="AE839" s="244"/>
      <c r="AF839" s="244"/>
      <c r="AG839" s="243"/>
      <c r="AH839" s="243"/>
      <c r="AI839" s="239"/>
      <c r="AJ839" s="239"/>
      <c r="AK839" s="239"/>
    </row>
    <row r="840" spans="28:37">
      <c r="AB840" s="215"/>
      <c r="AC840" s="239"/>
      <c r="AD840" s="239"/>
      <c r="AE840" s="244"/>
      <c r="AF840" s="244"/>
      <c r="AG840" s="243"/>
      <c r="AH840" s="243"/>
      <c r="AI840" s="239"/>
      <c r="AJ840" s="239"/>
      <c r="AK840" s="239"/>
    </row>
    <row r="841" spans="28:37">
      <c r="AB841" s="215"/>
      <c r="AC841" s="239"/>
      <c r="AD841" s="239"/>
      <c r="AE841" s="244"/>
      <c r="AF841" s="244"/>
      <c r="AG841" s="243"/>
      <c r="AH841" s="243"/>
      <c r="AI841" s="239"/>
      <c r="AJ841" s="239"/>
      <c r="AK841" s="239"/>
    </row>
    <row r="842" spans="28:37">
      <c r="AB842" s="215"/>
      <c r="AC842" s="239"/>
      <c r="AD842" s="239"/>
      <c r="AE842" s="244"/>
      <c r="AF842" s="244"/>
      <c r="AG842" s="243"/>
      <c r="AH842" s="243"/>
      <c r="AI842" s="239"/>
      <c r="AJ842" s="239"/>
      <c r="AK842" s="239"/>
    </row>
    <row r="843" spans="28:37">
      <c r="AB843" s="215"/>
      <c r="AC843" s="239"/>
      <c r="AD843" s="239"/>
      <c r="AE843" s="244"/>
      <c r="AF843" s="244"/>
      <c r="AG843" s="243"/>
      <c r="AH843" s="243"/>
      <c r="AI843" s="239"/>
      <c r="AJ843" s="239"/>
      <c r="AK843" s="239"/>
    </row>
    <row r="844" spans="28:37">
      <c r="AB844" s="215"/>
      <c r="AC844" s="239"/>
      <c r="AD844" s="239"/>
      <c r="AE844" s="244"/>
      <c r="AF844" s="244"/>
      <c r="AG844" s="243"/>
      <c r="AH844" s="243"/>
      <c r="AI844" s="239"/>
      <c r="AJ844" s="239"/>
      <c r="AK844" s="239"/>
    </row>
    <row r="845" spans="28:37">
      <c r="AB845" s="215"/>
      <c r="AC845" s="239"/>
      <c r="AD845" s="239"/>
      <c r="AE845" s="244"/>
      <c r="AF845" s="244"/>
      <c r="AG845" s="243"/>
      <c r="AH845" s="243"/>
      <c r="AI845" s="239"/>
      <c r="AJ845" s="239"/>
      <c r="AK845" s="239"/>
    </row>
    <row r="846" spans="28:37">
      <c r="AB846" s="215"/>
      <c r="AC846" s="239"/>
      <c r="AD846" s="239"/>
      <c r="AE846" s="244"/>
      <c r="AF846" s="244"/>
      <c r="AG846" s="243"/>
      <c r="AH846" s="243"/>
      <c r="AI846" s="239"/>
      <c r="AJ846" s="239"/>
      <c r="AK846" s="239"/>
    </row>
    <row r="847" spans="28:37">
      <c r="AB847" s="215"/>
      <c r="AC847" s="239"/>
      <c r="AD847" s="239"/>
      <c r="AE847" s="244"/>
      <c r="AF847" s="244"/>
      <c r="AG847" s="243"/>
      <c r="AH847" s="243"/>
      <c r="AI847" s="239"/>
      <c r="AJ847" s="239"/>
      <c r="AK847" s="239"/>
    </row>
    <row r="848" spans="28:37">
      <c r="AB848" s="215"/>
      <c r="AC848" s="239"/>
      <c r="AD848" s="239"/>
      <c r="AE848" s="244"/>
      <c r="AF848" s="244"/>
      <c r="AG848" s="243"/>
      <c r="AH848" s="243"/>
      <c r="AI848" s="239"/>
      <c r="AJ848" s="239"/>
      <c r="AK848" s="239"/>
    </row>
    <row r="849" spans="28:37">
      <c r="AB849" s="215"/>
      <c r="AC849" s="239"/>
      <c r="AD849" s="239"/>
      <c r="AE849" s="244"/>
      <c r="AF849" s="244"/>
      <c r="AG849" s="243"/>
      <c r="AH849" s="243"/>
      <c r="AI849" s="239"/>
      <c r="AJ849" s="239"/>
      <c r="AK849" s="239"/>
    </row>
    <row r="850" spans="28:37">
      <c r="AB850" s="215"/>
      <c r="AC850" s="239"/>
      <c r="AD850" s="239"/>
      <c r="AE850" s="244"/>
      <c r="AF850" s="244"/>
      <c r="AG850" s="243"/>
      <c r="AH850" s="243"/>
      <c r="AI850" s="239"/>
      <c r="AJ850" s="239"/>
      <c r="AK850" s="239"/>
    </row>
    <row r="851" spans="28:37">
      <c r="AB851" s="215"/>
      <c r="AC851" s="239"/>
      <c r="AD851" s="239"/>
      <c r="AE851" s="244"/>
      <c r="AF851" s="244"/>
      <c r="AG851" s="243"/>
      <c r="AH851" s="243"/>
      <c r="AI851" s="239"/>
      <c r="AJ851" s="239"/>
      <c r="AK851" s="239"/>
    </row>
    <row r="852" spans="28:37">
      <c r="AB852" s="215"/>
      <c r="AC852" s="239"/>
      <c r="AD852" s="239"/>
      <c r="AE852" s="244"/>
      <c r="AF852" s="244"/>
      <c r="AG852" s="243"/>
      <c r="AH852" s="243"/>
      <c r="AI852" s="239"/>
      <c r="AJ852" s="239"/>
      <c r="AK852" s="239"/>
    </row>
    <row r="853" spans="28:37">
      <c r="AB853" s="215"/>
      <c r="AC853" s="239"/>
      <c r="AD853" s="239"/>
      <c r="AE853" s="244"/>
      <c r="AF853" s="244"/>
      <c r="AG853" s="243"/>
      <c r="AH853" s="243"/>
      <c r="AI853" s="239"/>
      <c r="AJ853" s="239"/>
      <c r="AK853" s="239"/>
    </row>
    <row r="854" spans="28:37">
      <c r="AB854" s="215"/>
      <c r="AC854" s="239"/>
      <c r="AD854" s="239"/>
      <c r="AE854" s="244"/>
      <c r="AF854" s="244"/>
      <c r="AG854" s="243"/>
      <c r="AH854" s="243"/>
      <c r="AI854" s="239"/>
      <c r="AJ854" s="239"/>
      <c r="AK854" s="239"/>
    </row>
    <row r="855" spans="28:37">
      <c r="AB855" s="215"/>
      <c r="AC855" s="239"/>
      <c r="AD855" s="239"/>
      <c r="AE855" s="244"/>
      <c r="AF855" s="244"/>
      <c r="AG855" s="243"/>
      <c r="AH855" s="243"/>
      <c r="AI855" s="239"/>
      <c r="AJ855" s="239"/>
      <c r="AK855" s="239"/>
    </row>
    <row r="856" spans="28:37">
      <c r="AB856" s="215"/>
      <c r="AC856" s="239"/>
      <c r="AD856" s="239"/>
      <c r="AE856" s="244"/>
      <c r="AF856" s="244"/>
      <c r="AG856" s="243"/>
      <c r="AH856" s="243"/>
      <c r="AI856" s="239"/>
      <c r="AJ856" s="239"/>
      <c r="AK856" s="239"/>
    </row>
    <row r="857" spans="28:37">
      <c r="AB857" s="215"/>
      <c r="AC857" s="239"/>
      <c r="AD857" s="239"/>
      <c r="AE857" s="244"/>
      <c r="AF857" s="244"/>
      <c r="AG857" s="243"/>
      <c r="AH857" s="243"/>
      <c r="AI857" s="239"/>
      <c r="AJ857" s="239"/>
      <c r="AK857" s="239"/>
    </row>
    <row r="858" spans="28:37">
      <c r="AB858" s="215"/>
      <c r="AC858" s="239"/>
      <c r="AD858" s="239"/>
      <c r="AE858" s="244"/>
      <c r="AF858" s="244"/>
      <c r="AG858" s="243"/>
      <c r="AH858" s="243"/>
      <c r="AI858" s="239"/>
      <c r="AJ858" s="239"/>
      <c r="AK858" s="239"/>
    </row>
    <row r="859" spans="28:37">
      <c r="AB859" s="215"/>
      <c r="AC859" s="239"/>
      <c r="AD859" s="239"/>
      <c r="AE859" s="244"/>
      <c r="AF859" s="244"/>
      <c r="AG859" s="243"/>
      <c r="AH859" s="243"/>
      <c r="AI859" s="239"/>
      <c r="AJ859" s="239"/>
      <c r="AK859" s="239"/>
    </row>
    <row r="860" spans="28:37">
      <c r="AB860" s="215"/>
      <c r="AC860" s="239"/>
      <c r="AD860" s="239"/>
      <c r="AE860" s="244"/>
      <c r="AF860" s="244"/>
      <c r="AG860" s="243"/>
      <c r="AH860" s="243"/>
      <c r="AI860" s="239"/>
      <c r="AJ860" s="239"/>
      <c r="AK860" s="239"/>
    </row>
    <row r="861" spans="28:37">
      <c r="AB861" s="215"/>
      <c r="AC861" s="239"/>
      <c r="AD861" s="239"/>
      <c r="AE861" s="244"/>
      <c r="AF861" s="244"/>
      <c r="AG861" s="243"/>
      <c r="AH861" s="243"/>
      <c r="AI861" s="239"/>
      <c r="AJ861" s="239"/>
      <c r="AK861" s="239"/>
    </row>
    <row r="862" spans="28:37">
      <c r="AB862" s="215"/>
      <c r="AC862" s="239"/>
      <c r="AD862" s="239"/>
      <c r="AE862" s="244"/>
      <c r="AF862" s="244"/>
      <c r="AG862" s="243"/>
      <c r="AH862" s="243"/>
      <c r="AI862" s="239"/>
      <c r="AJ862" s="239"/>
      <c r="AK862" s="239"/>
    </row>
    <row r="863" spans="28:37">
      <c r="AB863" s="215"/>
      <c r="AC863" s="239"/>
      <c r="AD863" s="239"/>
      <c r="AE863" s="244"/>
      <c r="AF863" s="244"/>
      <c r="AG863" s="243"/>
      <c r="AH863" s="243"/>
      <c r="AI863" s="239"/>
      <c r="AJ863" s="239"/>
      <c r="AK863" s="239"/>
    </row>
    <row r="864" spans="28:37">
      <c r="AB864" s="215"/>
      <c r="AC864" s="239"/>
      <c r="AD864" s="239"/>
      <c r="AE864" s="244"/>
      <c r="AF864" s="244"/>
      <c r="AG864" s="243"/>
      <c r="AH864" s="243"/>
      <c r="AI864" s="239"/>
      <c r="AJ864" s="239"/>
      <c r="AK864" s="239"/>
    </row>
    <row r="865" spans="28:37">
      <c r="AB865" s="215"/>
      <c r="AC865" s="239"/>
      <c r="AD865" s="239"/>
      <c r="AE865" s="244"/>
      <c r="AF865" s="244"/>
      <c r="AG865" s="243"/>
      <c r="AH865" s="243"/>
      <c r="AI865" s="239"/>
      <c r="AJ865" s="239"/>
      <c r="AK865" s="239"/>
    </row>
    <row r="866" spans="28:37">
      <c r="AB866" s="215"/>
      <c r="AC866" s="239"/>
      <c r="AD866" s="239"/>
      <c r="AE866" s="244"/>
      <c r="AF866" s="244"/>
      <c r="AG866" s="243"/>
      <c r="AH866" s="243"/>
      <c r="AI866" s="239"/>
      <c r="AJ866" s="239"/>
      <c r="AK866" s="239"/>
    </row>
    <row r="867" spans="28:37">
      <c r="AB867" s="215"/>
      <c r="AC867" s="239"/>
      <c r="AD867" s="239"/>
      <c r="AE867" s="244"/>
      <c r="AF867" s="244"/>
      <c r="AG867" s="243"/>
      <c r="AH867" s="243"/>
      <c r="AI867" s="239"/>
      <c r="AJ867" s="239"/>
      <c r="AK867" s="239"/>
    </row>
    <row r="868" spans="28:37">
      <c r="AB868" s="215"/>
      <c r="AC868" s="239"/>
      <c r="AD868" s="239"/>
      <c r="AE868" s="244"/>
      <c r="AF868" s="244"/>
      <c r="AG868" s="243"/>
      <c r="AH868" s="243"/>
      <c r="AI868" s="239"/>
      <c r="AJ868" s="239"/>
      <c r="AK868" s="239"/>
    </row>
    <row r="869" spans="28:37">
      <c r="AB869" s="215"/>
      <c r="AC869" s="239"/>
      <c r="AD869" s="239"/>
      <c r="AE869" s="244"/>
      <c r="AF869" s="244"/>
      <c r="AG869" s="243"/>
      <c r="AH869" s="243"/>
      <c r="AI869" s="239"/>
      <c r="AJ869" s="239"/>
      <c r="AK869" s="239"/>
    </row>
    <row r="870" spans="28:37">
      <c r="AB870" s="215"/>
      <c r="AC870" s="239"/>
      <c r="AD870" s="239"/>
      <c r="AE870" s="244"/>
      <c r="AF870" s="244"/>
      <c r="AG870" s="243"/>
      <c r="AH870" s="243"/>
      <c r="AI870" s="239"/>
      <c r="AJ870" s="239"/>
      <c r="AK870" s="239"/>
    </row>
    <row r="871" spans="28:37">
      <c r="AB871" s="215"/>
      <c r="AC871" s="239"/>
      <c r="AD871" s="239"/>
      <c r="AE871" s="244"/>
      <c r="AF871" s="244"/>
      <c r="AG871" s="243"/>
      <c r="AH871" s="243"/>
      <c r="AI871" s="239"/>
      <c r="AJ871" s="239"/>
      <c r="AK871" s="239"/>
    </row>
    <row r="872" spans="28:37">
      <c r="AB872" s="215"/>
      <c r="AC872" s="239"/>
      <c r="AD872" s="239"/>
      <c r="AE872" s="244"/>
      <c r="AF872" s="244"/>
      <c r="AG872" s="243"/>
      <c r="AH872" s="243"/>
      <c r="AI872" s="239"/>
      <c r="AJ872" s="239"/>
      <c r="AK872" s="239"/>
    </row>
    <row r="873" spans="28:37">
      <c r="AB873" s="215"/>
      <c r="AC873" s="239"/>
      <c r="AD873" s="239"/>
      <c r="AE873" s="244"/>
      <c r="AF873" s="244"/>
      <c r="AG873" s="243"/>
      <c r="AH873" s="243"/>
      <c r="AI873" s="239"/>
      <c r="AJ873" s="239"/>
      <c r="AK873" s="239"/>
    </row>
    <row r="874" spans="28:37">
      <c r="AB874" s="215"/>
      <c r="AC874" s="239"/>
      <c r="AD874" s="239"/>
      <c r="AE874" s="244"/>
      <c r="AF874" s="244"/>
      <c r="AG874" s="243"/>
      <c r="AH874" s="243"/>
      <c r="AI874" s="239"/>
      <c r="AJ874" s="239"/>
      <c r="AK874" s="239"/>
    </row>
    <row r="875" spans="28:37">
      <c r="AB875" s="215"/>
      <c r="AC875" s="239"/>
      <c r="AD875" s="239"/>
      <c r="AE875" s="244"/>
      <c r="AF875" s="244"/>
      <c r="AG875" s="243"/>
      <c r="AH875" s="243"/>
      <c r="AI875" s="239"/>
      <c r="AJ875" s="239"/>
      <c r="AK875" s="239"/>
    </row>
    <row r="876" spans="28:37">
      <c r="AB876" s="215"/>
      <c r="AC876" s="239"/>
      <c r="AD876" s="239"/>
      <c r="AE876" s="244"/>
      <c r="AF876" s="244"/>
      <c r="AG876" s="243"/>
      <c r="AH876" s="243"/>
      <c r="AI876" s="239"/>
      <c r="AJ876" s="239"/>
      <c r="AK876" s="239"/>
    </row>
    <row r="877" spans="28:37">
      <c r="AB877" s="215"/>
      <c r="AC877" s="239"/>
      <c r="AD877" s="239"/>
      <c r="AE877" s="244"/>
      <c r="AF877" s="244"/>
      <c r="AG877" s="243"/>
      <c r="AH877" s="243"/>
      <c r="AI877" s="239"/>
      <c r="AJ877" s="239"/>
      <c r="AK877" s="239"/>
    </row>
    <row r="878" spans="28:37">
      <c r="AB878" s="215"/>
      <c r="AC878" s="239"/>
      <c r="AD878" s="239"/>
      <c r="AE878" s="244"/>
      <c r="AF878" s="244"/>
      <c r="AG878" s="243"/>
      <c r="AH878" s="243"/>
      <c r="AI878" s="239"/>
      <c r="AJ878" s="239"/>
      <c r="AK878" s="239"/>
    </row>
    <row r="879" spans="28:37">
      <c r="AB879" s="215"/>
      <c r="AC879" s="239"/>
      <c r="AD879" s="239"/>
      <c r="AE879" s="244"/>
      <c r="AF879" s="244"/>
      <c r="AG879" s="243"/>
      <c r="AH879" s="243"/>
      <c r="AI879" s="239"/>
      <c r="AJ879" s="239"/>
      <c r="AK879" s="239"/>
    </row>
    <row r="880" spans="28:37">
      <c r="AB880" s="215"/>
      <c r="AC880" s="239"/>
      <c r="AD880" s="239"/>
      <c r="AE880" s="244"/>
      <c r="AF880" s="244"/>
      <c r="AG880" s="243"/>
      <c r="AH880" s="243"/>
      <c r="AI880" s="239"/>
      <c r="AJ880" s="239"/>
      <c r="AK880" s="239"/>
    </row>
    <row r="881" spans="28:37">
      <c r="AB881" s="215"/>
      <c r="AC881" s="239"/>
      <c r="AD881" s="239"/>
      <c r="AE881" s="244"/>
      <c r="AF881" s="244"/>
      <c r="AG881" s="243"/>
      <c r="AH881" s="243"/>
      <c r="AI881" s="239"/>
      <c r="AJ881" s="239"/>
      <c r="AK881" s="239"/>
    </row>
    <row r="882" spans="28:37">
      <c r="AB882" s="215"/>
      <c r="AC882" s="239"/>
      <c r="AD882" s="239"/>
      <c r="AE882" s="244"/>
      <c r="AF882" s="244"/>
      <c r="AG882" s="243"/>
      <c r="AH882" s="243"/>
      <c r="AI882" s="239"/>
      <c r="AJ882" s="239"/>
      <c r="AK882" s="239"/>
    </row>
    <row r="883" spans="28:37">
      <c r="AB883" s="215"/>
      <c r="AC883" s="239"/>
      <c r="AD883" s="239"/>
      <c r="AE883" s="244"/>
      <c r="AF883" s="244"/>
      <c r="AG883" s="243"/>
      <c r="AH883" s="243"/>
      <c r="AI883" s="239"/>
      <c r="AJ883" s="239"/>
      <c r="AK883" s="239"/>
    </row>
    <row r="884" spans="28:37">
      <c r="AB884" s="215"/>
      <c r="AC884" s="239"/>
      <c r="AD884" s="239"/>
      <c r="AE884" s="244"/>
      <c r="AF884" s="244"/>
      <c r="AG884" s="243"/>
      <c r="AH884" s="243"/>
      <c r="AI884" s="239"/>
      <c r="AJ884" s="239"/>
      <c r="AK884" s="239"/>
    </row>
    <row r="885" spans="28:37">
      <c r="AB885" s="215"/>
      <c r="AC885" s="239"/>
      <c r="AD885" s="239"/>
      <c r="AE885" s="244"/>
      <c r="AF885" s="244"/>
      <c r="AG885" s="243"/>
      <c r="AH885" s="243"/>
      <c r="AI885" s="239"/>
      <c r="AJ885" s="239"/>
      <c r="AK885" s="239"/>
    </row>
    <row r="886" spans="28:37">
      <c r="AB886" s="215"/>
      <c r="AC886" s="239"/>
      <c r="AD886" s="239"/>
      <c r="AE886" s="244"/>
      <c r="AF886" s="244"/>
      <c r="AG886" s="243"/>
      <c r="AH886" s="243"/>
      <c r="AI886" s="239"/>
      <c r="AJ886" s="239"/>
      <c r="AK886" s="239"/>
    </row>
    <row r="887" spans="28:37">
      <c r="AB887" s="215"/>
      <c r="AC887" s="239"/>
      <c r="AD887" s="239"/>
      <c r="AE887" s="244"/>
      <c r="AF887" s="244"/>
      <c r="AG887" s="243"/>
      <c r="AH887" s="243"/>
      <c r="AI887" s="239"/>
      <c r="AJ887" s="239"/>
      <c r="AK887" s="239"/>
    </row>
    <row r="888" spans="28:37">
      <c r="AB888" s="215"/>
      <c r="AC888" s="239"/>
      <c r="AD888" s="239"/>
      <c r="AE888" s="244"/>
      <c r="AF888" s="244"/>
      <c r="AG888" s="243"/>
      <c r="AH888" s="243"/>
      <c r="AI888" s="239"/>
      <c r="AJ888" s="239"/>
      <c r="AK888" s="239"/>
    </row>
    <row r="889" spans="28:37">
      <c r="AB889" s="215"/>
      <c r="AC889" s="239"/>
      <c r="AD889" s="239"/>
      <c r="AE889" s="244"/>
      <c r="AF889" s="244"/>
      <c r="AG889" s="243"/>
      <c r="AH889" s="243"/>
      <c r="AI889" s="239"/>
      <c r="AJ889" s="239"/>
      <c r="AK889" s="239"/>
    </row>
    <row r="890" spans="28:37">
      <c r="AB890" s="215"/>
      <c r="AC890" s="239"/>
      <c r="AD890" s="239"/>
      <c r="AE890" s="244"/>
      <c r="AF890" s="244"/>
      <c r="AG890" s="243"/>
      <c r="AH890" s="243"/>
      <c r="AI890" s="239"/>
      <c r="AJ890" s="239"/>
      <c r="AK890" s="239"/>
    </row>
    <row r="891" spans="28:37">
      <c r="AB891" s="215"/>
      <c r="AC891" s="239"/>
      <c r="AD891" s="239"/>
      <c r="AE891" s="244"/>
      <c r="AF891" s="244"/>
      <c r="AG891" s="243"/>
      <c r="AH891" s="243"/>
      <c r="AI891" s="239"/>
      <c r="AJ891" s="239"/>
      <c r="AK891" s="239"/>
    </row>
    <row r="892" spans="28:37">
      <c r="AB892" s="215"/>
      <c r="AC892" s="239"/>
      <c r="AD892" s="239"/>
      <c r="AE892" s="244"/>
      <c r="AF892" s="244"/>
      <c r="AG892" s="243"/>
      <c r="AH892" s="243"/>
      <c r="AI892" s="239"/>
      <c r="AJ892" s="239"/>
      <c r="AK892" s="239"/>
    </row>
    <row r="893" spans="28:37">
      <c r="AB893" s="215"/>
      <c r="AC893" s="239"/>
      <c r="AD893" s="239"/>
      <c r="AE893" s="244"/>
      <c r="AF893" s="244"/>
      <c r="AG893" s="243"/>
      <c r="AH893" s="243"/>
      <c r="AI893" s="239"/>
      <c r="AJ893" s="239"/>
      <c r="AK893" s="239"/>
    </row>
    <row r="894" spans="28:37">
      <c r="AB894" s="215"/>
      <c r="AC894" s="239"/>
      <c r="AD894" s="239"/>
      <c r="AE894" s="244"/>
      <c r="AF894" s="244"/>
      <c r="AG894" s="243"/>
      <c r="AH894" s="243"/>
      <c r="AI894" s="239"/>
      <c r="AJ894" s="239"/>
      <c r="AK894" s="239"/>
    </row>
    <row r="895" spans="28:37">
      <c r="AB895" s="215"/>
      <c r="AC895" s="239"/>
      <c r="AD895" s="239"/>
      <c r="AE895" s="244"/>
      <c r="AF895" s="244"/>
      <c r="AG895" s="243"/>
      <c r="AH895" s="243"/>
      <c r="AI895" s="239"/>
      <c r="AJ895" s="239"/>
      <c r="AK895" s="239"/>
    </row>
    <row r="896" spans="28:37">
      <c r="AB896" s="215"/>
      <c r="AC896" s="239"/>
      <c r="AD896" s="239"/>
      <c r="AE896" s="244"/>
      <c r="AF896" s="244"/>
      <c r="AG896" s="243"/>
      <c r="AH896" s="243"/>
      <c r="AI896" s="239"/>
      <c r="AJ896" s="239"/>
      <c r="AK896" s="239"/>
    </row>
    <row r="897" spans="28:37">
      <c r="AB897" s="215"/>
      <c r="AC897" s="239"/>
      <c r="AD897" s="239"/>
      <c r="AE897" s="244"/>
      <c r="AF897" s="244"/>
      <c r="AG897" s="243"/>
      <c r="AH897" s="243"/>
      <c r="AI897" s="239"/>
      <c r="AJ897" s="239"/>
      <c r="AK897" s="239"/>
    </row>
    <row r="898" spans="28:37">
      <c r="AB898" s="215"/>
      <c r="AC898" s="239"/>
      <c r="AD898" s="239"/>
      <c r="AE898" s="244"/>
      <c r="AF898" s="244"/>
      <c r="AG898" s="243"/>
      <c r="AH898" s="243"/>
      <c r="AI898" s="239"/>
      <c r="AJ898" s="239"/>
      <c r="AK898" s="239"/>
    </row>
    <row r="899" spans="28:37">
      <c r="AB899" s="215"/>
      <c r="AC899" s="239"/>
      <c r="AD899" s="239"/>
      <c r="AE899" s="244"/>
      <c r="AF899" s="244"/>
      <c r="AG899" s="243"/>
      <c r="AH899" s="243"/>
      <c r="AI899" s="239"/>
      <c r="AJ899" s="239"/>
      <c r="AK899" s="239"/>
    </row>
    <row r="900" spans="28:37">
      <c r="AB900" s="215"/>
      <c r="AC900" s="239"/>
      <c r="AD900" s="239"/>
      <c r="AE900" s="244"/>
      <c r="AF900" s="244"/>
      <c r="AG900" s="243"/>
      <c r="AH900" s="243"/>
      <c r="AI900" s="239"/>
      <c r="AJ900" s="239"/>
      <c r="AK900" s="239"/>
    </row>
    <row r="901" spans="28:37">
      <c r="AB901" s="215"/>
      <c r="AC901" s="239"/>
      <c r="AD901" s="239"/>
      <c r="AE901" s="244"/>
      <c r="AF901" s="244"/>
      <c r="AG901" s="243"/>
      <c r="AH901" s="243"/>
      <c r="AI901" s="239"/>
      <c r="AJ901" s="239"/>
      <c r="AK901" s="239"/>
    </row>
    <row r="902" spans="28:37">
      <c r="AB902" s="215"/>
      <c r="AC902" s="239"/>
      <c r="AD902" s="239"/>
      <c r="AE902" s="244"/>
      <c r="AF902" s="244"/>
      <c r="AG902" s="243"/>
      <c r="AH902" s="243"/>
      <c r="AI902" s="239"/>
      <c r="AJ902" s="239"/>
      <c r="AK902" s="239"/>
    </row>
    <row r="903" spans="28:37">
      <c r="AB903" s="215"/>
      <c r="AC903" s="239"/>
      <c r="AD903" s="239"/>
      <c r="AE903" s="244"/>
      <c r="AF903" s="244"/>
      <c r="AG903" s="243"/>
      <c r="AH903" s="243"/>
      <c r="AI903" s="239"/>
      <c r="AJ903" s="239"/>
      <c r="AK903" s="239"/>
    </row>
    <row r="904" spans="28:37">
      <c r="AB904" s="215"/>
      <c r="AC904" s="239"/>
      <c r="AD904" s="239"/>
      <c r="AE904" s="244"/>
      <c r="AF904" s="244"/>
      <c r="AG904" s="243"/>
      <c r="AH904" s="243"/>
      <c r="AI904" s="239"/>
      <c r="AJ904" s="239"/>
      <c r="AK904" s="239"/>
    </row>
    <row r="905" spans="28:37">
      <c r="AB905" s="215"/>
      <c r="AC905" s="239"/>
      <c r="AD905" s="239"/>
      <c r="AE905" s="244"/>
      <c r="AF905" s="244"/>
      <c r="AG905" s="243"/>
      <c r="AH905" s="243"/>
      <c r="AI905" s="239"/>
      <c r="AJ905" s="239"/>
      <c r="AK905" s="239"/>
    </row>
    <row r="906" spans="28:37">
      <c r="AB906" s="215"/>
      <c r="AC906" s="239"/>
      <c r="AD906" s="239"/>
      <c r="AE906" s="244"/>
      <c r="AF906" s="244"/>
      <c r="AG906" s="243"/>
      <c r="AH906" s="243"/>
      <c r="AI906" s="239"/>
      <c r="AJ906" s="239"/>
      <c r="AK906" s="239"/>
    </row>
    <row r="907" spans="28:37">
      <c r="AB907" s="215"/>
      <c r="AC907" s="239"/>
      <c r="AD907" s="239"/>
      <c r="AE907" s="244"/>
      <c r="AF907" s="244"/>
      <c r="AG907" s="243"/>
      <c r="AH907" s="243"/>
      <c r="AI907" s="239"/>
      <c r="AJ907" s="239"/>
      <c r="AK907" s="239"/>
    </row>
    <row r="908" spans="28:37">
      <c r="AB908" s="215"/>
      <c r="AC908" s="239"/>
      <c r="AD908" s="239"/>
      <c r="AE908" s="244"/>
      <c r="AF908" s="244"/>
      <c r="AG908" s="243"/>
      <c r="AH908" s="243"/>
      <c r="AI908" s="239"/>
      <c r="AJ908" s="239"/>
      <c r="AK908" s="239"/>
    </row>
    <row r="909" spans="28:37">
      <c r="AB909" s="215"/>
      <c r="AC909" s="239"/>
      <c r="AD909" s="239"/>
      <c r="AE909" s="244"/>
      <c r="AF909" s="244"/>
      <c r="AG909" s="243"/>
      <c r="AH909" s="243"/>
      <c r="AI909" s="239"/>
      <c r="AJ909" s="239"/>
      <c r="AK909" s="239"/>
    </row>
    <row r="910" spans="28:37">
      <c r="AB910" s="215"/>
      <c r="AC910" s="239"/>
      <c r="AD910" s="239"/>
      <c r="AE910" s="244"/>
      <c r="AF910" s="244"/>
      <c r="AG910" s="243"/>
      <c r="AH910" s="243"/>
      <c r="AI910" s="239"/>
      <c r="AJ910" s="239"/>
      <c r="AK910" s="239"/>
    </row>
    <row r="911" spans="28:37">
      <c r="AB911" s="215"/>
      <c r="AC911" s="239"/>
      <c r="AD911" s="239"/>
      <c r="AE911" s="244"/>
      <c r="AF911" s="244"/>
      <c r="AG911" s="243"/>
      <c r="AH911" s="243"/>
      <c r="AI911" s="239"/>
      <c r="AJ911" s="239"/>
      <c r="AK911" s="239"/>
    </row>
    <row r="912" spans="28:37">
      <c r="AB912" s="215"/>
      <c r="AC912" s="239"/>
      <c r="AD912" s="239"/>
      <c r="AE912" s="244"/>
      <c r="AF912" s="244"/>
      <c r="AG912" s="243"/>
      <c r="AH912" s="243"/>
      <c r="AI912" s="239"/>
      <c r="AJ912" s="239"/>
      <c r="AK912" s="239"/>
    </row>
    <row r="913" spans="28:37">
      <c r="AB913" s="215"/>
      <c r="AC913" s="239"/>
      <c r="AD913" s="239"/>
      <c r="AE913" s="244"/>
      <c r="AF913" s="244"/>
      <c r="AG913" s="243"/>
      <c r="AH913" s="243"/>
      <c r="AI913" s="239"/>
      <c r="AJ913" s="239"/>
      <c r="AK913" s="239"/>
    </row>
    <row r="914" spans="28:37">
      <c r="AB914" s="215"/>
      <c r="AC914" s="239"/>
      <c r="AD914" s="239"/>
      <c r="AE914" s="244"/>
      <c r="AF914" s="244"/>
      <c r="AG914" s="243"/>
      <c r="AH914" s="243"/>
      <c r="AI914" s="239"/>
      <c r="AJ914" s="239"/>
      <c r="AK914" s="239"/>
    </row>
    <row r="915" spans="28:37">
      <c r="AB915" s="215"/>
      <c r="AC915" s="239"/>
      <c r="AD915" s="239"/>
      <c r="AE915" s="244"/>
      <c r="AF915" s="244"/>
      <c r="AG915" s="243"/>
      <c r="AH915" s="243"/>
      <c r="AI915" s="239"/>
      <c r="AJ915" s="239"/>
      <c r="AK915" s="239"/>
    </row>
    <row r="916" spans="28:37">
      <c r="AB916" s="215"/>
      <c r="AC916" s="239"/>
      <c r="AD916" s="239"/>
      <c r="AE916" s="244"/>
      <c r="AF916" s="244"/>
      <c r="AG916" s="243"/>
      <c r="AH916" s="243"/>
      <c r="AI916" s="239"/>
      <c r="AJ916" s="239"/>
      <c r="AK916" s="239"/>
    </row>
    <row r="917" spans="28:37">
      <c r="AB917" s="215"/>
      <c r="AC917" s="239"/>
      <c r="AD917" s="239"/>
      <c r="AE917" s="244"/>
      <c r="AF917" s="244"/>
      <c r="AG917" s="243"/>
      <c r="AH917" s="243"/>
      <c r="AI917" s="239"/>
      <c r="AJ917" s="239"/>
      <c r="AK917" s="239"/>
    </row>
    <row r="918" spans="28:37">
      <c r="AB918" s="215"/>
      <c r="AC918" s="239"/>
      <c r="AD918" s="239"/>
      <c r="AE918" s="244"/>
      <c r="AF918" s="244"/>
      <c r="AG918" s="243"/>
      <c r="AH918" s="243"/>
      <c r="AI918" s="239"/>
      <c r="AJ918" s="239"/>
      <c r="AK918" s="239"/>
    </row>
    <row r="919" spans="28:37">
      <c r="AB919" s="215"/>
      <c r="AC919" s="239"/>
      <c r="AD919" s="239"/>
      <c r="AE919" s="244"/>
      <c r="AF919" s="244"/>
      <c r="AG919" s="243"/>
      <c r="AH919" s="243"/>
      <c r="AI919" s="239"/>
      <c r="AJ919" s="239"/>
      <c r="AK919" s="239"/>
    </row>
    <row r="920" spans="28:37">
      <c r="AB920" s="215"/>
      <c r="AC920" s="239"/>
      <c r="AD920" s="239"/>
      <c r="AE920" s="244"/>
      <c r="AF920" s="244"/>
      <c r="AG920" s="243"/>
      <c r="AH920" s="243"/>
      <c r="AI920" s="239"/>
      <c r="AJ920" s="239"/>
      <c r="AK920" s="239"/>
    </row>
    <row r="921" spans="28:37">
      <c r="AB921" s="215"/>
      <c r="AC921" s="239"/>
      <c r="AD921" s="239"/>
      <c r="AE921" s="244"/>
      <c r="AF921" s="244"/>
      <c r="AG921" s="243"/>
      <c r="AH921" s="243"/>
      <c r="AI921" s="239"/>
      <c r="AJ921" s="239"/>
      <c r="AK921" s="239"/>
    </row>
    <row r="922" spans="28:37">
      <c r="AB922" s="215"/>
      <c r="AC922" s="239"/>
      <c r="AD922" s="239"/>
      <c r="AE922" s="244"/>
      <c r="AF922" s="244"/>
      <c r="AG922" s="243"/>
      <c r="AH922" s="243"/>
      <c r="AI922" s="239"/>
      <c r="AJ922" s="239"/>
      <c r="AK922" s="239"/>
    </row>
    <row r="923" spans="28:37">
      <c r="AB923" s="215"/>
      <c r="AC923" s="239"/>
      <c r="AD923" s="239"/>
      <c r="AE923" s="244"/>
      <c r="AF923" s="244"/>
      <c r="AG923" s="243"/>
      <c r="AH923" s="243"/>
      <c r="AI923" s="239"/>
      <c r="AJ923" s="239"/>
      <c r="AK923" s="239"/>
    </row>
    <row r="924" spans="28:37">
      <c r="AB924" s="215"/>
      <c r="AC924" s="239"/>
      <c r="AD924" s="239"/>
      <c r="AE924" s="244"/>
      <c r="AF924" s="244"/>
      <c r="AG924" s="243"/>
      <c r="AH924" s="243"/>
      <c r="AI924" s="239"/>
      <c r="AJ924" s="239"/>
      <c r="AK924" s="239"/>
    </row>
    <row r="925" spans="28:37">
      <c r="AB925" s="215"/>
      <c r="AC925" s="239"/>
      <c r="AD925" s="239"/>
      <c r="AE925" s="244"/>
      <c r="AF925" s="244"/>
      <c r="AG925" s="243"/>
      <c r="AH925" s="243"/>
      <c r="AI925" s="239"/>
      <c r="AJ925" s="239"/>
      <c r="AK925" s="239"/>
    </row>
    <row r="926" spans="28:37">
      <c r="AB926" s="215"/>
      <c r="AC926" s="239"/>
      <c r="AD926" s="239"/>
      <c r="AE926" s="244"/>
      <c r="AF926" s="244"/>
      <c r="AG926" s="243"/>
      <c r="AH926" s="243"/>
      <c r="AI926" s="239"/>
      <c r="AJ926" s="239"/>
      <c r="AK926" s="239"/>
    </row>
    <row r="927" spans="28:37">
      <c r="AB927" s="215"/>
      <c r="AC927" s="239"/>
      <c r="AD927" s="239"/>
      <c r="AE927" s="244"/>
      <c r="AF927" s="244"/>
      <c r="AG927" s="243"/>
      <c r="AH927" s="243"/>
      <c r="AI927" s="239"/>
      <c r="AJ927" s="239"/>
      <c r="AK927" s="239"/>
    </row>
    <row r="928" spans="28:37">
      <c r="AB928" s="215"/>
      <c r="AC928" s="239"/>
      <c r="AD928" s="239"/>
      <c r="AE928" s="244"/>
      <c r="AF928" s="244"/>
      <c r="AG928" s="243"/>
      <c r="AH928" s="243"/>
      <c r="AI928" s="239"/>
      <c r="AJ928" s="239"/>
      <c r="AK928" s="239"/>
    </row>
    <row r="929" spans="28:37">
      <c r="AB929" s="215"/>
      <c r="AC929" s="239"/>
      <c r="AD929" s="239"/>
      <c r="AE929" s="244"/>
      <c r="AF929" s="244"/>
      <c r="AG929" s="243"/>
      <c r="AH929" s="243"/>
      <c r="AI929" s="239"/>
      <c r="AJ929" s="239"/>
      <c r="AK929" s="239"/>
    </row>
    <row r="930" spans="28:37">
      <c r="AB930" s="215"/>
      <c r="AC930" s="239"/>
      <c r="AD930" s="239"/>
      <c r="AE930" s="244"/>
      <c r="AF930" s="244"/>
      <c r="AG930" s="243"/>
      <c r="AH930" s="243"/>
      <c r="AI930" s="239"/>
      <c r="AJ930" s="239"/>
      <c r="AK930" s="239"/>
    </row>
    <row r="931" spans="28:37">
      <c r="AB931" s="215"/>
      <c r="AC931" s="239"/>
      <c r="AD931" s="239"/>
      <c r="AE931" s="244"/>
      <c r="AF931" s="244"/>
      <c r="AG931" s="243"/>
      <c r="AH931" s="243"/>
      <c r="AI931" s="239"/>
      <c r="AJ931" s="239"/>
      <c r="AK931" s="239"/>
    </row>
    <row r="932" spans="28:37">
      <c r="AB932" s="215"/>
      <c r="AC932" s="239"/>
      <c r="AD932" s="239"/>
      <c r="AE932" s="244"/>
      <c r="AF932" s="244"/>
      <c r="AG932" s="243"/>
      <c r="AH932" s="243"/>
      <c r="AI932" s="239"/>
      <c r="AJ932" s="239"/>
      <c r="AK932" s="239"/>
    </row>
    <row r="933" spans="28:37">
      <c r="AB933" s="215"/>
      <c r="AC933" s="239"/>
      <c r="AD933" s="239"/>
      <c r="AE933" s="244"/>
      <c r="AF933" s="244"/>
      <c r="AG933" s="243"/>
      <c r="AH933" s="243"/>
      <c r="AI933" s="239"/>
      <c r="AJ933" s="239"/>
      <c r="AK933" s="239"/>
    </row>
    <row r="934" spans="28:37">
      <c r="AB934" s="215"/>
      <c r="AC934" s="239"/>
      <c r="AD934" s="239"/>
      <c r="AE934" s="244"/>
      <c r="AF934" s="244"/>
      <c r="AG934" s="243"/>
      <c r="AH934" s="243"/>
      <c r="AI934" s="239"/>
      <c r="AJ934" s="239"/>
      <c r="AK934" s="239"/>
    </row>
    <row r="935" spans="28:37">
      <c r="AB935" s="215"/>
      <c r="AC935" s="239"/>
      <c r="AD935" s="239"/>
      <c r="AE935" s="244"/>
      <c r="AF935" s="244"/>
      <c r="AG935" s="243"/>
      <c r="AH935" s="243"/>
      <c r="AI935" s="239"/>
      <c r="AJ935" s="239"/>
      <c r="AK935" s="239"/>
    </row>
    <row r="936" spans="28:37">
      <c r="AB936" s="215"/>
      <c r="AC936" s="239"/>
      <c r="AD936" s="239"/>
      <c r="AE936" s="244"/>
      <c r="AF936" s="244"/>
      <c r="AG936" s="243"/>
      <c r="AH936" s="243"/>
      <c r="AI936" s="239"/>
      <c r="AJ936" s="239"/>
      <c r="AK936" s="239"/>
    </row>
    <row r="937" spans="28:37">
      <c r="AB937" s="215"/>
      <c r="AC937" s="239"/>
      <c r="AD937" s="239"/>
      <c r="AE937" s="244"/>
      <c r="AF937" s="244"/>
      <c r="AG937" s="243"/>
      <c r="AH937" s="243"/>
      <c r="AI937" s="239"/>
      <c r="AJ937" s="239"/>
      <c r="AK937" s="239"/>
    </row>
    <row r="938" spans="28:37">
      <c r="AB938" s="215"/>
      <c r="AC938" s="239"/>
      <c r="AD938" s="239"/>
      <c r="AE938" s="244"/>
      <c r="AF938" s="244"/>
      <c r="AG938" s="243"/>
      <c r="AH938" s="243"/>
      <c r="AI938" s="239"/>
      <c r="AJ938" s="239"/>
      <c r="AK938" s="239"/>
    </row>
    <row r="939" spans="28:37">
      <c r="AB939" s="215"/>
      <c r="AC939" s="239"/>
      <c r="AD939" s="239"/>
      <c r="AE939" s="244"/>
      <c r="AF939" s="244"/>
      <c r="AG939" s="243"/>
      <c r="AH939" s="243"/>
      <c r="AI939" s="239"/>
      <c r="AJ939" s="239"/>
      <c r="AK939" s="239"/>
    </row>
    <row r="940" spans="28:37">
      <c r="AB940" s="215"/>
      <c r="AC940" s="239"/>
      <c r="AD940" s="239"/>
      <c r="AE940" s="244"/>
      <c r="AF940" s="244"/>
      <c r="AG940" s="243"/>
      <c r="AH940" s="243"/>
      <c r="AI940" s="239"/>
      <c r="AJ940" s="239"/>
      <c r="AK940" s="239"/>
    </row>
    <row r="941" spans="28:37">
      <c r="AB941" s="215"/>
      <c r="AC941" s="239"/>
      <c r="AD941" s="239"/>
      <c r="AE941" s="244"/>
      <c r="AF941" s="244"/>
      <c r="AG941" s="243"/>
      <c r="AH941" s="243"/>
      <c r="AI941" s="239"/>
      <c r="AJ941" s="239"/>
      <c r="AK941" s="239"/>
    </row>
    <row r="942" spans="28:37">
      <c r="AB942" s="215"/>
      <c r="AC942" s="239"/>
      <c r="AD942" s="239"/>
      <c r="AE942" s="244"/>
      <c r="AF942" s="244"/>
      <c r="AG942" s="243"/>
      <c r="AH942" s="243"/>
      <c r="AI942" s="239"/>
      <c r="AJ942" s="239"/>
      <c r="AK942" s="239"/>
    </row>
    <row r="943" spans="28:37">
      <c r="AB943" s="215"/>
      <c r="AC943" s="239"/>
      <c r="AD943" s="239"/>
      <c r="AE943" s="244"/>
      <c r="AF943" s="244"/>
      <c r="AG943" s="243"/>
      <c r="AH943" s="243"/>
      <c r="AI943" s="239"/>
      <c r="AJ943" s="239"/>
      <c r="AK943" s="239"/>
    </row>
    <row r="944" spans="28:37">
      <c r="AB944" s="215"/>
      <c r="AC944" s="239"/>
      <c r="AD944" s="239"/>
      <c r="AE944" s="244"/>
      <c r="AF944" s="244"/>
      <c r="AG944" s="243"/>
      <c r="AH944" s="243"/>
      <c r="AI944" s="239"/>
      <c r="AJ944" s="239"/>
      <c r="AK944" s="239"/>
    </row>
    <row r="945" spans="28:37">
      <c r="AB945" s="215"/>
      <c r="AC945" s="239"/>
      <c r="AD945" s="239"/>
      <c r="AE945" s="244"/>
      <c r="AF945" s="244"/>
      <c r="AG945" s="243"/>
      <c r="AH945" s="243"/>
      <c r="AI945" s="239"/>
      <c r="AJ945" s="239"/>
      <c r="AK945" s="239"/>
    </row>
    <row r="946" spans="28:37">
      <c r="AB946" s="215"/>
      <c r="AC946" s="239"/>
      <c r="AD946" s="239"/>
      <c r="AE946" s="244"/>
      <c r="AF946" s="244"/>
      <c r="AG946" s="243"/>
      <c r="AH946" s="243"/>
      <c r="AI946" s="239"/>
      <c r="AJ946" s="239"/>
      <c r="AK946" s="239"/>
    </row>
    <row r="947" spans="28:37">
      <c r="AB947" s="215"/>
      <c r="AC947" s="239"/>
      <c r="AD947" s="239"/>
      <c r="AE947" s="244"/>
      <c r="AF947" s="244"/>
      <c r="AG947" s="243"/>
      <c r="AH947" s="243"/>
      <c r="AI947" s="239"/>
      <c r="AJ947" s="239"/>
      <c r="AK947" s="239"/>
    </row>
    <row r="948" spans="28:37">
      <c r="AB948" s="215"/>
      <c r="AC948" s="239"/>
      <c r="AD948" s="239"/>
      <c r="AE948" s="244"/>
      <c r="AF948" s="244"/>
      <c r="AG948" s="243"/>
      <c r="AH948" s="243"/>
      <c r="AI948" s="239"/>
      <c r="AJ948" s="239"/>
      <c r="AK948" s="239"/>
    </row>
    <row r="949" spans="28:37">
      <c r="AB949" s="215"/>
      <c r="AC949" s="239"/>
      <c r="AD949" s="239"/>
      <c r="AE949" s="244"/>
      <c r="AF949" s="244"/>
      <c r="AG949" s="243"/>
      <c r="AH949" s="243"/>
      <c r="AI949" s="239"/>
      <c r="AJ949" s="239"/>
      <c r="AK949" s="239"/>
    </row>
    <row r="950" spans="28:37">
      <c r="AB950" s="215"/>
      <c r="AC950" s="239"/>
      <c r="AD950" s="239"/>
      <c r="AE950" s="244"/>
      <c r="AF950" s="244"/>
      <c r="AG950" s="243"/>
      <c r="AH950" s="243"/>
      <c r="AI950" s="239"/>
      <c r="AJ950" s="239"/>
      <c r="AK950" s="239"/>
    </row>
    <row r="951" spans="28:37">
      <c r="AB951" s="215"/>
      <c r="AC951" s="239"/>
      <c r="AD951" s="239"/>
      <c r="AE951" s="244"/>
      <c r="AF951" s="244"/>
      <c r="AG951" s="243"/>
      <c r="AH951" s="243"/>
      <c r="AI951" s="239"/>
      <c r="AJ951" s="239"/>
      <c r="AK951" s="239"/>
    </row>
    <row r="952" spans="28:37">
      <c r="AB952" s="215"/>
      <c r="AC952" s="239"/>
      <c r="AD952" s="239"/>
      <c r="AE952" s="244"/>
      <c r="AF952" s="244"/>
      <c r="AG952" s="243"/>
      <c r="AH952" s="243"/>
      <c r="AI952" s="239"/>
      <c r="AJ952" s="239"/>
      <c r="AK952" s="239"/>
    </row>
    <row r="953" spans="28:37">
      <c r="AB953" s="215"/>
      <c r="AC953" s="239"/>
      <c r="AD953" s="239"/>
      <c r="AE953" s="244"/>
      <c r="AF953" s="244"/>
      <c r="AG953" s="243"/>
      <c r="AH953" s="243"/>
      <c r="AI953" s="239"/>
      <c r="AJ953" s="239"/>
      <c r="AK953" s="239"/>
    </row>
    <row r="954" spans="28:37">
      <c r="AB954" s="215"/>
      <c r="AC954" s="239"/>
      <c r="AD954" s="239"/>
      <c r="AE954" s="244"/>
      <c r="AF954" s="244"/>
      <c r="AG954" s="243"/>
      <c r="AH954" s="243"/>
      <c r="AI954" s="239"/>
      <c r="AJ954" s="239"/>
      <c r="AK954" s="239"/>
    </row>
    <row r="955" spans="28:37">
      <c r="AB955" s="215"/>
      <c r="AC955" s="239"/>
      <c r="AD955" s="239"/>
      <c r="AE955" s="244"/>
      <c r="AF955" s="244"/>
      <c r="AG955" s="243"/>
      <c r="AH955" s="243"/>
      <c r="AI955" s="239"/>
      <c r="AJ955" s="239"/>
      <c r="AK955" s="239"/>
    </row>
    <row r="956" spans="28:37">
      <c r="AB956" s="215"/>
      <c r="AC956" s="239"/>
      <c r="AD956" s="239"/>
      <c r="AE956" s="244"/>
      <c r="AF956" s="244"/>
      <c r="AG956" s="243"/>
      <c r="AH956" s="243"/>
      <c r="AI956" s="239"/>
      <c r="AJ956" s="239"/>
      <c r="AK956" s="239"/>
    </row>
    <row r="957" spans="28:37">
      <c r="AB957" s="215"/>
      <c r="AC957" s="239"/>
      <c r="AD957" s="239"/>
      <c r="AE957" s="244"/>
      <c r="AF957" s="244"/>
      <c r="AG957" s="243"/>
      <c r="AH957" s="243"/>
      <c r="AI957" s="239"/>
      <c r="AJ957" s="239"/>
      <c r="AK957" s="239"/>
    </row>
    <row r="958" spans="28:37">
      <c r="AB958" s="215"/>
      <c r="AC958" s="239"/>
      <c r="AD958" s="239"/>
      <c r="AE958" s="244"/>
      <c r="AF958" s="244"/>
      <c r="AG958" s="243"/>
      <c r="AH958" s="243"/>
      <c r="AI958" s="239"/>
      <c r="AJ958" s="239"/>
      <c r="AK958" s="239"/>
    </row>
    <row r="959" spans="28:37">
      <c r="AB959" s="215"/>
      <c r="AC959" s="239"/>
      <c r="AD959" s="239"/>
      <c r="AE959" s="244"/>
      <c r="AF959" s="244"/>
      <c r="AG959" s="243"/>
      <c r="AH959" s="243"/>
      <c r="AI959" s="239"/>
      <c r="AJ959" s="239"/>
      <c r="AK959" s="239"/>
    </row>
    <row r="960" spans="28:37">
      <c r="AB960" s="215"/>
      <c r="AC960" s="239"/>
      <c r="AD960" s="239"/>
      <c r="AE960" s="244"/>
      <c r="AF960" s="244"/>
      <c r="AG960" s="243"/>
      <c r="AH960" s="243"/>
      <c r="AI960" s="239"/>
      <c r="AJ960" s="239"/>
      <c r="AK960" s="239"/>
    </row>
    <row r="961" spans="28:37">
      <c r="AB961" s="215"/>
      <c r="AC961" s="239"/>
      <c r="AD961" s="239"/>
      <c r="AE961" s="244"/>
      <c r="AF961" s="244"/>
      <c r="AG961" s="243"/>
      <c r="AH961" s="243"/>
      <c r="AI961" s="239"/>
      <c r="AJ961" s="239"/>
      <c r="AK961" s="239"/>
    </row>
    <row r="962" spans="28:37">
      <c r="AB962" s="215"/>
      <c r="AC962" s="239"/>
      <c r="AD962" s="239"/>
      <c r="AE962" s="244"/>
      <c r="AF962" s="244"/>
      <c r="AG962" s="243"/>
      <c r="AH962" s="243"/>
      <c r="AI962" s="239"/>
      <c r="AJ962" s="239"/>
      <c r="AK962" s="239"/>
    </row>
    <row r="963" spans="28:37">
      <c r="AB963" s="215"/>
      <c r="AC963" s="239"/>
      <c r="AD963" s="239"/>
      <c r="AE963" s="244"/>
      <c r="AF963" s="244"/>
      <c r="AG963" s="243"/>
      <c r="AH963" s="243"/>
      <c r="AI963" s="239"/>
      <c r="AJ963" s="239"/>
      <c r="AK963" s="239"/>
    </row>
    <row r="964" spans="28:37">
      <c r="AB964" s="215"/>
      <c r="AC964" s="239"/>
      <c r="AD964" s="239"/>
      <c r="AE964" s="244"/>
      <c r="AF964" s="244"/>
      <c r="AG964" s="243"/>
      <c r="AH964" s="243"/>
      <c r="AI964" s="239"/>
      <c r="AJ964" s="239"/>
      <c r="AK964" s="239"/>
    </row>
    <row r="965" spans="28:37">
      <c r="AB965" s="215"/>
      <c r="AC965" s="239"/>
      <c r="AD965" s="239"/>
      <c r="AE965" s="244"/>
      <c r="AF965" s="244"/>
      <c r="AG965" s="243"/>
      <c r="AH965" s="243"/>
      <c r="AI965" s="239"/>
      <c r="AJ965" s="239"/>
      <c r="AK965" s="239"/>
    </row>
    <row r="966" spans="28:37">
      <c r="AB966" s="215"/>
      <c r="AC966" s="239"/>
      <c r="AD966" s="239"/>
      <c r="AE966" s="244"/>
      <c r="AF966" s="244"/>
      <c r="AG966" s="243"/>
      <c r="AH966" s="243"/>
      <c r="AI966" s="239"/>
      <c r="AJ966" s="239"/>
      <c r="AK966" s="239"/>
    </row>
    <row r="967" spans="28:37">
      <c r="AB967" s="215"/>
      <c r="AC967" s="239"/>
      <c r="AD967" s="239"/>
      <c r="AE967" s="244"/>
      <c r="AF967" s="244"/>
      <c r="AG967" s="243"/>
      <c r="AH967" s="243"/>
      <c r="AI967" s="239"/>
      <c r="AJ967" s="239"/>
      <c r="AK967" s="239"/>
    </row>
    <row r="968" spans="28:37">
      <c r="AB968" s="215"/>
      <c r="AC968" s="239"/>
      <c r="AD968" s="239"/>
      <c r="AE968" s="244"/>
      <c r="AF968" s="244"/>
      <c r="AG968" s="243"/>
      <c r="AH968" s="243"/>
      <c r="AI968" s="239"/>
      <c r="AJ968" s="239"/>
      <c r="AK968" s="239"/>
    </row>
    <row r="969" spans="28:37">
      <c r="AB969" s="215"/>
      <c r="AC969" s="239"/>
      <c r="AD969" s="239"/>
      <c r="AE969" s="244"/>
      <c r="AF969" s="244"/>
      <c r="AG969" s="243"/>
      <c r="AH969" s="243"/>
      <c r="AI969" s="239"/>
      <c r="AJ969" s="239"/>
      <c r="AK969" s="239"/>
    </row>
    <row r="970" spans="28:37">
      <c r="AB970" s="215"/>
      <c r="AC970" s="239"/>
      <c r="AD970" s="239"/>
      <c r="AE970" s="244"/>
      <c r="AF970" s="244"/>
      <c r="AG970" s="243"/>
      <c r="AH970" s="243"/>
      <c r="AI970" s="239"/>
      <c r="AJ970" s="239"/>
      <c r="AK970" s="239"/>
    </row>
    <row r="971" spans="28:37">
      <c r="AB971" s="215"/>
      <c r="AC971" s="239"/>
      <c r="AD971" s="239"/>
      <c r="AE971" s="244"/>
      <c r="AF971" s="244"/>
      <c r="AG971" s="243"/>
      <c r="AH971" s="243"/>
      <c r="AI971" s="239"/>
      <c r="AJ971" s="239"/>
      <c r="AK971" s="239"/>
    </row>
    <row r="972" spans="28:37">
      <c r="AB972" s="215"/>
      <c r="AC972" s="239"/>
      <c r="AD972" s="239"/>
      <c r="AE972" s="244"/>
      <c r="AF972" s="244"/>
      <c r="AG972" s="243"/>
      <c r="AH972" s="243"/>
      <c r="AI972" s="239"/>
      <c r="AJ972" s="239"/>
      <c r="AK972" s="239"/>
    </row>
    <row r="973" spans="28:37">
      <c r="AB973" s="215"/>
      <c r="AC973" s="239"/>
      <c r="AD973" s="239"/>
      <c r="AE973" s="244"/>
      <c r="AF973" s="244"/>
      <c r="AG973" s="243"/>
      <c r="AH973" s="243"/>
      <c r="AI973" s="239"/>
      <c r="AJ973" s="239"/>
      <c r="AK973" s="239"/>
    </row>
    <row r="974" spans="28:37">
      <c r="AB974" s="215"/>
      <c r="AC974" s="239"/>
      <c r="AD974" s="239"/>
      <c r="AE974" s="244"/>
      <c r="AF974" s="244"/>
      <c r="AG974" s="243"/>
      <c r="AH974" s="243"/>
      <c r="AI974" s="239"/>
      <c r="AJ974" s="239"/>
      <c r="AK974" s="239"/>
    </row>
    <row r="975" spans="28:37">
      <c r="AB975" s="215"/>
      <c r="AC975" s="239"/>
      <c r="AD975" s="239"/>
      <c r="AE975" s="244"/>
      <c r="AF975" s="244"/>
      <c r="AG975" s="243"/>
      <c r="AH975" s="243"/>
      <c r="AI975" s="239"/>
      <c r="AJ975" s="239"/>
      <c r="AK975" s="239"/>
    </row>
    <row r="976" spans="28:37">
      <c r="AB976" s="215"/>
      <c r="AC976" s="239"/>
      <c r="AD976" s="239"/>
      <c r="AE976" s="244"/>
      <c r="AF976" s="244"/>
      <c r="AG976" s="243"/>
      <c r="AH976" s="243"/>
      <c r="AI976" s="239"/>
      <c r="AJ976" s="239"/>
      <c r="AK976" s="239"/>
    </row>
    <row r="977" spans="28:37">
      <c r="AB977" s="215"/>
      <c r="AC977" s="239"/>
      <c r="AD977" s="239"/>
      <c r="AE977" s="244"/>
      <c r="AF977" s="244"/>
      <c r="AG977" s="243"/>
      <c r="AH977" s="243"/>
      <c r="AI977" s="239"/>
      <c r="AJ977" s="239"/>
      <c r="AK977" s="239"/>
    </row>
    <row r="978" spans="28:37">
      <c r="AB978" s="215"/>
      <c r="AC978" s="239"/>
      <c r="AD978" s="239"/>
      <c r="AE978" s="244"/>
      <c r="AF978" s="244"/>
      <c r="AG978" s="243"/>
      <c r="AH978" s="243"/>
      <c r="AI978" s="239"/>
      <c r="AJ978" s="239"/>
      <c r="AK978" s="239"/>
    </row>
    <row r="979" spans="28:37">
      <c r="AB979" s="215"/>
      <c r="AC979" s="239"/>
      <c r="AD979" s="239"/>
      <c r="AE979" s="244"/>
      <c r="AF979" s="244"/>
      <c r="AG979" s="243"/>
      <c r="AH979" s="243"/>
      <c r="AI979" s="239"/>
      <c r="AJ979" s="239"/>
      <c r="AK979" s="239"/>
    </row>
    <row r="980" spans="28:37">
      <c r="AB980" s="215"/>
      <c r="AC980" s="239"/>
      <c r="AD980" s="239"/>
      <c r="AE980" s="244"/>
      <c r="AF980" s="244"/>
      <c r="AG980" s="243"/>
      <c r="AH980" s="243"/>
      <c r="AI980" s="239"/>
      <c r="AJ980" s="239"/>
      <c r="AK980" s="239"/>
    </row>
    <row r="981" spans="28:37">
      <c r="AB981" s="215"/>
      <c r="AC981" s="239"/>
      <c r="AD981" s="239"/>
      <c r="AE981" s="244"/>
      <c r="AF981" s="244"/>
      <c r="AG981" s="243"/>
      <c r="AH981" s="243"/>
      <c r="AI981" s="239"/>
      <c r="AJ981" s="239"/>
      <c r="AK981" s="239"/>
    </row>
    <row r="982" spans="28:37">
      <c r="AB982" s="215"/>
      <c r="AC982" s="239"/>
      <c r="AD982" s="239"/>
      <c r="AE982" s="244"/>
      <c r="AF982" s="244"/>
      <c r="AG982" s="243"/>
      <c r="AH982" s="243"/>
      <c r="AI982" s="239"/>
      <c r="AJ982" s="239"/>
      <c r="AK982" s="239"/>
    </row>
    <row r="983" spans="28:37">
      <c r="AB983" s="215"/>
      <c r="AC983" s="239"/>
      <c r="AD983" s="239"/>
      <c r="AE983" s="244"/>
      <c r="AF983" s="244"/>
      <c r="AG983" s="243"/>
      <c r="AH983" s="243"/>
      <c r="AI983" s="239"/>
      <c r="AJ983" s="239"/>
      <c r="AK983" s="239"/>
    </row>
    <row r="984" spans="28:37">
      <c r="AB984" s="215"/>
      <c r="AC984" s="239"/>
      <c r="AD984" s="239"/>
      <c r="AE984" s="244"/>
      <c r="AF984" s="244"/>
      <c r="AG984" s="243"/>
      <c r="AH984" s="243"/>
      <c r="AI984" s="239"/>
      <c r="AJ984" s="239"/>
      <c r="AK984" s="239"/>
    </row>
    <row r="985" spans="28:37">
      <c r="AB985" s="215"/>
      <c r="AC985" s="239"/>
      <c r="AD985" s="239"/>
      <c r="AE985" s="244"/>
      <c r="AF985" s="244"/>
      <c r="AG985" s="243"/>
      <c r="AH985" s="243"/>
      <c r="AI985" s="239"/>
      <c r="AJ985" s="239"/>
      <c r="AK985" s="239"/>
    </row>
    <row r="986" spans="28:37">
      <c r="AB986" s="215"/>
      <c r="AC986" s="239"/>
      <c r="AD986" s="239"/>
      <c r="AE986" s="244"/>
      <c r="AF986" s="244"/>
      <c r="AG986" s="243"/>
      <c r="AH986" s="243"/>
      <c r="AI986" s="239"/>
      <c r="AJ986" s="239"/>
      <c r="AK986" s="239"/>
    </row>
    <row r="987" spans="28:37">
      <c r="AB987" s="215"/>
      <c r="AC987" s="239"/>
      <c r="AD987" s="239"/>
      <c r="AE987" s="244"/>
      <c r="AF987" s="244"/>
      <c r="AG987" s="243"/>
      <c r="AH987" s="243"/>
      <c r="AI987" s="239"/>
      <c r="AJ987" s="239"/>
      <c r="AK987" s="239"/>
    </row>
    <row r="988" spans="28:37">
      <c r="AB988" s="215"/>
      <c r="AC988" s="239"/>
      <c r="AD988" s="239"/>
      <c r="AE988" s="244"/>
      <c r="AF988" s="244"/>
      <c r="AG988" s="243"/>
      <c r="AH988" s="243"/>
      <c r="AI988" s="239"/>
      <c r="AJ988" s="239"/>
      <c r="AK988" s="239"/>
    </row>
    <row r="989" spans="28:37">
      <c r="AB989" s="215"/>
      <c r="AC989" s="239"/>
      <c r="AD989" s="239"/>
      <c r="AE989" s="244"/>
      <c r="AF989" s="244"/>
      <c r="AG989" s="243"/>
      <c r="AH989" s="243"/>
      <c r="AI989" s="239"/>
      <c r="AJ989" s="239"/>
      <c r="AK989" s="239"/>
    </row>
    <row r="990" spans="28:37">
      <c r="AB990" s="215"/>
      <c r="AC990" s="239"/>
      <c r="AD990" s="239"/>
      <c r="AE990" s="244"/>
      <c r="AF990" s="244"/>
      <c r="AG990" s="243"/>
      <c r="AH990" s="243"/>
      <c r="AI990" s="239"/>
      <c r="AJ990" s="239"/>
      <c r="AK990" s="239"/>
    </row>
    <row r="991" spans="28:37">
      <c r="AB991" s="215"/>
      <c r="AC991" s="239"/>
      <c r="AD991" s="239"/>
      <c r="AE991" s="244"/>
      <c r="AF991" s="244"/>
      <c r="AG991" s="243"/>
      <c r="AH991" s="243"/>
      <c r="AI991" s="239"/>
      <c r="AJ991" s="239"/>
      <c r="AK991" s="239"/>
    </row>
    <row r="992" spans="28:37">
      <c r="AB992" s="215"/>
      <c r="AC992" s="239"/>
      <c r="AD992" s="239"/>
      <c r="AE992" s="244"/>
      <c r="AF992" s="244"/>
      <c r="AG992" s="243"/>
      <c r="AH992" s="243"/>
      <c r="AI992" s="239"/>
      <c r="AJ992" s="239"/>
      <c r="AK992" s="239"/>
    </row>
    <row r="993" spans="28:37">
      <c r="AB993" s="215"/>
      <c r="AC993" s="239"/>
      <c r="AD993" s="239"/>
      <c r="AE993" s="244"/>
      <c r="AF993" s="244"/>
      <c r="AG993" s="243"/>
      <c r="AH993" s="243"/>
      <c r="AI993" s="239"/>
      <c r="AJ993" s="239"/>
      <c r="AK993" s="239"/>
    </row>
    <row r="994" spans="28:37">
      <c r="AB994" s="215"/>
      <c r="AC994" s="239"/>
      <c r="AD994" s="239"/>
      <c r="AE994" s="244"/>
      <c r="AF994" s="244"/>
      <c r="AG994" s="243"/>
      <c r="AH994" s="243"/>
      <c r="AI994" s="239"/>
      <c r="AJ994" s="239"/>
      <c r="AK994" s="239"/>
    </row>
    <row r="995" spans="28:37">
      <c r="AB995" s="215"/>
      <c r="AC995" s="239"/>
      <c r="AD995" s="239"/>
      <c r="AE995" s="244"/>
      <c r="AF995" s="244"/>
      <c r="AG995" s="243"/>
      <c r="AH995" s="243"/>
      <c r="AI995" s="239"/>
      <c r="AJ995" s="239"/>
      <c r="AK995" s="239"/>
    </row>
    <row r="996" spans="28:37">
      <c r="AB996" s="215"/>
      <c r="AC996" s="239"/>
      <c r="AD996" s="239"/>
      <c r="AE996" s="244"/>
      <c r="AF996" s="244"/>
      <c r="AG996" s="243"/>
      <c r="AH996" s="243"/>
      <c r="AI996" s="239"/>
      <c r="AJ996" s="239"/>
      <c r="AK996" s="239"/>
    </row>
    <row r="997" spans="28:37">
      <c r="AB997" s="215"/>
      <c r="AC997" s="239"/>
      <c r="AD997" s="239"/>
      <c r="AE997" s="244"/>
      <c r="AF997" s="244"/>
      <c r="AG997" s="243"/>
      <c r="AH997" s="243"/>
      <c r="AI997" s="239"/>
      <c r="AJ997" s="239"/>
      <c r="AK997" s="239"/>
    </row>
    <row r="998" spans="28:37">
      <c r="AB998" s="215"/>
      <c r="AC998" s="239"/>
      <c r="AD998" s="239"/>
      <c r="AE998" s="244"/>
      <c r="AF998" s="244"/>
      <c r="AG998" s="243"/>
      <c r="AH998" s="243"/>
      <c r="AI998" s="239"/>
      <c r="AJ998" s="239"/>
      <c r="AK998" s="239"/>
    </row>
    <row r="999" spans="28:37">
      <c r="AB999" s="215"/>
      <c r="AC999" s="239"/>
      <c r="AD999" s="239"/>
      <c r="AE999" s="244"/>
      <c r="AF999" s="244"/>
      <c r="AG999" s="243"/>
      <c r="AH999" s="243"/>
      <c r="AI999" s="239"/>
      <c r="AJ999" s="239"/>
      <c r="AK999" s="239"/>
    </row>
    <row r="1000" spans="28:37">
      <c r="AB1000" s="215"/>
      <c r="AC1000" s="239"/>
      <c r="AD1000" s="239"/>
      <c r="AE1000" s="244"/>
      <c r="AF1000" s="244"/>
      <c r="AG1000" s="243"/>
      <c r="AH1000" s="243"/>
      <c r="AI1000" s="239"/>
      <c r="AJ1000" s="239"/>
      <c r="AK1000" s="239"/>
    </row>
    <row r="1001" spans="28:37">
      <c r="AB1001" s="215"/>
      <c r="AC1001" s="239"/>
      <c r="AD1001" s="239"/>
      <c r="AE1001" s="244"/>
      <c r="AF1001" s="244"/>
      <c r="AG1001" s="243"/>
      <c r="AH1001" s="243"/>
      <c r="AI1001" s="239"/>
      <c r="AJ1001" s="239"/>
      <c r="AK1001" s="239"/>
    </row>
    <row r="1002" spans="28:37">
      <c r="AB1002" s="215"/>
      <c r="AC1002" s="239"/>
      <c r="AD1002" s="239"/>
      <c r="AE1002" s="244"/>
      <c r="AF1002" s="244"/>
      <c r="AG1002" s="243"/>
      <c r="AH1002" s="243"/>
      <c r="AI1002" s="239"/>
      <c r="AJ1002" s="239"/>
      <c r="AK1002" s="239"/>
    </row>
    <row r="1003" spans="28:37">
      <c r="AB1003" s="215"/>
      <c r="AC1003" s="239"/>
      <c r="AD1003" s="239"/>
      <c r="AE1003" s="244"/>
      <c r="AF1003" s="244"/>
      <c r="AG1003" s="243"/>
      <c r="AH1003" s="243"/>
      <c r="AI1003" s="239"/>
      <c r="AJ1003" s="239"/>
      <c r="AK1003" s="239"/>
    </row>
    <row r="1004" spans="28:37">
      <c r="AB1004" s="215"/>
      <c r="AC1004" s="239"/>
      <c r="AD1004" s="239"/>
      <c r="AE1004" s="244"/>
      <c r="AF1004" s="244"/>
      <c r="AG1004" s="243"/>
      <c r="AH1004" s="243"/>
      <c r="AI1004" s="239"/>
      <c r="AJ1004" s="239"/>
      <c r="AK1004" s="239"/>
    </row>
    <row r="1005" spans="28:37">
      <c r="AB1005" s="215"/>
      <c r="AC1005" s="239"/>
      <c r="AD1005" s="239"/>
      <c r="AE1005" s="244"/>
      <c r="AF1005" s="244"/>
      <c r="AG1005" s="243"/>
      <c r="AH1005" s="243"/>
      <c r="AI1005" s="239"/>
      <c r="AJ1005" s="239"/>
      <c r="AK1005" s="239"/>
    </row>
    <row r="1006" spans="28:37">
      <c r="AB1006" s="215"/>
      <c r="AC1006" s="239"/>
      <c r="AD1006" s="239"/>
      <c r="AE1006" s="244"/>
      <c r="AF1006" s="244"/>
      <c r="AG1006" s="243"/>
      <c r="AH1006" s="243"/>
      <c r="AI1006" s="239"/>
      <c r="AJ1006" s="239"/>
      <c r="AK1006" s="239"/>
    </row>
    <row r="1007" spans="28:37">
      <c r="AB1007" s="215"/>
      <c r="AC1007" s="239"/>
      <c r="AD1007" s="239"/>
      <c r="AE1007" s="244"/>
      <c r="AF1007" s="244"/>
      <c r="AG1007" s="243"/>
      <c r="AH1007" s="243"/>
      <c r="AI1007" s="239"/>
      <c r="AJ1007" s="239"/>
      <c r="AK1007" s="239"/>
    </row>
    <row r="1008" spans="28:37">
      <c r="AB1008" s="215"/>
      <c r="AC1008" s="239"/>
      <c r="AD1008" s="239"/>
      <c r="AE1008" s="244"/>
      <c r="AF1008" s="244"/>
      <c r="AG1008" s="243"/>
      <c r="AH1008" s="243"/>
      <c r="AI1008" s="239"/>
      <c r="AJ1008" s="239"/>
      <c r="AK1008" s="239"/>
    </row>
    <row r="1009" spans="28:37">
      <c r="AB1009" s="215"/>
      <c r="AC1009" s="239"/>
      <c r="AD1009" s="239"/>
      <c r="AE1009" s="244"/>
      <c r="AF1009" s="244"/>
      <c r="AG1009" s="243"/>
      <c r="AH1009" s="243"/>
      <c r="AI1009" s="239"/>
      <c r="AJ1009" s="239"/>
      <c r="AK1009" s="239"/>
    </row>
    <row r="1010" spans="28:37">
      <c r="AB1010" s="215"/>
      <c r="AC1010" s="239"/>
      <c r="AD1010" s="239"/>
      <c r="AE1010" s="244"/>
      <c r="AF1010" s="244"/>
      <c r="AG1010" s="243"/>
      <c r="AH1010" s="243"/>
      <c r="AI1010" s="239"/>
      <c r="AJ1010" s="239"/>
      <c r="AK1010" s="239"/>
    </row>
    <row r="1011" spans="28:37">
      <c r="AB1011" s="215"/>
      <c r="AC1011" s="239"/>
      <c r="AD1011" s="239"/>
      <c r="AE1011" s="244"/>
      <c r="AF1011" s="244"/>
      <c r="AG1011" s="243"/>
      <c r="AH1011" s="243"/>
      <c r="AI1011" s="239"/>
      <c r="AJ1011" s="239"/>
      <c r="AK1011" s="239"/>
    </row>
    <row r="1012" spans="28:37">
      <c r="AB1012" s="215"/>
      <c r="AC1012" s="239"/>
      <c r="AD1012" s="239"/>
      <c r="AE1012" s="244"/>
      <c r="AF1012" s="244"/>
      <c r="AG1012" s="243"/>
      <c r="AH1012" s="243"/>
      <c r="AI1012" s="239"/>
      <c r="AJ1012" s="239"/>
      <c r="AK1012" s="239"/>
    </row>
    <row r="1013" spans="28:37">
      <c r="AB1013" s="215"/>
      <c r="AC1013" s="239"/>
      <c r="AD1013" s="239"/>
      <c r="AE1013" s="244"/>
      <c r="AF1013" s="244"/>
      <c r="AG1013" s="243"/>
      <c r="AH1013" s="243"/>
      <c r="AI1013" s="239"/>
      <c r="AJ1013" s="239"/>
      <c r="AK1013" s="239"/>
    </row>
    <row r="1014" spans="28:37">
      <c r="AB1014" s="215"/>
      <c r="AC1014" s="239"/>
      <c r="AD1014" s="239"/>
      <c r="AE1014" s="244"/>
      <c r="AF1014" s="244"/>
      <c r="AG1014" s="243"/>
      <c r="AH1014" s="243"/>
      <c r="AI1014" s="239"/>
      <c r="AJ1014" s="239"/>
      <c r="AK1014" s="239"/>
    </row>
    <row r="1015" spans="28:37">
      <c r="AB1015" s="215"/>
      <c r="AC1015" s="239"/>
      <c r="AD1015" s="239"/>
      <c r="AE1015" s="244"/>
      <c r="AF1015" s="244"/>
      <c r="AG1015" s="243"/>
      <c r="AH1015" s="243"/>
      <c r="AI1015" s="239"/>
      <c r="AJ1015" s="239"/>
      <c r="AK1015" s="239"/>
    </row>
    <row r="1016" spans="28:37">
      <c r="AB1016" s="215"/>
      <c r="AC1016" s="239"/>
      <c r="AD1016" s="239"/>
      <c r="AE1016" s="239"/>
      <c r="AF1016" s="239"/>
      <c r="AG1016" s="243"/>
      <c r="AH1016" s="243"/>
      <c r="AI1016" s="239"/>
      <c r="AJ1016" s="239"/>
      <c r="AK1016" s="239"/>
    </row>
    <row r="1017" spans="28:37">
      <c r="AB1017" s="215"/>
      <c r="AC1017" s="239"/>
      <c r="AD1017" s="239"/>
      <c r="AE1017" s="244"/>
      <c r="AF1017" s="244"/>
      <c r="AG1017" s="243"/>
      <c r="AH1017" s="243"/>
      <c r="AI1017" s="239"/>
      <c r="AJ1017" s="239"/>
      <c r="AK1017" s="239"/>
    </row>
    <row r="1018" spans="28:37">
      <c r="AC1018" s="239"/>
      <c r="AD1018" s="23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581C-6843-C640-BB5E-3E5994E5904F}">
  <sheetPr codeName="Feuil9"/>
  <dimension ref="A2:I263"/>
  <sheetViews>
    <sheetView topLeftCell="A2" zoomScale="91" workbookViewId="0">
      <selection activeCell="C8" sqref="C8"/>
    </sheetView>
  </sheetViews>
  <sheetFormatPr baseColWidth="10" defaultRowHeight="16"/>
  <cols>
    <col min="1" max="1" width="18.5" customWidth="1"/>
    <col min="2" max="2" width="12.33203125" customWidth="1"/>
    <col min="3" max="3" width="13.33203125" customWidth="1"/>
    <col min="5" max="5" width="13.83203125" customWidth="1"/>
    <col min="6" max="8" width="11" bestFit="1" customWidth="1"/>
    <col min="9" max="9" width="13" bestFit="1" customWidth="1"/>
  </cols>
  <sheetData>
    <row r="2" spans="1:9">
      <c r="A2" s="14" t="s">
        <v>874</v>
      </c>
      <c r="B2" s="14" t="s">
        <v>818</v>
      </c>
      <c r="C2" s="14" t="s">
        <v>819</v>
      </c>
      <c r="D2" s="14" t="s">
        <v>820</v>
      </c>
      <c r="E2" s="14" t="s">
        <v>821</v>
      </c>
      <c r="F2" s="14" t="s">
        <v>872</v>
      </c>
      <c r="G2" s="14" t="s">
        <v>873</v>
      </c>
      <c r="H2" s="286" t="s">
        <v>677</v>
      </c>
      <c r="I2" s="286" t="s">
        <v>875</v>
      </c>
    </row>
    <row r="3" spans="1:9">
      <c r="A3" s="271">
        <f>A8</f>
        <v>7</v>
      </c>
      <c r="B3">
        <f>'Fractal shoot'!B4</f>
        <v>18</v>
      </c>
      <c r="C3" s="271"/>
    </row>
    <row r="4" spans="1:9">
      <c r="A4" s="271">
        <f>A8</f>
        <v>7</v>
      </c>
      <c r="B4" s="271">
        <f>B8</f>
        <v>0.70685999999999993</v>
      </c>
      <c r="C4" s="271"/>
    </row>
    <row r="5" spans="1:9" s="271" customFormat="1"/>
    <row r="6" spans="1:9" s="271" customFormat="1"/>
    <row r="7" spans="1:9">
      <c r="A7" s="271"/>
      <c r="B7" s="271"/>
      <c r="C7" s="271"/>
    </row>
    <row r="8" spans="1:9">
      <c r="A8">
        <f>'Fractal shoot'!B2</f>
        <v>7</v>
      </c>
      <c r="B8" s="271">
        <f>'Fractal shoot'!O21</f>
        <v>0.70685999999999993</v>
      </c>
      <c r="C8">
        <f>'Fractal shoot'!E21*'Fractal shoot'!B21/100</f>
        <v>4.5</v>
      </c>
      <c r="D8">
        <f>'Fractal shoot'!E21</f>
        <v>0.5</v>
      </c>
      <c r="E8">
        <f>'Fractal shoot'!B21</f>
        <v>900</v>
      </c>
      <c r="F8">
        <f>3.1416*D8*D8/4</f>
        <v>0.19635</v>
      </c>
      <c r="G8">
        <f>F8*E8</f>
        <v>176.715</v>
      </c>
      <c r="H8">
        <f>F8*(A8-A9)*E8</f>
        <v>8.8357499999999689</v>
      </c>
      <c r="I8">
        <f>H8/10000</f>
        <v>8.8357499999999691E-4</v>
      </c>
    </row>
    <row r="9" spans="1:9">
      <c r="A9">
        <f>'Fractal shoot'!$B$2-'Fractal shoot'!D21</f>
        <v>6.95</v>
      </c>
      <c r="B9" s="264">
        <f>'Fractal shoot'!O22</f>
        <v>0.65186393947950816</v>
      </c>
      <c r="C9" s="271">
        <f>'Fractal shoot'!E22*'Fractal shoot'!B22/100</f>
        <v>4.1180820138127983</v>
      </c>
      <c r="D9" s="271">
        <f>'Fractal shoot'!E22</f>
        <v>0.55539938923079291</v>
      </c>
      <c r="E9" s="271">
        <f>'Fractal shoot'!B22</f>
        <v>741.46318733194596</v>
      </c>
      <c r="F9" s="271">
        <f t="shared" ref="F9:F72" si="0">3.1416*D9*D9/4</f>
        <v>0.24227114541560432</v>
      </c>
      <c r="G9" s="271">
        <f t="shared" ref="G9:G72" si="1">F9*E9</f>
        <v>179.63513567841534</v>
      </c>
      <c r="H9" s="271">
        <f t="shared" ref="H9:H72" si="2">F9*(A9-A10)*E9</f>
        <v>9.0511208462124202</v>
      </c>
      <c r="I9">
        <f>I8+H9/10000</f>
        <v>1.788687084621239E-3</v>
      </c>
    </row>
    <row r="10" spans="1:9">
      <c r="A10" s="264">
        <f>'Fractal shoot'!$B$2-'Fractal shoot'!D22</f>
        <v>6.8996138613861389</v>
      </c>
      <c r="B10" s="264">
        <f>'Fractal shoot'!O23</f>
        <v>0.60111144980198783</v>
      </c>
      <c r="C10" s="271">
        <f>'Fractal shoot'!E23*'Fractal shoot'!B23/100</f>
        <v>3.7685776605529937</v>
      </c>
      <c r="D10" s="271">
        <f>'Fractal shoot'!E23</f>
        <v>0.61693696311587576</v>
      </c>
      <c r="E10" s="271">
        <f>'Fractal shoot'!B23</f>
        <v>610.8529535204982</v>
      </c>
      <c r="F10" s="271">
        <f t="shared" si="0"/>
        <v>0.29893204940661544</v>
      </c>
      <c r="G10" s="271">
        <f t="shared" si="1"/>
        <v>182.60352528196654</v>
      </c>
      <c r="H10" s="271">
        <f t="shared" si="2"/>
        <v>9.2711968083754979</v>
      </c>
      <c r="I10" s="271">
        <f t="shared" ref="I10:I73" si="3">I9+H10/10000</f>
        <v>2.7158067654587887E-3</v>
      </c>
    </row>
    <row r="11" spans="1:9">
      <c r="A11" s="264">
        <f>'Fractal shoot'!$B$2-'Fractal shoot'!D23</f>
        <v>6.848841584158416</v>
      </c>
      <c r="B11" s="264">
        <f>'Fractal shoot'!O24</f>
        <v>0.55427835986899066</v>
      </c>
      <c r="C11" s="271">
        <f>'Fractal shoot'!E24*'Fractal shoot'!B24/100</f>
        <v>3.4487359736844434</v>
      </c>
      <c r="D11" s="271">
        <f>'Fractal shoot'!E24</f>
        <v>0.68529282501691524</v>
      </c>
      <c r="E11" s="271">
        <f>'Fractal shoot'!B24</f>
        <v>503.24997545382405</v>
      </c>
      <c r="F11" s="271">
        <f t="shared" si="0"/>
        <v>0.36884446147784439</v>
      </c>
      <c r="G11" s="271">
        <f t="shared" si="1"/>
        <v>185.62096618500414</v>
      </c>
      <c r="H11" s="271">
        <f t="shared" si="2"/>
        <v>9.496074577009102</v>
      </c>
      <c r="I11" s="271">
        <f t="shared" si="3"/>
        <v>3.6654142231596987E-3</v>
      </c>
    </row>
    <row r="12" spans="1:9">
      <c r="A12" s="264">
        <f>'Fractal shoot'!$B$2-'Fractal shoot'!D24</f>
        <v>6.7976831683168317</v>
      </c>
      <c r="B12" s="264">
        <f>'Fractal shoot'!O25</f>
        <v>0.51106495724842271</v>
      </c>
      <c r="C12" s="271">
        <f>'Fractal shoot'!E25*'Fractal shoot'!B25/100</f>
        <v>3.156039463026461</v>
      </c>
      <c r="D12" s="271">
        <f>'Fractal shoot'!E25</f>
        <v>0.76122243291727876</v>
      </c>
      <c r="E12" s="271">
        <f>'Fractal shoot'!B25</f>
        <v>414.60147869412884</v>
      </c>
      <c r="F12" s="271">
        <f t="shared" si="0"/>
        <v>0.45510756385250389</v>
      </c>
      <c r="G12" s="271">
        <f t="shared" si="1"/>
        <v>188.68826893813076</v>
      </c>
      <c r="H12" s="271">
        <f t="shared" si="2"/>
        <v>9.7258527533852863</v>
      </c>
      <c r="I12" s="271">
        <f t="shared" si="3"/>
        <v>4.6379994984982274E-3</v>
      </c>
    </row>
    <row r="13" spans="1:9">
      <c r="A13" s="264">
        <f>'Fractal shoot'!$B$2-'Fractal shoot'!D25</f>
        <v>6.7461386138613859</v>
      </c>
      <c r="B13" s="264">
        <f>'Fractal shoot'!O26</f>
        <v>0.47119417154205379</v>
      </c>
      <c r="C13" s="271">
        <f>'Fractal shoot'!E26*'Fractal shoot'!B26/100</f>
        <v>2.888184299460594</v>
      </c>
      <c r="D13" s="271">
        <f>'Fractal shoot'!E26</f>
        <v>0.84556494862206988</v>
      </c>
      <c r="E13" s="271">
        <f>'Fractal shoot'!B26</f>
        <v>341.56859318342964</v>
      </c>
      <c r="F13" s="271">
        <f t="shared" si="0"/>
        <v>0.56154535666845662</v>
      </c>
      <c r="G13" s="271">
        <f t="shared" si="1"/>
        <v>191.80625748593195</v>
      </c>
      <c r="H13" s="271">
        <f t="shared" si="2"/>
        <v>9.9606318862742889</v>
      </c>
      <c r="I13" s="271">
        <f t="shared" si="3"/>
        <v>5.6340626871256563E-3</v>
      </c>
    </row>
    <row r="14" spans="1:9">
      <c r="A14" s="264">
        <f>'Fractal shoot'!$B$2-'Fractal shoot'!D26</f>
        <v>6.6942079207920795</v>
      </c>
      <c r="B14" s="264">
        <f>'Fractal shoot'!O27</f>
        <v>0.43440988993414026</v>
      </c>
      <c r="C14" s="271">
        <f>'Fractal shoot'!E27*'Fractal shoot'!B27/100</f>
        <v>2.6430621813744857</v>
      </c>
      <c r="D14" s="271">
        <f>'Fractal shoot'!E27</f>
        <v>0.9392525120393288</v>
      </c>
      <c r="E14" s="271">
        <f>'Fractal shoot'!B27</f>
        <v>281.40059754919395</v>
      </c>
      <c r="F14" s="271">
        <f t="shared" si="0"/>
        <v>0.69287617398971757</v>
      </c>
      <c r="G14" s="271">
        <f t="shared" si="1"/>
        <v>194.97576938830579</v>
      </c>
      <c r="H14" s="271">
        <f t="shared" si="2"/>
        <v>10.20051450938433</v>
      </c>
      <c r="I14" s="271">
        <f t="shared" si="3"/>
        <v>6.6541141380640888E-3</v>
      </c>
    </row>
    <row r="15" spans="1:9">
      <c r="A15" s="264">
        <f>'Fractal shoot'!$B$2-'Fractal shoot'!D27</f>
        <v>6.6418910891089107</v>
      </c>
      <c r="B15" s="264">
        <f>'Fractal shoot'!O28</f>
        <v>0.40047539556982253</v>
      </c>
      <c r="C15" s="271">
        <f>'Fractal shoot'!E28*'Fractal shoot'!B28/100</f>
        <v>2.4187437401126872</v>
      </c>
      <c r="D15" s="271">
        <f>'Fractal shoot'!E28</f>
        <v>1.0433205430402626</v>
      </c>
      <c r="E15" s="271">
        <f>'Fractal shoot'!B28</f>
        <v>231.8313155288217</v>
      </c>
      <c r="F15" s="271">
        <f t="shared" si="0"/>
        <v>0.85492184519312719</v>
      </c>
      <c r="G15" s="271">
        <f t="shared" si="1"/>
        <v>198.19765604545034</v>
      </c>
      <c r="H15" s="271">
        <f t="shared" si="2"/>
        <v>10.445605179504222</v>
      </c>
      <c r="I15" s="271">
        <f t="shared" si="3"/>
        <v>7.6986746560145109E-3</v>
      </c>
    </row>
    <row r="16" spans="1:9">
      <c r="A16" s="264">
        <f>'Fractal shoot'!$B$2-'Fractal shoot'!D28</f>
        <v>6.5891881188118813</v>
      </c>
      <c r="B16" s="264">
        <f>'Fractal shoot'!O29</f>
        <v>0.36917192004715937</v>
      </c>
      <c r="C16" s="271">
        <f>'Fractal shoot'!E29*'Fractal shoot'!B29/100</f>
        <v>2.2134633538178563</v>
      </c>
      <c r="D16" s="271">
        <f>'Fractal shoot'!E29</f>
        <v>1.158919184753002</v>
      </c>
      <c r="E16" s="271">
        <f>'Fractal shoot'!B29</f>
        <v>190.99376237262021</v>
      </c>
      <c r="F16" s="271">
        <f t="shared" si="0"/>
        <v>1.0548657737497373</v>
      </c>
      <c r="G16" s="271">
        <f t="shared" si="1"/>
        <v>201.47278292656748</v>
      </c>
      <c r="H16" s="271">
        <f t="shared" si="2"/>
        <v>10.696010515368826</v>
      </c>
      <c r="I16" s="271">
        <f t="shared" si="3"/>
        <v>8.7682757075513932E-3</v>
      </c>
    </row>
    <row r="17" spans="1:9">
      <c r="A17" s="264">
        <f>'Fractal shoot'!$B$2-'Fractal shoot'!D29</f>
        <v>6.5360990099009904</v>
      </c>
      <c r="B17" s="264">
        <f>'Fractal shoot'!O30</f>
        <v>0.34029730190140678</v>
      </c>
      <c r="C17" s="271">
        <f>'Fractal shoot'!E30*'Fractal shoot'!B30/100</f>
        <v>2.0256052501313482</v>
      </c>
      <c r="D17" s="271">
        <f>'Fractal shoot'!E30</f>
        <v>1.2873260147593317</v>
      </c>
      <c r="E17" s="271">
        <f>'Fractal shoot'!B30</f>
        <v>157.34982645480363</v>
      </c>
      <c r="F17" s="271">
        <f t="shared" si="0"/>
        <v>1.3015713739040828</v>
      </c>
      <c r="G17" s="271">
        <f t="shared" si="1"/>
        <v>204.80202980234776</v>
      </c>
      <c r="H17" s="271">
        <f t="shared" si="2"/>
        <v>10.951839237252267</v>
      </c>
      <c r="I17" s="271">
        <f t="shared" si="3"/>
        <v>9.8634596312766193E-3</v>
      </c>
    </row>
    <row r="18" spans="1:9">
      <c r="A18" s="264">
        <f>'Fractal shoot'!$B$2-'Fractal shoot'!D30</f>
        <v>6.4826237623762379</v>
      </c>
      <c r="B18" s="264">
        <f>'Fractal shoot'!O31</f>
        <v>0.31366474351671852</v>
      </c>
      <c r="C18" s="271">
        <f>'Fractal shoot'!E31*'Fractal shoot'!B31/100</f>
        <v>1.8536907883668174</v>
      </c>
      <c r="D18" s="271">
        <f>'Fractal shoot'!E31</f>
        <v>1.4299601646764872</v>
      </c>
      <c r="E18" s="271">
        <f>'Fractal shoot'!B31</f>
        <v>129.63233761034138</v>
      </c>
      <c r="F18" s="271">
        <f t="shared" si="0"/>
        <v>1.6059749813898856</v>
      </c>
      <c r="G18" s="271">
        <f t="shared" si="1"/>
        <v>208.18629098129537</v>
      </c>
      <c r="H18" s="271">
        <f t="shared" si="2"/>
        <v>11.213202207309385</v>
      </c>
      <c r="I18" s="271">
        <f t="shared" si="3"/>
        <v>1.0984779852007558E-2</v>
      </c>
    </row>
    <row r="19" spans="1:9">
      <c r="A19" s="264">
        <f>'Fractal shoot'!$B$2-'Fractal shoot'!D31</f>
        <v>6.428762376237624</v>
      </c>
      <c r="B19" s="264">
        <f>'Fractal shoot'!O32</f>
        <v>0.28910165942104604</v>
      </c>
      <c r="C19" s="271">
        <f>'Fractal shoot'!E32*'Fractal shoot'!B32/100</f>
        <v>1.6963668210541909</v>
      </c>
      <c r="D19" s="271">
        <f>'Fractal shoot'!E32</f>
        <v>1.5883980041713706</v>
      </c>
      <c r="E19" s="271">
        <f>'Fractal shoot'!B32</f>
        <v>106.79734025094957</v>
      </c>
      <c r="F19" s="271">
        <f t="shared" si="0"/>
        <v>1.981570655717503</v>
      </c>
      <c r="G19" s="271">
        <f t="shared" si="1"/>
        <v>211.62647554995942</v>
      </c>
      <c r="H19" s="271">
        <f t="shared" si="2"/>
        <v>11.480212470675555</v>
      </c>
      <c r="I19" s="271">
        <f t="shared" si="3"/>
        <v>1.2132801099075115E-2</v>
      </c>
    </row>
    <row r="20" spans="1:9">
      <c r="A20" s="264">
        <f>'Fractal shoot'!$B$2-'Fractal shoot'!D32</f>
        <v>6.3745148514851486</v>
      </c>
      <c r="B20" s="264">
        <f>'Fractal shoot'!O33</f>
        <v>0.26644860940673237</v>
      </c>
      <c r="C20" s="271">
        <f>'Fractal shoot'!E33*'Fractal shoot'!B33/100</f>
        <v>1.5523950432471232</v>
      </c>
      <c r="D20" s="271">
        <f>'Fractal shoot'!E33</f>
        <v>1.7643905627443792</v>
      </c>
      <c r="E20" s="271">
        <f>'Fractal shoot'!B33</f>
        <v>87.984773667825991</v>
      </c>
      <c r="F20" s="271">
        <f t="shared" si="0"/>
        <v>2.4450083650757808</v>
      </c>
      <c r="G20" s="271">
        <f t="shared" si="1"/>
        <v>215.12350761713384</v>
      </c>
      <c r="H20" s="271">
        <f t="shared" si="2"/>
        <v>11.752985297340103</v>
      </c>
      <c r="I20" s="271">
        <f t="shared" si="3"/>
        <v>1.3308099628809125E-2</v>
      </c>
    </row>
    <row r="21" spans="1:9">
      <c r="A21" s="264">
        <f>'Fractal shoot'!$B$2-'Fractal shoot'!D33</f>
        <v>6.3198811881188117</v>
      </c>
      <c r="B21" s="264">
        <f>'Fractal shoot'!O34</f>
        <v>0.24555831037414183</v>
      </c>
      <c r="C21" s="271">
        <f>'Fractal shoot'!E34*'Fractal shoot'!B34/100</f>
        <v>1.4206422457618044</v>
      </c>
      <c r="D21" s="271">
        <f>'Fractal shoot'!E34</f>
        <v>1.9598828818256067</v>
      </c>
      <c r="E21" s="271">
        <f>'Fractal shoot'!B34</f>
        <v>72.486078578251252</v>
      </c>
      <c r="F21" s="271">
        <f t="shared" si="0"/>
        <v>3.0168320710855294</v>
      </c>
      <c r="G21" s="271">
        <f t="shared" si="1"/>
        <v>218.67832656209416</v>
      </c>
      <c r="H21" s="271">
        <f t="shared" si="2"/>
        <v>12.031638224807386</v>
      </c>
      <c r="I21" s="271">
        <f t="shared" si="3"/>
        <v>1.4511263451289863E-2</v>
      </c>
    </row>
    <row r="22" spans="1:9">
      <c r="A22" s="264">
        <f>'Fractal shoot'!$B$2-'Fractal shoot'!D34</f>
        <v>6.2648613861386142</v>
      </c>
      <c r="B22" s="264">
        <f>'Fractal shoot'!O35</f>
        <v>0.22629472122053479</v>
      </c>
      <c r="C22" s="271">
        <f>'Fractal shoot'!E35*'Fractal shoot'!B35/100</f>
        <v>1.300071395629846</v>
      </c>
      <c r="D22" s="271">
        <f>'Fractal shoot'!E35</f>
        <v>2.1770355110596564</v>
      </c>
      <c r="E22" s="271">
        <f>'Fractal shoot'!B35</f>
        <v>59.717509844248958</v>
      </c>
      <c r="F22" s="271">
        <f t="shared" si="0"/>
        <v>3.7223904323321677</v>
      </c>
      <c r="G22" s="271">
        <f t="shared" si="1"/>
        <v>222.29188728693435</v>
      </c>
      <c r="H22" s="271">
        <f t="shared" si="2"/>
        <v>12.316291101561344</v>
      </c>
      <c r="I22" s="271">
        <f t="shared" si="3"/>
        <v>1.5742892561445999E-2</v>
      </c>
    </row>
    <row r="23" spans="1:9">
      <c r="A23" s="264">
        <f>'Fractal shoot'!$B$2-'Fractal shoot'!D35</f>
        <v>6.2094554455445543</v>
      </c>
      <c r="B23" s="264">
        <f>'Fractal shoot'!O36</f>
        <v>0.20853219549311153</v>
      </c>
      <c r="C23" s="271">
        <f>'Fractal shoot'!E36*'Fractal shoot'!B36/100</f>
        <v>1.1897334735590601</v>
      </c>
      <c r="D23" s="271">
        <f>'Fractal shoot'!E36</f>
        <v>2.4182483863525608</v>
      </c>
      <c r="E23" s="271">
        <f>'Fractal shoot'!B36</f>
        <v>49.198150209604101</v>
      </c>
      <c r="F23" s="271">
        <f t="shared" si="0"/>
        <v>4.5929604977091989</v>
      </c>
      <c r="G23" s="271">
        <f t="shared" si="1"/>
        <v>225.96516047307517</v>
      </c>
      <c r="H23" s="271">
        <f t="shared" si="2"/>
        <v>12.607066131344279</v>
      </c>
      <c r="I23" s="271">
        <f t="shared" si="3"/>
        <v>1.7003599174580428E-2</v>
      </c>
    </row>
    <row r="24" spans="1:9">
      <c r="A24" s="264">
        <f>'Fractal shoot'!$B$2-'Fractal shoot'!D36</f>
        <v>6.1536633663366338</v>
      </c>
      <c r="B24" s="264">
        <f>'Fractal shoot'!O37</f>
        <v>0.19215469689541748</v>
      </c>
      <c r="C24" s="271">
        <f>'Fractal shoot'!E37*'Fractal shoot'!B37/100</f>
        <v>1.0887600041543533</v>
      </c>
      <c r="D24" s="271">
        <f>'Fractal shoot'!E37</f>
        <v>2.6861873535771257</v>
      </c>
      <c r="E24" s="271">
        <f>'Fractal shoot'!B37</f>
        <v>40.53179696138767</v>
      </c>
      <c r="F24" s="271">
        <f t="shared" si="0"/>
        <v>5.667134202335788</v>
      </c>
      <c r="G24" s="271">
        <f t="shared" si="1"/>
        <v>229.69913284200982</v>
      </c>
      <c r="H24" s="271">
        <f t="shared" si="2"/>
        <v>12.90408791827287</v>
      </c>
      <c r="I24" s="271">
        <f t="shared" si="3"/>
        <v>1.8294007966407715E-2</v>
      </c>
    </row>
    <row r="25" spans="1:9">
      <c r="A25" s="264">
        <f>'Fractal shoot'!$B$2-'Fractal shoot'!D37</f>
        <v>6.0974851485148518</v>
      </c>
      <c r="B25" s="264">
        <f>'Fractal shoot'!O38</f>
        <v>0.17705507308176177</v>
      </c>
      <c r="C25" s="271">
        <f>'Fractal shoot'!E38*'Fractal shoot'!B38/100</f>
        <v>0.99635622010373115</v>
      </c>
      <c r="D25" s="271">
        <f>'Fractal shoot'!E38</f>
        <v>2.9838136310724317</v>
      </c>
      <c r="E25" s="271">
        <f>'Fractal shoot'!B38</f>
        <v>33.392039292535316</v>
      </c>
      <c r="F25" s="271">
        <f t="shared" si="0"/>
        <v>6.9925291287183038</v>
      </c>
      <c r="G25" s="271">
        <f t="shared" si="1"/>
        <v>233.49480742035934</v>
      </c>
      <c r="H25" s="271">
        <f t="shared" si="2"/>
        <v>13.207483512797143</v>
      </c>
      <c r="I25" s="271">
        <f t="shared" si="3"/>
        <v>1.9614756317687429E-2</v>
      </c>
    </row>
    <row r="26" spans="1:9">
      <c r="A26" s="264">
        <f>'Fractal shoot'!$B$2-'Fractal shoot'!D38</f>
        <v>6.0409207920792083</v>
      </c>
      <c r="B26" s="264">
        <f>'Fractal shoot'!O39</f>
        <v>0.16313438349649445</v>
      </c>
      <c r="C26" s="271">
        <f>'Fractal shoot'!E39*'Fractal shoot'!B39/100</f>
        <v>0.91179480652437339</v>
      </c>
      <c r="D26" s="271">
        <f>'Fractal shoot'!E39</f>
        <v>3.3144165365522857</v>
      </c>
      <c r="E26" s="271">
        <f>'Fractal shoot'!B39</f>
        <v>27.509964317063126</v>
      </c>
      <c r="F26" s="271">
        <f t="shared" si="0"/>
        <v>8.6278993703415399</v>
      </c>
      <c r="G26" s="271">
        <f t="shared" si="1"/>
        <v>237.35320380930719</v>
      </c>
      <c r="H26" s="271">
        <f t="shared" si="2"/>
        <v>13.5173824585261</v>
      </c>
      <c r="I26" s="271">
        <f t="shared" si="3"/>
        <v>2.096649456354004E-2</v>
      </c>
    </row>
    <row r="27" spans="1:9">
      <c r="A27" s="264">
        <f>'Fractal shoot'!$B$2-'Fractal shoot'!D39</f>
        <v>5.9839702970297033</v>
      </c>
      <c r="B27" s="264">
        <f>'Fractal shoot'!O40</f>
        <v>0.1503012773153781</v>
      </c>
      <c r="C27" s="271">
        <f>'Fractal shoot'!E40*'Fractal shoot'!B40/100</f>
        <v>0.83441017623020941</v>
      </c>
      <c r="D27" s="271">
        <f>'Fractal shoot'!E40</f>
        <v>3.6816498401151598</v>
      </c>
      <c r="E27" s="271">
        <f>'Fractal shoot'!B40</f>
        <v>22.66402869546414</v>
      </c>
      <c r="F27" s="271">
        <f t="shared" si="0"/>
        <v>10.645740071215775</v>
      </c>
      <c r="G27" s="271">
        <f t="shared" si="1"/>
        <v>241.27535845848678</v>
      </c>
      <c r="H27" s="271">
        <f t="shared" si="2"/>
        <v>13.833916839931693</v>
      </c>
      <c r="I27" s="271">
        <f t="shared" si="3"/>
        <v>2.2349886247533209E-2</v>
      </c>
    </row>
    <row r="28" spans="1:9">
      <c r="A28" s="264">
        <f>'Fractal shoot'!$B$2-'Fractal shoot'!D40</f>
        <v>5.9266336633663368</v>
      </c>
      <c r="B28" s="264">
        <f>'Fractal shoot'!O41</f>
        <v>0.13847141782624939</v>
      </c>
      <c r="C28" s="271">
        <f>'Fractal shoot'!E41*'Fractal shoot'!B41/100</f>
        <v>0.76359323086133191</v>
      </c>
      <c r="D28" s="271">
        <f>'Fractal shoot'!E41</f>
        <v>4.0895721451232134</v>
      </c>
      <c r="E28" s="271">
        <f>'Fractal shoot'!B41</f>
        <v>18.671714393690586</v>
      </c>
      <c r="F28" s="271">
        <f t="shared" si="0"/>
        <v>13.135501099313696</v>
      </c>
      <c r="G28" s="271">
        <f t="shared" si="1"/>
        <v>245.26232494439407</v>
      </c>
      <c r="H28" s="271">
        <f t="shared" si="2"/>
        <v>14.157221330948753</v>
      </c>
      <c r="I28" s="271">
        <f t="shared" si="3"/>
        <v>2.3765608380628085E-2</v>
      </c>
    </row>
    <row r="29" spans="1:9">
      <c r="A29" s="264">
        <f>'Fractal shoot'!$B$2-'Fractal shoot'!D41</f>
        <v>5.8689108910891088</v>
      </c>
      <c r="B29" s="264">
        <f>'Fractal shoot'!O42</f>
        <v>0.12756694984701211</v>
      </c>
      <c r="C29" s="271">
        <f>'Fractal shoot'!E42*'Fractal shoot'!B42/100</f>
        <v>0.69878656663983429</v>
      </c>
      <c r="D29" s="271">
        <f>'Fractal shoot'!E42</f>
        <v>4.5426917432333935</v>
      </c>
      <c r="E29" s="271">
        <f>'Fractal shoot'!B42</f>
        <v>15.382654296997327</v>
      </c>
      <c r="F29" s="271">
        <f t="shared" si="0"/>
        <v>16.20755231443168</v>
      </c>
      <c r="G29" s="271">
        <f t="shared" si="1"/>
        <v>249.31517425340147</v>
      </c>
      <c r="H29" s="271">
        <f t="shared" si="2"/>
        <v>14.487433244487132</v>
      </c>
      <c r="I29" s="271">
        <f t="shared" si="3"/>
        <v>2.5214351705076798E-2</v>
      </c>
    </row>
    <row r="30" spans="1:9">
      <c r="A30" s="264">
        <f>'Fractal shoot'!$B$2-'Fractal shoot'!D42</f>
        <v>5.8108019801980202</v>
      </c>
      <c r="B30" s="264">
        <f>'Fractal shoot'!O43</f>
        <v>0.11751600702195039</v>
      </c>
      <c r="C30" s="271">
        <f>'Fractal shoot'!E43*'Fractal shoot'!B43/100</f>
        <v>0.63948008701633341</v>
      </c>
      <c r="D30" s="271">
        <f>'Fractal shoot'!E43</f>
        <v>5.0460164393111864</v>
      </c>
      <c r="E30" s="271">
        <f>'Fractal shoot'!B43</f>
        <v>12.672968760752324</v>
      </c>
      <c r="F30" s="271">
        <f t="shared" si="0"/>
        <v>19.998076208814332</v>
      </c>
      <c r="G30" s="271">
        <f t="shared" si="1"/>
        <v>253.43499506944832</v>
      </c>
      <c r="H30" s="271">
        <f t="shared" si="2"/>
        <v>14.824692582874389</v>
      </c>
      <c r="I30" s="271">
        <f t="shared" si="3"/>
        <v>2.6696820963364239E-2</v>
      </c>
    </row>
    <row r="31" spans="1:9">
      <c r="A31" s="264">
        <f>'Fractal shoot'!$B$2-'Fractal shoot'!D43</f>
        <v>5.7523069306930692</v>
      </c>
      <c r="B31" s="264">
        <f>'Fractal shoot'!O44</f>
        <v>0.1082522560635668</v>
      </c>
      <c r="C31" s="271">
        <f>'Fractal shoot'!E44*'Fractal shoot'!B44/100</f>
        <v>0.58520698767408985</v>
      </c>
      <c r="D31" s="271">
        <f>'Fractal shoot'!E44</f>
        <v>5.6051088968839444</v>
      </c>
      <c r="E31" s="271">
        <f>'Fractal shoot'!B44</f>
        <v>10.440599789228443</v>
      </c>
      <c r="F31" s="271">
        <f t="shared" si="0"/>
        <v>24.675104808851497</v>
      </c>
      <c r="G31" s="271">
        <f t="shared" si="1"/>
        <v>257.62289406648466</v>
      </c>
      <c r="H31" s="271">
        <f t="shared" si="2"/>
        <v>15.169142089241356</v>
      </c>
      <c r="I31" s="271">
        <f t="shared" si="3"/>
        <v>2.8213735172288375E-2</v>
      </c>
    </row>
    <row r="32" spans="1:9">
      <c r="A32" s="264">
        <f>'Fractal shoot'!$B$2-'Fractal shoot'!D44</f>
        <v>5.6934257425742576</v>
      </c>
      <c r="B32" s="264">
        <f>'Fractal shoot'!O45</f>
        <v>9.9714475217722864E-2</v>
      </c>
      <c r="C32" s="271">
        <f>'Fractal shoot'!E45*'Fractal shoot'!B45/100</f>
        <v>0.53554008228849714</v>
      </c>
      <c r="D32" s="271">
        <f>'Fractal shoot'!E45</f>
        <v>6.2261481158028538</v>
      </c>
      <c r="E32" s="271">
        <f>'Fractal shoot'!B45</f>
        <v>8.6014671081984044</v>
      </c>
      <c r="F32" s="271">
        <f t="shared" si="0"/>
        <v>30.445968450677576</v>
      </c>
      <c r="G32" s="271">
        <f t="shared" si="1"/>
        <v>261.87999620574948</v>
      </c>
      <c r="H32" s="271">
        <f t="shared" si="2"/>
        <v>15.520927299877346</v>
      </c>
      <c r="I32" s="271">
        <f t="shared" si="3"/>
        <v>2.976582790227611E-2</v>
      </c>
    </row>
    <row r="33" spans="1:9">
      <c r="A33" s="264">
        <f>'Fractal shoot'!$B$2-'Fractal shoot'!D45</f>
        <v>5.6341584158415845</v>
      </c>
      <c r="B33" s="264">
        <f>'Fractal shoot'!O46</f>
        <v>9.1846164425811783E-2</v>
      </c>
      <c r="C33" s="271">
        <f>'Fractal shoot'!E46*'Fractal shoot'!B46/100</f>
        <v>0.49008844012179692</v>
      </c>
      <c r="D33" s="271">
        <f>'Fractal shoot'!E46</f>
        <v>6.9159977215547155</v>
      </c>
      <c r="E33" s="271">
        <f>'Fractal shoot'!B46</f>
        <v>7.0863013530840941</v>
      </c>
      <c r="F33" s="271">
        <f t="shared" si="0"/>
        <v>37.566486630165578</v>
      </c>
      <c r="G33" s="271">
        <f t="shared" si="1"/>
        <v>266.20744503795788</v>
      </c>
      <c r="H33" s="271">
        <f t="shared" si="2"/>
        <v>15.88019659756157</v>
      </c>
      <c r="I33" s="271">
        <f t="shared" si="3"/>
        <v>3.1353847562032265E-2</v>
      </c>
    </row>
    <row r="34" spans="1:9">
      <c r="A34" s="264">
        <f>'Fractal shoot'!$B$2-'Fractal shoot'!D46</f>
        <v>5.574504950495049</v>
      </c>
      <c r="B34" s="264">
        <f>'Fractal shoot'!O47</f>
        <v>8.4595184839995813E-2</v>
      </c>
      <c r="C34" s="271">
        <f>'Fractal shoot'!E47*'Fractal shoot'!B47/100</f>
        <v>0.44849430898736498</v>
      </c>
      <c r="D34" s="271">
        <f>'Fractal shoot'!E47</f>
        <v>7.6822818209460904</v>
      </c>
      <c r="E34" s="271">
        <f>'Fractal shoot'!B47</f>
        <v>5.8380350973915709</v>
      </c>
      <c r="F34" s="271">
        <f t="shared" si="0"/>
        <v>46.352308353095012</v>
      </c>
      <c r="G34" s="271">
        <f t="shared" si="1"/>
        <v>270.60640301048517</v>
      </c>
      <c r="H34" s="271">
        <f t="shared" si="2"/>
        <v>16.247101265896866</v>
      </c>
      <c r="I34" s="271">
        <f t="shared" si="3"/>
        <v>3.297855768862195E-2</v>
      </c>
    </row>
    <row r="35" spans="1:9">
      <c r="A35" s="264">
        <f>'Fractal shoot'!$B$2-'Fractal shoot'!D47</f>
        <v>5.5144653465346529</v>
      </c>
      <c r="B35" s="264">
        <f>'Fractal shoot'!O48</f>
        <v>7.7913425517093376E-2</v>
      </c>
      <c r="C35" s="271">
        <f>'Fractal shoot'!E48*'Fractal shoot'!B48/100</f>
        <v>0.41043029936405928</v>
      </c>
      <c r="D35" s="271">
        <f>'Fractal shoot'!E48</f>
        <v>8.5334692625045623</v>
      </c>
      <c r="E35" s="271">
        <f>'Fractal shoot'!B48</f>
        <v>4.8096534567419127</v>
      </c>
      <c r="F35" s="271">
        <f t="shared" si="0"/>
        <v>57.192904697538118</v>
      </c>
      <c r="G35" s="271">
        <f t="shared" si="1"/>
        <v>275.07805177962501</v>
      </c>
      <c r="H35" s="271">
        <f t="shared" si="2"/>
        <v>16.621795544663676</v>
      </c>
      <c r="I35" s="271">
        <f t="shared" si="3"/>
        <v>3.4640737243088318E-2</v>
      </c>
    </row>
    <row r="36" spans="1:9">
      <c r="A36" s="264">
        <f>'Fractal shoot'!$B$2-'Fractal shoot'!D48</f>
        <v>5.4540396039603962</v>
      </c>
      <c r="B36" s="264">
        <f>'Fractal shoot'!O49</f>
        <v>7.1756495274358081E-2</v>
      </c>
      <c r="C36" s="271">
        <f>'Fractal shoot'!E49*'Fractal shoot'!B49/100</f>
        <v>0.37559680749665225</v>
      </c>
      <c r="D36" s="271">
        <f>'Fractal shoot'!E49</f>
        <v>9.4789672328295591</v>
      </c>
      <c r="E36" s="271">
        <f>'Fractal shoot'!B49</f>
        <v>3.9624233133310782</v>
      </c>
      <c r="F36" s="271">
        <f t="shared" si="0"/>
        <v>70.568833871749746</v>
      </c>
      <c r="G36" s="271">
        <f t="shared" si="1"/>
        <v>279.62359252800906</v>
      </c>
      <c r="H36" s="271">
        <f t="shared" si="2"/>
        <v>17.004436686208312</v>
      </c>
      <c r="I36" s="271">
        <f t="shared" si="3"/>
        <v>3.6341180911709146E-2</v>
      </c>
    </row>
    <row r="37" spans="1:9">
      <c r="A37" s="264">
        <f>'Fractal shoot'!$B$2-'Fractal shoot'!D49</f>
        <v>5.3932277227722771</v>
      </c>
      <c r="B37" s="264">
        <f>'Fractal shoot'!O50</f>
        <v>6.6083437836950323E-2</v>
      </c>
      <c r="C37" s="271">
        <f>'Fractal shoot'!E50*'Fractal shoot'!B50/100</f>
        <v>0.34371965719943814</v>
      </c>
      <c r="D37" s="271">
        <f>'Fractal shoot'!E50</f>
        <v>10.529225223304474</v>
      </c>
      <c r="E37" s="271">
        <f>'Fractal shoot'!B50</f>
        <v>3.2644344660676348</v>
      </c>
      <c r="F37" s="271">
        <f t="shared" si="0"/>
        <v>87.073044118932074</v>
      </c>
      <c r="G37" s="271">
        <f t="shared" si="1"/>
        <v>284.24424628726962</v>
      </c>
      <c r="H37" s="271">
        <f t="shared" si="2"/>
        <v>17.395185012887119</v>
      </c>
      <c r="I37" s="271">
        <f t="shared" si="3"/>
        <v>3.8080699412997861E-2</v>
      </c>
    </row>
    <row r="38" spans="1:9">
      <c r="A38" s="264">
        <f>'Fractal shoot'!$B$2-'Fractal shoot'!D50</f>
        <v>5.3320297029702974</v>
      </c>
      <c r="B38" s="264">
        <f>'Fractal shoot'!O51</f>
        <v>6.085646854311115E-2</v>
      </c>
      <c r="C38" s="271">
        <f>'Fractal shoot'!E51*'Fractal shoot'!B51/100</f>
        <v>0.31454794180153489</v>
      </c>
      <c r="D38" s="271">
        <f>'Fractal shoot'!E51</f>
        <v>11.695850516193531</v>
      </c>
      <c r="E38" s="271">
        <f>'Fractal shoot'!B51</f>
        <v>2.6893977600519641</v>
      </c>
      <c r="F38" s="271">
        <f t="shared" si="0"/>
        <v>107.43715881597728</v>
      </c>
      <c r="G38" s="271">
        <f t="shared" si="1"/>
        <v>288.94125426603642</v>
      </c>
      <c r="H38" s="271">
        <f t="shared" si="2"/>
        <v>17.794203975591696</v>
      </c>
      <c r="I38" s="271">
        <f t="shared" si="3"/>
        <v>3.9860119810557031E-2</v>
      </c>
    </row>
    <row r="39" spans="1:9">
      <c r="A39" s="264">
        <f>'Fractal shoot'!$B$2-'Fractal shoot'!D51</f>
        <v>5.2704455445544554</v>
      </c>
      <c r="B39" s="264">
        <f>'Fractal shoot'!O52</f>
        <v>5.6040730999606075E-2</v>
      </c>
      <c r="C39" s="271">
        <f>'Fractal shoot'!E52*'Fractal shoot'!B52/100</f>
        <v>0.28785204924771907</v>
      </c>
      <c r="D39" s="271">
        <f>'Fractal shoot'!E52</f>
        <v>12.991736466457084</v>
      </c>
      <c r="E39" s="271">
        <f>'Fractal shoot'!B52</f>
        <v>2.2156549279683615</v>
      </c>
      <c r="F39" s="271">
        <f t="shared" si="0"/>
        <v>132.56390897145414</v>
      </c>
      <c r="G39" s="271">
        <f t="shared" si="1"/>
        <v>293.71587818335166</v>
      </c>
      <c r="H39" s="271">
        <f t="shared" si="2"/>
        <v>18.201660213362274</v>
      </c>
      <c r="I39" s="271">
        <f t="shared" si="3"/>
        <v>4.168028583189326E-2</v>
      </c>
    </row>
    <row r="40" spans="1:9">
      <c r="A40" s="264">
        <f>'Fractal shoot'!$B$2-'Fractal shoot'!D52</f>
        <v>5.2084752475247527</v>
      </c>
      <c r="B40" s="264">
        <f>'Fractal shoot'!O53</f>
        <v>5.160407219757409E-2</v>
      </c>
      <c r="C40" s="271">
        <f>'Fractal shoot'!E53*'Fractal shoot'!B53/100</f>
        <v>0.26342185481026381</v>
      </c>
      <c r="D40" s="271">
        <f>'Fractal shoot'!E53</f>
        <v>14.431204997035364</v>
      </c>
      <c r="E40" s="271">
        <f>'Fractal shoot'!B53</f>
        <v>1.8253628499101717</v>
      </c>
      <c r="F40" s="271">
        <f t="shared" si="0"/>
        <v>163.56715083923646</v>
      </c>
      <c r="G40" s="271">
        <f t="shared" si="1"/>
        <v>298.56940060759558</v>
      </c>
      <c r="H40" s="271">
        <f t="shared" si="2"/>
        <v>18.617723614125335</v>
      </c>
      <c r="I40" s="271">
        <f t="shared" si="3"/>
        <v>4.3542058193305797E-2</v>
      </c>
    </row>
    <row r="41" spans="1:9">
      <c r="A41" s="264">
        <f>'Fractal shoot'!$B$2-'Fractal shoot'!D53</f>
        <v>5.1461188118811876</v>
      </c>
      <c r="B41" s="264">
        <f>'Fractal shoot'!O54</f>
        <v>4.7516834708106422E-2</v>
      </c>
      <c r="C41" s="271">
        <f>'Fractal shoot'!E54*'Fractal shoot'!B54/100</f>
        <v>0.24106506718652312</v>
      </c>
      <c r="D41" s="271">
        <f>'Fractal shoot'!E54</f>
        <v>16.030164882435621</v>
      </c>
      <c r="E41" s="271">
        <f>'Fractal shoot'!B54</f>
        <v>1.5038215074796895</v>
      </c>
      <c r="F41" s="271">
        <f t="shared" si="0"/>
        <v>201.82124260854991</v>
      </c>
      <c r="G41" s="271">
        <f t="shared" si="1"/>
        <v>303.50312530101365</v>
      </c>
      <c r="H41" s="271">
        <f t="shared" si="2"/>
        <v>19.042567376559624</v>
      </c>
      <c r="I41" s="271">
        <f t="shared" si="3"/>
        <v>4.5446314930961761E-2</v>
      </c>
    </row>
    <row r="42" spans="1:9">
      <c r="A42" s="264">
        <f>'Fractal shoot'!$B$2-'Fractal shoot'!D54</f>
        <v>5.0833762376237619</v>
      </c>
      <c r="B42" s="264">
        <f>'Fractal shoot'!O55</f>
        <v>4.3751664678265752E-2</v>
      </c>
      <c r="C42" s="271">
        <f>'Fractal shoot'!E55*'Fractal shoot'!B55/100</f>
        <v>0.22060571496430989</v>
      </c>
      <c r="D42" s="271">
        <f>'Fractal shoot'!E55</f>
        <v>17.806287569947298</v>
      </c>
      <c r="E42" s="271">
        <f>'Fractal shoot'!B55</f>
        <v>1.2389203201269137</v>
      </c>
      <c r="F42" s="271">
        <f t="shared" si="0"/>
        <v>249.02196901438228</v>
      </c>
      <c r="G42" s="271">
        <f t="shared" si="1"/>
        <v>308.51837756993285</v>
      </c>
      <c r="H42" s="271">
        <f t="shared" si="2"/>
        <v>19.476368073127386</v>
      </c>
      <c r="I42" s="271">
        <f t="shared" si="3"/>
        <v>4.7393951738274501E-2</v>
      </c>
    </row>
    <row r="43" spans="1:9">
      <c r="A43" s="264">
        <f>'Fractal shoot'!$B$2-'Fractal shoot'!D55</f>
        <v>5.0202475247524756</v>
      </c>
      <c r="B43" s="264">
        <f>'Fractal shoot'!O56</f>
        <v>4.0283334442380199E-2</v>
      </c>
      <c r="C43" s="271">
        <f>'Fractal shoot'!E56*'Fractal shoot'!B56/100</f>
        <v>0.20188276154196391</v>
      </c>
      <c r="D43" s="271">
        <f>'Fractal shoot'!E56</f>
        <v>19.779202481633185</v>
      </c>
      <c r="E43" s="271">
        <f>'Fractal shoot'!B56</f>
        <v>1.0206820104573513</v>
      </c>
      <c r="F43" s="271">
        <f t="shared" si="0"/>
        <v>307.26171462573757</v>
      </c>
      <c r="G43" s="271">
        <f t="shared" si="1"/>
        <v>313.61650462077074</v>
      </c>
      <c r="H43" s="271">
        <f t="shared" si="2"/>
        <v>19.919305714279698</v>
      </c>
      <c r="I43" s="271">
        <f t="shared" si="3"/>
        <v>4.9385882309702471E-2</v>
      </c>
    </row>
    <row r="44" spans="1:9">
      <c r="A44" s="264">
        <f>'Fractal shoot'!$B$2-'Fractal shoot'!D56</f>
        <v>4.9567326732673269</v>
      </c>
      <c r="B44" s="264">
        <f>'Fractal shoot'!O57</f>
        <v>4.0150270099009865E-2</v>
      </c>
      <c r="C44" s="271">
        <f>'Fractal shoot'!E57*'Fractal shoot'!B57/100</f>
        <v>0.19999999999999982</v>
      </c>
      <c r="D44" s="271">
        <f>'Fractal shoot'!E57</f>
        <v>19.999999999999982</v>
      </c>
      <c r="E44" s="271">
        <f>'Fractal shoot'!B57</f>
        <v>1</v>
      </c>
      <c r="F44" s="271">
        <f t="shared" si="0"/>
        <v>314.15999999999946</v>
      </c>
      <c r="G44" s="271">
        <f t="shared" si="1"/>
        <v>314.15999999999946</v>
      </c>
      <c r="H44" s="271">
        <f t="shared" si="2"/>
        <v>20.075135049505004</v>
      </c>
      <c r="I44" s="271">
        <f t="shared" si="3"/>
        <v>5.1393395814652972E-2</v>
      </c>
    </row>
    <row r="45" spans="1:9">
      <c r="A45" s="264">
        <f>'Fractal shoot'!$B$2-'Fractal shoot'!D57</f>
        <v>4.8928316831683167</v>
      </c>
      <c r="B45" s="264">
        <f>'Fractal shoot'!O58</f>
        <v>4.039288871287125E-2</v>
      </c>
      <c r="C45" s="271">
        <f>'Fractal shoot'!E58*'Fractal shoot'!B58/100</f>
        <v>0.19999999999999982</v>
      </c>
      <c r="D45" s="271">
        <f>'Fractal shoot'!E58</f>
        <v>19.999999999999982</v>
      </c>
      <c r="E45" s="271">
        <f>'Fractal shoot'!B58</f>
        <v>1</v>
      </c>
      <c r="F45" s="271">
        <f t="shared" si="0"/>
        <v>314.15999999999946</v>
      </c>
      <c r="G45" s="271">
        <f t="shared" si="1"/>
        <v>314.15999999999946</v>
      </c>
      <c r="H45" s="271">
        <f t="shared" si="2"/>
        <v>20.196444356435453</v>
      </c>
      <c r="I45" s="271">
        <f t="shared" si="3"/>
        <v>5.3413040250296515E-2</v>
      </c>
    </row>
    <row r="46" spans="1:9">
      <c r="A46" s="264">
        <f>'Fractal shoot'!$B$2-'Fractal shoot'!D58</f>
        <v>4.8285445544554459</v>
      </c>
      <c r="B46" s="264">
        <f>'Fractal shoot'!O59</f>
        <v>4.0635507326732635E-2</v>
      </c>
      <c r="C46" s="271">
        <f>'Fractal shoot'!E59*'Fractal shoot'!B59/100</f>
        <v>0.19999999999999982</v>
      </c>
      <c r="D46" s="271">
        <f>'Fractal shoot'!E59</f>
        <v>19.999999999999982</v>
      </c>
      <c r="E46" s="271">
        <f>'Fractal shoot'!B59</f>
        <v>1</v>
      </c>
      <c r="F46" s="271">
        <f t="shared" si="0"/>
        <v>314.15999999999946</v>
      </c>
      <c r="G46" s="271">
        <f t="shared" si="1"/>
        <v>314.15999999999946</v>
      </c>
      <c r="H46" s="271">
        <f t="shared" si="2"/>
        <v>20.31775366336646</v>
      </c>
      <c r="I46" s="271">
        <f t="shared" si="3"/>
        <v>5.5444815616633163E-2</v>
      </c>
    </row>
    <row r="47" spans="1:9">
      <c r="A47" s="264">
        <f>'Fractal shoot'!$B$2-'Fractal shoot'!D59</f>
        <v>4.7638712871287128</v>
      </c>
      <c r="B47" s="264">
        <f>'Fractal shoot'!O60</f>
        <v>4.0878125940594028E-2</v>
      </c>
      <c r="C47" s="271">
        <f>'Fractal shoot'!E60*'Fractal shoot'!B60/100</f>
        <v>0.19999999999999982</v>
      </c>
      <c r="D47" s="271">
        <f>'Fractal shoot'!E60</f>
        <v>19.999999999999982</v>
      </c>
      <c r="E47" s="271">
        <f>'Fractal shoot'!B60</f>
        <v>1</v>
      </c>
      <c r="F47" s="271">
        <f t="shared" si="0"/>
        <v>314.15999999999946</v>
      </c>
      <c r="G47" s="271">
        <f t="shared" si="1"/>
        <v>314.15999999999946</v>
      </c>
      <c r="H47" s="271">
        <f t="shared" si="2"/>
        <v>20.439062970296909</v>
      </c>
      <c r="I47" s="271">
        <f t="shared" si="3"/>
        <v>5.7488721913662853E-2</v>
      </c>
    </row>
    <row r="48" spans="1:9">
      <c r="A48" s="264">
        <f>'Fractal shoot'!$B$2-'Fractal shoot'!D60</f>
        <v>4.698811881188119</v>
      </c>
      <c r="B48" s="264">
        <f>'Fractal shoot'!O61</f>
        <v>4.1120744554455406E-2</v>
      </c>
      <c r="C48" s="271">
        <f>'Fractal shoot'!E61*'Fractal shoot'!B61/100</f>
        <v>0.19999999999999982</v>
      </c>
      <c r="D48" s="271">
        <f>'Fractal shoot'!E61</f>
        <v>19.999999999999982</v>
      </c>
      <c r="E48" s="271">
        <f>'Fractal shoot'!B61</f>
        <v>1</v>
      </c>
      <c r="F48" s="271">
        <f t="shared" si="0"/>
        <v>314.15999999999946</v>
      </c>
      <c r="G48" s="271">
        <f t="shared" si="1"/>
        <v>314.15999999999946</v>
      </c>
      <c r="H48" s="271">
        <f t="shared" si="2"/>
        <v>20.560372277227636</v>
      </c>
      <c r="I48" s="271">
        <f t="shared" si="3"/>
        <v>5.9544759141385614E-2</v>
      </c>
    </row>
    <row r="49" spans="1:9">
      <c r="A49" s="264">
        <f>'Fractal shoot'!$B$2-'Fractal shoot'!D61</f>
        <v>4.6333663366336637</v>
      </c>
      <c r="B49" s="264">
        <f>'Fractal shoot'!O62</f>
        <v>4.1363363168316791E-2</v>
      </c>
      <c r="C49" s="271">
        <f>'Fractal shoot'!E62*'Fractal shoot'!B62/100</f>
        <v>0.19999999999999982</v>
      </c>
      <c r="D49" s="271">
        <f>'Fractal shoot'!E62</f>
        <v>19.999999999999982</v>
      </c>
      <c r="E49" s="271">
        <f>'Fractal shoot'!B62</f>
        <v>1</v>
      </c>
      <c r="F49" s="271">
        <f t="shared" si="0"/>
        <v>314.15999999999946</v>
      </c>
      <c r="G49" s="271">
        <f t="shared" si="1"/>
        <v>314.15999999999946</v>
      </c>
      <c r="H49" s="271">
        <f t="shared" si="2"/>
        <v>20.681681584158362</v>
      </c>
      <c r="I49" s="271">
        <f t="shared" si="3"/>
        <v>6.1612927299801452E-2</v>
      </c>
    </row>
    <row r="50" spans="1:9">
      <c r="A50" s="264">
        <f>'Fractal shoot'!$B$2-'Fractal shoot'!D62</f>
        <v>4.5675346534653469</v>
      </c>
      <c r="B50" s="264">
        <f>'Fractal shoot'!O63</f>
        <v>4.1605981782178184E-2</v>
      </c>
      <c r="C50" s="271">
        <f>'Fractal shoot'!E63*'Fractal shoot'!B63/100</f>
        <v>0.19999999999999982</v>
      </c>
      <c r="D50" s="271">
        <f>'Fractal shoot'!E63</f>
        <v>19.999999999999982</v>
      </c>
      <c r="E50" s="271">
        <f>'Fractal shoot'!B63</f>
        <v>1</v>
      </c>
      <c r="F50" s="271">
        <f t="shared" si="0"/>
        <v>314.15999999999946</v>
      </c>
      <c r="G50" s="271">
        <f t="shared" si="1"/>
        <v>314.15999999999946</v>
      </c>
      <c r="H50" s="271">
        <f t="shared" si="2"/>
        <v>20.802990891089092</v>
      </c>
      <c r="I50" s="271">
        <f t="shared" si="3"/>
        <v>6.3693226388910368E-2</v>
      </c>
    </row>
    <row r="51" spans="1:9">
      <c r="A51" s="264">
        <f>'Fractal shoot'!$B$2-'Fractal shoot'!D63</f>
        <v>4.5013168316831687</v>
      </c>
      <c r="B51" s="264">
        <f>'Fractal shoot'!O64</f>
        <v>4.1848600396039569E-2</v>
      </c>
      <c r="C51" s="271">
        <f>'Fractal shoot'!E64*'Fractal shoot'!B64/100</f>
        <v>0.19999999999999982</v>
      </c>
      <c r="D51" s="271">
        <f>'Fractal shoot'!E64</f>
        <v>19.999999999999982</v>
      </c>
      <c r="E51" s="271">
        <f>'Fractal shoot'!B64</f>
        <v>1</v>
      </c>
      <c r="F51" s="271">
        <f t="shared" si="0"/>
        <v>314.15999999999946</v>
      </c>
      <c r="G51" s="271">
        <f t="shared" si="1"/>
        <v>314.15999999999946</v>
      </c>
      <c r="H51" s="271">
        <f t="shared" si="2"/>
        <v>20.924300198019818</v>
      </c>
      <c r="I51" s="271">
        <f t="shared" si="3"/>
        <v>6.5785656408712354E-2</v>
      </c>
    </row>
    <row r="52" spans="1:9">
      <c r="A52" s="264">
        <f>'Fractal shoot'!$B$2-'Fractal shoot'!D64</f>
        <v>4.4347128712871289</v>
      </c>
      <c r="B52" s="264">
        <f>'Fractal shoot'!O65</f>
        <v>4.2091219009900954E-2</v>
      </c>
      <c r="C52" s="271">
        <f>'Fractal shoot'!E65*'Fractal shoot'!B65/100</f>
        <v>0.19999999999999982</v>
      </c>
      <c r="D52" s="271">
        <f>'Fractal shoot'!E65</f>
        <v>19.999999999999982</v>
      </c>
      <c r="E52" s="271">
        <f>'Fractal shoot'!B65</f>
        <v>1</v>
      </c>
      <c r="F52" s="271">
        <f t="shared" si="0"/>
        <v>314.15999999999946</v>
      </c>
      <c r="G52" s="271">
        <f t="shared" si="1"/>
        <v>314.15999999999946</v>
      </c>
      <c r="H52" s="271">
        <f t="shared" si="2"/>
        <v>21.045609504950548</v>
      </c>
      <c r="I52" s="271">
        <f t="shared" si="3"/>
        <v>6.7890217359207403E-2</v>
      </c>
    </row>
    <row r="53" spans="1:9">
      <c r="A53" s="264">
        <f>'Fractal shoot'!$B$2-'Fractal shoot'!D65</f>
        <v>4.3677227722772276</v>
      </c>
      <c r="B53" s="264">
        <f>'Fractal shoot'!O66</f>
        <v>4.233383762376234E-2</v>
      </c>
      <c r="C53" s="271">
        <f>'Fractal shoot'!E66*'Fractal shoot'!B66/100</f>
        <v>0.19999999999999982</v>
      </c>
      <c r="D53" s="271">
        <f>'Fractal shoot'!E66</f>
        <v>19.999999999999982</v>
      </c>
      <c r="E53" s="271">
        <f>'Fractal shoot'!B66</f>
        <v>1</v>
      </c>
      <c r="F53" s="271">
        <f t="shared" si="0"/>
        <v>314.15999999999946</v>
      </c>
      <c r="G53" s="271">
        <f t="shared" si="1"/>
        <v>314.15999999999946</v>
      </c>
      <c r="H53" s="271">
        <f t="shared" si="2"/>
        <v>21.166918811880997</v>
      </c>
      <c r="I53" s="271">
        <f t="shared" si="3"/>
        <v>7.0006909240395501E-2</v>
      </c>
    </row>
    <row r="54" spans="1:9">
      <c r="A54" s="264">
        <f>'Fractal shoot'!$B$2-'Fractal shoot'!D66</f>
        <v>4.3003465346534657</v>
      </c>
      <c r="B54" s="264">
        <f>'Fractal shoot'!O67</f>
        <v>4.2576456237623725E-2</v>
      </c>
      <c r="C54" s="271">
        <f>'Fractal shoot'!E67*'Fractal shoot'!B67/100</f>
        <v>0.19999999999999982</v>
      </c>
      <c r="D54" s="271">
        <f>'Fractal shoot'!E67</f>
        <v>19.999999999999982</v>
      </c>
      <c r="E54" s="271">
        <f>'Fractal shoot'!B67</f>
        <v>1</v>
      </c>
      <c r="F54" s="271">
        <f t="shared" si="0"/>
        <v>314.15999999999946</v>
      </c>
      <c r="G54" s="271">
        <f t="shared" si="1"/>
        <v>314.15999999999946</v>
      </c>
      <c r="H54" s="271">
        <f t="shared" si="2"/>
        <v>21.288228118812004</v>
      </c>
      <c r="I54" s="271">
        <f t="shared" si="3"/>
        <v>7.2135732052276705E-2</v>
      </c>
    </row>
    <row r="55" spans="1:9">
      <c r="A55" s="264">
        <f>'Fractal shoot'!$B$2-'Fractal shoot'!D67</f>
        <v>4.2325841584158415</v>
      </c>
      <c r="B55" s="264">
        <f>'Fractal shoot'!O68</f>
        <v>4.281907485148511E-2</v>
      </c>
      <c r="C55" s="271">
        <f>'Fractal shoot'!E68*'Fractal shoot'!B68/100</f>
        <v>0.19999999999999982</v>
      </c>
      <c r="D55" s="271">
        <f>'Fractal shoot'!E68</f>
        <v>19.999999999999982</v>
      </c>
      <c r="E55" s="271">
        <f>'Fractal shoot'!B68</f>
        <v>1</v>
      </c>
      <c r="F55" s="271">
        <f t="shared" si="0"/>
        <v>314.15999999999946</v>
      </c>
      <c r="G55" s="271">
        <f t="shared" si="1"/>
        <v>314.15999999999946</v>
      </c>
      <c r="H55" s="271">
        <f t="shared" si="2"/>
        <v>21.409537425742453</v>
      </c>
      <c r="I55" s="271">
        <f t="shared" si="3"/>
        <v>7.4276685794850944E-2</v>
      </c>
    </row>
    <row r="56" spans="1:9">
      <c r="A56" s="264">
        <f>'Fractal shoot'!$B$2-'Fractal shoot'!D68</f>
        <v>4.1644356435643566</v>
      </c>
      <c r="B56" s="264">
        <f>'Fractal shoot'!O69</f>
        <v>4.3061693465346489E-2</v>
      </c>
      <c r="C56" s="271">
        <f>'Fractal shoot'!E69*'Fractal shoot'!B69/100</f>
        <v>0.19999999999999982</v>
      </c>
      <c r="D56" s="271">
        <f>'Fractal shoot'!E69</f>
        <v>19.999999999999982</v>
      </c>
      <c r="E56" s="271">
        <f>'Fractal shoot'!B69</f>
        <v>1</v>
      </c>
      <c r="F56" s="271">
        <f t="shared" si="0"/>
        <v>314.15999999999946</v>
      </c>
      <c r="G56" s="271">
        <f t="shared" si="1"/>
        <v>314.15999999999946</v>
      </c>
      <c r="H56" s="271">
        <f t="shared" si="2"/>
        <v>21.530846732673179</v>
      </c>
      <c r="I56" s="271">
        <f t="shared" si="3"/>
        <v>7.642977046811826E-2</v>
      </c>
    </row>
    <row r="57" spans="1:9">
      <c r="A57" s="264">
        <f>'Fractal shoot'!$B$2-'Fractal shoot'!D69</f>
        <v>4.0959009900990102</v>
      </c>
      <c r="B57" s="264">
        <f>'Fractal shoot'!O70</f>
        <v>4.3304312079207874E-2</v>
      </c>
      <c r="C57" s="271">
        <f>'Fractal shoot'!E70*'Fractal shoot'!B70/100</f>
        <v>0.19999999999999982</v>
      </c>
      <c r="D57" s="271">
        <f>'Fractal shoot'!E70</f>
        <v>19.999999999999982</v>
      </c>
      <c r="E57" s="271">
        <f>'Fractal shoot'!B70</f>
        <v>1</v>
      </c>
      <c r="F57" s="271">
        <f t="shared" si="0"/>
        <v>314.15999999999946</v>
      </c>
      <c r="G57" s="271">
        <f t="shared" si="1"/>
        <v>314.15999999999946</v>
      </c>
      <c r="H57" s="271">
        <f t="shared" si="2"/>
        <v>21.652156039603906</v>
      </c>
      <c r="I57" s="271">
        <f t="shared" si="3"/>
        <v>7.8594986072078654E-2</v>
      </c>
    </row>
    <row r="58" spans="1:9">
      <c r="A58" s="264">
        <f>'Fractal shoot'!$B$2-'Fractal shoot'!D70</f>
        <v>4.0269801980198023</v>
      </c>
      <c r="B58" s="264">
        <f>'Fractal shoot'!O71</f>
        <v>4.3546930693069266E-2</v>
      </c>
      <c r="C58" s="271">
        <f>'Fractal shoot'!E71*'Fractal shoot'!B71/100</f>
        <v>0.19999999999999982</v>
      </c>
      <c r="D58" s="271">
        <f>'Fractal shoot'!E71</f>
        <v>19.999999999999982</v>
      </c>
      <c r="E58" s="271">
        <f>'Fractal shoot'!B71</f>
        <v>1</v>
      </c>
      <c r="F58" s="271">
        <f t="shared" si="0"/>
        <v>314.15999999999946</v>
      </c>
      <c r="G58" s="271">
        <f t="shared" si="1"/>
        <v>314.15999999999946</v>
      </c>
      <c r="H58" s="271">
        <f t="shared" si="2"/>
        <v>21.773465346534636</v>
      </c>
      <c r="I58" s="271">
        <f t="shared" si="3"/>
        <v>8.0772332606732111E-2</v>
      </c>
    </row>
    <row r="59" spans="1:9">
      <c r="A59" s="264">
        <f>'Fractal shoot'!$B$2-'Fractal shoot'!D71</f>
        <v>3.957673267326733</v>
      </c>
      <c r="B59" s="264">
        <f>'Fractal shoot'!O72</f>
        <v>4.3789549306930652E-2</v>
      </c>
      <c r="C59" s="271">
        <f>'Fractal shoot'!E72*'Fractal shoot'!B72/100</f>
        <v>0.19999999999999982</v>
      </c>
      <c r="D59" s="271">
        <f>'Fractal shoot'!E72</f>
        <v>19.999999999999982</v>
      </c>
      <c r="E59" s="271">
        <f>'Fractal shoot'!B72</f>
        <v>1</v>
      </c>
      <c r="F59" s="271">
        <f t="shared" si="0"/>
        <v>314.15999999999946</v>
      </c>
      <c r="G59" s="271">
        <f t="shared" si="1"/>
        <v>314.15999999999946</v>
      </c>
      <c r="H59" s="271">
        <f t="shared" si="2"/>
        <v>21.894774653465362</v>
      </c>
      <c r="I59" s="271">
        <f t="shared" si="3"/>
        <v>8.2961810072078646E-2</v>
      </c>
    </row>
    <row r="60" spans="1:9">
      <c r="A60" s="264">
        <f>'Fractal shoot'!$B$2-'Fractal shoot'!D72</f>
        <v>3.8879801980198021</v>
      </c>
      <c r="B60" s="264">
        <f>'Fractal shoot'!O73</f>
        <v>4.4032167920792037E-2</v>
      </c>
      <c r="C60" s="271">
        <f>'Fractal shoot'!E73*'Fractal shoot'!B73/100</f>
        <v>0.19999999999999982</v>
      </c>
      <c r="D60" s="271">
        <f>'Fractal shoot'!E73</f>
        <v>19.999999999999982</v>
      </c>
      <c r="E60" s="271">
        <f>'Fractal shoot'!B73</f>
        <v>1</v>
      </c>
      <c r="F60" s="271">
        <f t="shared" si="0"/>
        <v>314.15999999999946</v>
      </c>
      <c r="G60" s="271">
        <f t="shared" si="1"/>
        <v>314.15999999999946</v>
      </c>
      <c r="H60" s="271">
        <f t="shared" si="2"/>
        <v>22.016083960395953</v>
      </c>
      <c r="I60" s="271">
        <f t="shared" si="3"/>
        <v>8.5163418468118243E-2</v>
      </c>
    </row>
    <row r="61" spans="1:9">
      <c r="A61" s="264">
        <f>'Fractal shoot'!$B$2-'Fractal shoot'!D73</f>
        <v>3.8179009900990102</v>
      </c>
      <c r="B61" s="264">
        <f>'Fractal shoot'!O74</f>
        <v>4.4274786534653422E-2</v>
      </c>
      <c r="C61" s="271">
        <f>'Fractal shoot'!E74*'Fractal shoot'!B74/100</f>
        <v>0.19999999999999982</v>
      </c>
      <c r="D61" s="271">
        <f>'Fractal shoot'!E74</f>
        <v>19.999999999999982</v>
      </c>
      <c r="E61" s="271">
        <f>'Fractal shoot'!B74</f>
        <v>1</v>
      </c>
      <c r="F61" s="271">
        <f t="shared" si="0"/>
        <v>314.15999999999946</v>
      </c>
      <c r="G61" s="271">
        <f t="shared" si="1"/>
        <v>314.15999999999946</v>
      </c>
      <c r="H61" s="271">
        <f t="shared" si="2"/>
        <v>22.137393267326679</v>
      </c>
      <c r="I61" s="271">
        <f t="shared" si="3"/>
        <v>8.7377157794850918E-2</v>
      </c>
    </row>
    <row r="62" spans="1:9">
      <c r="A62" s="264">
        <f>'Fractal shoot'!$B$2-'Fractal shoot'!D74</f>
        <v>3.7474356435643568</v>
      </c>
      <c r="B62" s="264">
        <f>'Fractal shoot'!O75</f>
        <v>4.4517405148514808E-2</v>
      </c>
      <c r="C62" s="271">
        <f>'Fractal shoot'!E75*'Fractal shoot'!B75/100</f>
        <v>0.19999999999999982</v>
      </c>
      <c r="D62" s="271">
        <f>'Fractal shoot'!E75</f>
        <v>19.999999999999982</v>
      </c>
      <c r="E62" s="271">
        <f>'Fractal shoot'!B75</f>
        <v>1</v>
      </c>
      <c r="F62" s="271">
        <f t="shared" si="0"/>
        <v>314.15999999999946</v>
      </c>
      <c r="G62" s="271">
        <f t="shared" si="1"/>
        <v>314.15999999999946</v>
      </c>
      <c r="H62" s="271">
        <f t="shared" si="2"/>
        <v>22.258702574257406</v>
      </c>
      <c r="I62" s="271">
        <f t="shared" si="3"/>
        <v>8.9603028052276656E-2</v>
      </c>
    </row>
    <row r="63" spans="1:9">
      <c r="A63" s="264">
        <f>'Fractal shoot'!$B$2-'Fractal shoot'!D75</f>
        <v>3.6765841584158419</v>
      </c>
      <c r="B63" s="264">
        <f>'Fractal shoot'!O76</f>
        <v>4.4760023762376193E-2</v>
      </c>
      <c r="C63" s="271">
        <f>'Fractal shoot'!E76*'Fractal shoot'!B76/100</f>
        <v>0.19999999999999982</v>
      </c>
      <c r="D63" s="271">
        <f>'Fractal shoot'!E76</f>
        <v>19.999999999999982</v>
      </c>
      <c r="E63" s="271">
        <f>'Fractal shoot'!B76</f>
        <v>1</v>
      </c>
      <c r="F63" s="271">
        <f t="shared" si="0"/>
        <v>314.15999999999946</v>
      </c>
      <c r="G63" s="271">
        <f t="shared" si="1"/>
        <v>314.15999999999946</v>
      </c>
      <c r="H63" s="271">
        <f t="shared" si="2"/>
        <v>22.380011881188135</v>
      </c>
      <c r="I63" s="271">
        <f t="shared" si="3"/>
        <v>9.1841029240395472E-2</v>
      </c>
    </row>
    <row r="64" spans="1:9">
      <c r="A64" s="264">
        <f>'Fractal shoot'!$B$2-'Fractal shoot'!D76</f>
        <v>3.6053465346534654</v>
      </c>
      <c r="B64" s="264">
        <f>'Fractal shoot'!O77</f>
        <v>4.5002642376237578E-2</v>
      </c>
      <c r="C64" s="271">
        <f>'Fractal shoot'!E77*'Fractal shoot'!B77/100</f>
        <v>0.19999999999999982</v>
      </c>
      <c r="D64" s="271">
        <f>'Fractal shoot'!E77</f>
        <v>19.999999999999982</v>
      </c>
      <c r="E64" s="271">
        <f>'Fractal shoot'!B77</f>
        <v>1</v>
      </c>
      <c r="F64" s="271">
        <f t="shared" si="0"/>
        <v>314.15999999999946</v>
      </c>
      <c r="G64" s="271">
        <f t="shared" si="1"/>
        <v>314.15999999999946</v>
      </c>
      <c r="H64" s="271">
        <f t="shared" si="2"/>
        <v>22.501321188118723</v>
      </c>
      <c r="I64" s="271">
        <f t="shared" si="3"/>
        <v>9.4091161359207351E-2</v>
      </c>
    </row>
    <row r="65" spans="1:9">
      <c r="A65" s="264">
        <f>'Fractal shoot'!$B$2-'Fractal shoot'!D77</f>
        <v>3.533722772277228</v>
      </c>
      <c r="B65" s="264">
        <f>'Fractal shoot'!O78</f>
        <v>4.5245260990098971E-2</v>
      </c>
      <c r="C65" s="271">
        <f>'Fractal shoot'!E78*'Fractal shoot'!B78/100</f>
        <v>0.19999999999999982</v>
      </c>
      <c r="D65" s="271">
        <f>'Fractal shoot'!E78</f>
        <v>19.999999999999982</v>
      </c>
      <c r="E65" s="271">
        <f>'Fractal shoot'!B78</f>
        <v>1</v>
      </c>
      <c r="F65" s="271">
        <f t="shared" si="0"/>
        <v>314.15999999999946</v>
      </c>
      <c r="G65" s="271">
        <f t="shared" si="1"/>
        <v>314.15999999999946</v>
      </c>
      <c r="H65" s="271">
        <f t="shared" si="2"/>
        <v>22.622630495049449</v>
      </c>
      <c r="I65" s="271">
        <f t="shared" si="3"/>
        <v>9.6353424408712293E-2</v>
      </c>
    </row>
    <row r="66" spans="1:9">
      <c r="A66" s="264">
        <f>'Fractal shoot'!$B$2-'Fractal shoot'!D78</f>
        <v>3.461712871287129</v>
      </c>
      <c r="B66" s="264">
        <f>'Fractal shoot'!O79</f>
        <v>4.5487879603960349E-2</v>
      </c>
      <c r="C66" s="271">
        <f>'Fractal shoot'!E79*'Fractal shoot'!B79/100</f>
        <v>0.19999999999999982</v>
      </c>
      <c r="D66" s="271">
        <f>'Fractal shoot'!E79</f>
        <v>19.999999999999982</v>
      </c>
      <c r="E66" s="271">
        <f>'Fractal shoot'!B79</f>
        <v>1</v>
      </c>
      <c r="F66" s="271">
        <f t="shared" si="0"/>
        <v>314.15999999999946</v>
      </c>
      <c r="G66" s="271">
        <f t="shared" si="1"/>
        <v>314.15999999999946</v>
      </c>
      <c r="H66" s="271">
        <f t="shared" si="2"/>
        <v>22.743939801980179</v>
      </c>
      <c r="I66" s="271">
        <f t="shared" si="3"/>
        <v>9.8627818388910313E-2</v>
      </c>
    </row>
    <row r="67" spans="1:9">
      <c r="A67" s="264">
        <f>'Fractal shoot'!$B$2-'Fractal shoot'!D79</f>
        <v>3.3893168316831686</v>
      </c>
      <c r="B67" s="264">
        <f>'Fractal shoot'!O80</f>
        <v>4.5730498217821741E-2</v>
      </c>
      <c r="C67" s="271">
        <f>'Fractal shoot'!E80*'Fractal shoot'!B80/100</f>
        <v>0.19999999999999982</v>
      </c>
      <c r="D67" s="271">
        <f>'Fractal shoot'!E80</f>
        <v>19.999999999999982</v>
      </c>
      <c r="E67" s="271">
        <f>'Fractal shoot'!B80</f>
        <v>1</v>
      </c>
      <c r="F67" s="271">
        <f t="shared" si="0"/>
        <v>314.15999999999946</v>
      </c>
      <c r="G67" s="271">
        <f t="shared" si="1"/>
        <v>314.15999999999946</v>
      </c>
      <c r="H67" s="271">
        <f t="shared" si="2"/>
        <v>22.865249108910906</v>
      </c>
      <c r="I67" s="271">
        <f t="shared" si="3"/>
        <v>0.10091434329980141</v>
      </c>
    </row>
    <row r="68" spans="1:9">
      <c r="A68" s="264">
        <f>'Fractal shoot'!$B$2-'Fractal shoot'!D80</f>
        <v>3.3165346534653466</v>
      </c>
      <c r="B68" s="264">
        <f>'Fractal shoot'!O81</f>
        <v>4.5973116831683127E-2</v>
      </c>
      <c r="C68" s="271">
        <f>'Fractal shoot'!E81*'Fractal shoot'!B81/100</f>
        <v>0.19999999999999982</v>
      </c>
      <c r="D68" s="271">
        <f>'Fractal shoot'!E81</f>
        <v>19.999999999999982</v>
      </c>
      <c r="E68" s="271">
        <f>'Fractal shoot'!B81</f>
        <v>1</v>
      </c>
      <c r="F68" s="271">
        <f t="shared" si="0"/>
        <v>314.15999999999946</v>
      </c>
      <c r="G68" s="271">
        <f t="shared" si="1"/>
        <v>314.15999999999946</v>
      </c>
      <c r="H68" s="271">
        <f t="shared" si="2"/>
        <v>22.986558415841493</v>
      </c>
      <c r="I68" s="271">
        <f t="shared" si="3"/>
        <v>0.10321299914138556</v>
      </c>
    </row>
    <row r="69" spans="1:9">
      <c r="A69" s="264">
        <f>'Fractal shoot'!$B$2-'Fractal shoot'!D81</f>
        <v>3.2433663366336636</v>
      </c>
      <c r="B69" s="264">
        <f>'Fractal shoot'!O82</f>
        <v>4.6215735445544512E-2</v>
      </c>
      <c r="C69" s="271">
        <f>'Fractal shoot'!E82*'Fractal shoot'!B82/100</f>
        <v>0.19999999999999982</v>
      </c>
      <c r="D69" s="271">
        <f>'Fractal shoot'!E82</f>
        <v>19.999999999999982</v>
      </c>
      <c r="E69" s="271">
        <f>'Fractal shoot'!B82</f>
        <v>1</v>
      </c>
      <c r="F69" s="271">
        <f t="shared" si="0"/>
        <v>314.15999999999946</v>
      </c>
      <c r="G69" s="271">
        <f t="shared" si="1"/>
        <v>314.15999999999946</v>
      </c>
      <c r="H69" s="271">
        <f t="shared" si="2"/>
        <v>23.107867722772223</v>
      </c>
      <c r="I69" s="271">
        <f t="shared" si="3"/>
        <v>0.10552378591366278</v>
      </c>
    </row>
    <row r="70" spans="1:9">
      <c r="A70" s="264">
        <f>'Fractal shoot'!$B$2-'Fractal shoot'!D82</f>
        <v>3.1698118811881191</v>
      </c>
      <c r="B70" s="264">
        <f>'Fractal shoot'!O83</f>
        <v>4.6458354059405897E-2</v>
      </c>
      <c r="C70" s="271">
        <f>'Fractal shoot'!E83*'Fractal shoot'!B83/100</f>
        <v>0.19999999999999982</v>
      </c>
      <c r="D70" s="271">
        <f>'Fractal shoot'!E83</f>
        <v>19.999999999999982</v>
      </c>
      <c r="E70" s="271">
        <f>'Fractal shoot'!B83</f>
        <v>1</v>
      </c>
      <c r="F70" s="271">
        <f t="shared" si="0"/>
        <v>314.15999999999946</v>
      </c>
      <c r="G70" s="271">
        <f t="shared" si="1"/>
        <v>314.15999999999946</v>
      </c>
      <c r="H70" s="271">
        <f t="shared" si="2"/>
        <v>23.229177029702949</v>
      </c>
      <c r="I70" s="271">
        <f t="shared" si="3"/>
        <v>0.10784670361663308</v>
      </c>
    </row>
    <row r="71" spans="1:9">
      <c r="A71" s="264">
        <f>'Fractal shoot'!$B$2-'Fractal shoot'!D83</f>
        <v>3.0958712871287131</v>
      </c>
      <c r="B71" s="264">
        <f>'Fractal shoot'!O84</f>
        <v>4.6700972673267283E-2</v>
      </c>
      <c r="C71" s="271">
        <f>'Fractal shoot'!E84*'Fractal shoot'!B84/100</f>
        <v>0.19999999999999982</v>
      </c>
      <c r="D71" s="271">
        <f>'Fractal shoot'!E84</f>
        <v>19.999999999999982</v>
      </c>
      <c r="E71" s="271">
        <f>'Fractal shoot'!B84</f>
        <v>1</v>
      </c>
      <c r="F71" s="271">
        <f t="shared" si="0"/>
        <v>314.15999999999946</v>
      </c>
      <c r="G71" s="271">
        <f t="shared" si="1"/>
        <v>314.15999999999946</v>
      </c>
      <c r="H71" s="271">
        <f t="shared" si="2"/>
        <v>23.350486336633679</v>
      </c>
      <c r="I71" s="271">
        <f t="shared" si="3"/>
        <v>0.11018175225029644</v>
      </c>
    </row>
    <row r="72" spans="1:9">
      <c r="A72" s="264">
        <f>'Fractal shoot'!$B$2-'Fractal shoot'!D84</f>
        <v>3.0215445544554456</v>
      </c>
      <c r="B72" s="264">
        <f>'Fractal shoot'!O85</f>
        <v>4.6943591287128668E-2</v>
      </c>
      <c r="C72" s="271">
        <f>'Fractal shoot'!E85*'Fractal shoot'!B85/100</f>
        <v>0.19999999999999982</v>
      </c>
      <c r="D72" s="271">
        <f>'Fractal shoot'!E85</f>
        <v>19.999999999999982</v>
      </c>
      <c r="E72" s="271">
        <f>'Fractal shoot'!B85</f>
        <v>1</v>
      </c>
      <c r="F72" s="271">
        <f t="shared" si="0"/>
        <v>314.15999999999946</v>
      </c>
      <c r="G72" s="271">
        <f t="shared" si="1"/>
        <v>314.15999999999946</v>
      </c>
      <c r="H72" s="271">
        <f t="shared" si="2"/>
        <v>23.471795643564267</v>
      </c>
      <c r="I72" s="271">
        <f t="shared" si="3"/>
        <v>0.11252893181465287</v>
      </c>
    </row>
    <row r="73" spans="1:9">
      <c r="A73" s="264">
        <f>'Fractal shoot'!$B$2-'Fractal shoot'!D85</f>
        <v>2.946831683168317</v>
      </c>
      <c r="B73" s="264">
        <f>'Fractal shoot'!O86</f>
        <v>4.7186209900990053E-2</v>
      </c>
      <c r="C73" s="271">
        <f>'Fractal shoot'!E86*'Fractal shoot'!B86/100</f>
        <v>0.19999999999999982</v>
      </c>
      <c r="D73" s="271">
        <f>'Fractal shoot'!E86</f>
        <v>19.999999999999982</v>
      </c>
      <c r="E73" s="271">
        <f>'Fractal shoot'!B86</f>
        <v>1</v>
      </c>
      <c r="F73" s="271">
        <f t="shared" ref="F73:F109" si="4">3.1416*D73*D73/4</f>
        <v>314.15999999999946</v>
      </c>
      <c r="G73" s="271">
        <f t="shared" ref="G73:G136" si="5">F73*E73</f>
        <v>314.15999999999946</v>
      </c>
      <c r="H73" s="271">
        <f t="shared" ref="H73:H108" si="6">F73*(A73-A74)*E73</f>
        <v>23.593104950494993</v>
      </c>
      <c r="I73" s="271">
        <f t="shared" si="3"/>
        <v>0.11488824230970238</v>
      </c>
    </row>
    <row r="74" spans="1:9">
      <c r="A74" s="264">
        <f>'Fractal shoot'!$B$2-'Fractal shoot'!D86</f>
        <v>2.871732673267327</v>
      </c>
      <c r="B74" s="264">
        <f>'Fractal shoot'!O87</f>
        <v>4.7428828514851445E-2</v>
      </c>
      <c r="C74" s="271">
        <f>'Fractal shoot'!E87*'Fractal shoot'!B87/100</f>
        <v>0.19999999999999982</v>
      </c>
      <c r="D74" s="271">
        <f>'Fractal shoot'!E87</f>
        <v>19.999999999999982</v>
      </c>
      <c r="E74" s="271">
        <f>'Fractal shoot'!B87</f>
        <v>1</v>
      </c>
      <c r="F74" s="271">
        <f t="shared" si="4"/>
        <v>314.15999999999946</v>
      </c>
      <c r="G74" s="271">
        <f t="shared" si="5"/>
        <v>314.15999999999946</v>
      </c>
      <c r="H74" s="271">
        <f t="shared" si="6"/>
        <v>23.714414257425723</v>
      </c>
      <c r="I74" s="271">
        <f t="shared" ref="I74:I137" si="7">I73+H74/10000</f>
        <v>0.11725968373544494</v>
      </c>
    </row>
    <row r="75" spans="1:9">
      <c r="A75" s="264">
        <f>'Fractal shoot'!$B$2-'Fractal shoot'!D87</f>
        <v>2.7962475247524754</v>
      </c>
      <c r="B75" s="264">
        <f>'Fractal shoot'!O88</f>
        <v>4.7671447128712831E-2</v>
      </c>
      <c r="C75" s="271">
        <f>'Fractal shoot'!E88*'Fractal shoot'!B88/100</f>
        <v>0.19999999999999982</v>
      </c>
      <c r="D75" s="271">
        <f>'Fractal shoot'!E88</f>
        <v>19.999999999999982</v>
      </c>
      <c r="E75" s="271">
        <f>'Fractal shoot'!B88</f>
        <v>1</v>
      </c>
      <c r="F75" s="271">
        <f t="shared" si="4"/>
        <v>314.15999999999946</v>
      </c>
      <c r="G75" s="271">
        <f t="shared" si="5"/>
        <v>314.15999999999946</v>
      </c>
      <c r="H75" s="271">
        <f t="shared" si="6"/>
        <v>23.835723564356449</v>
      </c>
      <c r="I75" s="271">
        <f t="shared" si="7"/>
        <v>0.11964325609188059</v>
      </c>
    </row>
    <row r="76" spans="1:9">
      <c r="A76" s="264">
        <f>'Fractal shoot'!$B$2-'Fractal shoot'!D88</f>
        <v>2.7203762376237623</v>
      </c>
      <c r="B76" s="264">
        <f>'Fractal shoot'!O89</f>
        <v>4.7914065742574202E-2</v>
      </c>
      <c r="C76" s="271">
        <f>'Fractal shoot'!E89*'Fractal shoot'!B89/100</f>
        <v>0.19999999999999982</v>
      </c>
      <c r="D76" s="271">
        <f>'Fractal shoot'!E89</f>
        <v>19.999999999999982</v>
      </c>
      <c r="E76" s="271">
        <f>'Fractal shoot'!B89</f>
        <v>1</v>
      </c>
      <c r="F76" s="271">
        <f t="shared" si="4"/>
        <v>314.15999999999946</v>
      </c>
      <c r="G76" s="271">
        <f t="shared" si="5"/>
        <v>314.15999999999946</v>
      </c>
      <c r="H76" s="271">
        <f t="shared" si="6"/>
        <v>23.957032871287179</v>
      </c>
      <c r="I76" s="271">
        <f t="shared" si="7"/>
        <v>0.12203895937900931</v>
      </c>
    </row>
    <row r="77" spans="1:9">
      <c r="A77" s="264">
        <f>'Fractal shoot'!$B$2-'Fractal shoot'!D89</f>
        <v>2.6441188118811878</v>
      </c>
      <c r="B77" s="264">
        <f>'Fractal shoot'!O90</f>
        <v>4.8156684356435588E-2</v>
      </c>
      <c r="C77" s="271">
        <f>'Fractal shoot'!E90*'Fractal shoot'!B90/100</f>
        <v>0.19999999999999982</v>
      </c>
      <c r="D77" s="271">
        <f>'Fractal shoot'!E90</f>
        <v>19.999999999999982</v>
      </c>
      <c r="E77" s="271">
        <f>'Fractal shoot'!B90</f>
        <v>1</v>
      </c>
      <c r="F77" s="271">
        <f t="shared" si="4"/>
        <v>314.15999999999946</v>
      </c>
      <c r="G77" s="271">
        <f t="shared" si="5"/>
        <v>314.15999999999946</v>
      </c>
      <c r="H77" s="271">
        <f t="shared" si="6"/>
        <v>24.078342178217628</v>
      </c>
      <c r="I77" s="271">
        <f t="shared" si="7"/>
        <v>0.12444679359683107</v>
      </c>
    </row>
    <row r="78" spans="1:9">
      <c r="A78" s="264">
        <f>'Fractal shoot'!$B$2-'Fractal shoot'!D90</f>
        <v>2.5674752475247526</v>
      </c>
      <c r="B78" s="264">
        <f>'Fractal shoot'!O91</f>
        <v>4.8399302970296973E-2</v>
      </c>
      <c r="C78" s="271">
        <f>'Fractal shoot'!E91*'Fractal shoot'!B91/100</f>
        <v>0.19999999999999982</v>
      </c>
      <c r="D78" s="271">
        <f>'Fractal shoot'!E91</f>
        <v>19.999999999999982</v>
      </c>
      <c r="E78" s="271">
        <f>'Fractal shoot'!B91</f>
        <v>1</v>
      </c>
      <c r="F78" s="271">
        <f t="shared" si="4"/>
        <v>314.15999999999946</v>
      </c>
      <c r="G78" s="271">
        <f t="shared" si="5"/>
        <v>314.15999999999946</v>
      </c>
      <c r="H78" s="271">
        <f t="shared" si="6"/>
        <v>24.199651485148635</v>
      </c>
      <c r="I78" s="271">
        <f t="shared" si="7"/>
        <v>0.12686675874534595</v>
      </c>
    </row>
    <row r="79" spans="1:9">
      <c r="A79" s="264">
        <f>'Fractal shoot'!$B$2-'Fractal shoot'!D91</f>
        <v>2.4904455445544551</v>
      </c>
      <c r="B79" s="264">
        <f>'Fractal shoot'!O92</f>
        <v>4.8641921584158358E-2</v>
      </c>
      <c r="C79" s="271">
        <f>'Fractal shoot'!E92*'Fractal shoot'!B92/100</f>
        <v>0.19999999999999982</v>
      </c>
      <c r="D79" s="271">
        <f>'Fractal shoot'!E92</f>
        <v>19.999999999999982</v>
      </c>
      <c r="E79" s="271">
        <f>'Fractal shoot'!B92</f>
        <v>1</v>
      </c>
      <c r="F79" s="271">
        <f t="shared" si="4"/>
        <v>314.15999999999946</v>
      </c>
      <c r="G79" s="271">
        <f t="shared" si="5"/>
        <v>314.15999999999946</v>
      </c>
      <c r="H79" s="271">
        <f t="shared" si="6"/>
        <v>24.320960792079084</v>
      </c>
      <c r="I79" s="271">
        <f t="shared" si="7"/>
        <v>0.12929885482455386</v>
      </c>
    </row>
    <row r="80" spans="1:9">
      <c r="A80" s="264">
        <f>'Fractal shoot'!$B$2-'Fractal shoot'!D92</f>
        <v>2.413029702970297</v>
      </c>
      <c r="B80" s="264">
        <f>'Fractal shoot'!O93</f>
        <v>4.8884540198019744E-2</v>
      </c>
      <c r="C80" s="271">
        <f>'Fractal shoot'!E93*'Fractal shoot'!B93/100</f>
        <v>0.19999999999999982</v>
      </c>
      <c r="D80" s="271">
        <f>'Fractal shoot'!E93</f>
        <v>19.999999999999982</v>
      </c>
      <c r="E80" s="271">
        <f>'Fractal shoot'!B93</f>
        <v>1</v>
      </c>
      <c r="F80" s="271">
        <f t="shared" si="4"/>
        <v>314.15999999999946</v>
      </c>
      <c r="G80" s="271">
        <f t="shared" si="5"/>
        <v>314.15999999999946</v>
      </c>
      <c r="H80" s="271">
        <f t="shared" si="6"/>
        <v>24.442270099009811</v>
      </c>
      <c r="I80" s="271">
        <f t="shared" si="7"/>
        <v>0.13174308183445485</v>
      </c>
    </row>
    <row r="81" spans="1:9">
      <c r="A81" s="264">
        <f>'Fractal shoot'!$B$2-'Fractal shoot'!D93</f>
        <v>2.3352277227722773</v>
      </c>
      <c r="B81" s="264">
        <f>'Fractal shoot'!O94</f>
        <v>4.9127158811881129E-2</v>
      </c>
      <c r="C81" s="271">
        <f>'Fractal shoot'!E94*'Fractal shoot'!B94/100</f>
        <v>0.19999999999999982</v>
      </c>
      <c r="D81" s="271">
        <f>'Fractal shoot'!E94</f>
        <v>19.999999999999982</v>
      </c>
      <c r="E81" s="271">
        <f>'Fractal shoot'!B94</f>
        <v>1</v>
      </c>
      <c r="F81" s="271">
        <f t="shared" si="4"/>
        <v>314.15999999999946</v>
      </c>
      <c r="G81" s="271">
        <f t="shared" si="5"/>
        <v>314.15999999999946</v>
      </c>
      <c r="H81" s="271">
        <f t="shared" si="6"/>
        <v>24.563579405940537</v>
      </c>
      <c r="I81" s="271">
        <f t="shared" si="7"/>
        <v>0.13419943977504892</v>
      </c>
    </row>
    <row r="82" spans="1:9">
      <c r="A82" s="264">
        <f>'Fractal shoot'!$B$2-'Fractal shoot'!D94</f>
        <v>2.2570396039603962</v>
      </c>
      <c r="B82" s="264">
        <f>'Fractal shoot'!O95</f>
        <v>4.9369777425742528E-2</v>
      </c>
      <c r="C82" s="271">
        <f>'Fractal shoot'!E95*'Fractal shoot'!B95/100</f>
        <v>0.19999999999999982</v>
      </c>
      <c r="D82" s="271">
        <f>'Fractal shoot'!E95</f>
        <v>19.999999999999982</v>
      </c>
      <c r="E82" s="271">
        <f>'Fractal shoot'!B95</f>
        <v>1</v>
      </c>
      <c r="F82" s="271">
        <f t="shared" si="4"/>
        <v>314.15999999999946</v>
      </c>
      <c r="G82" s="271">
        <f t="shared" si="5"/>
        <v>314.15999999999946</v>
      </c>
      <c r="H82" s="271">
        <f t="shared" si="6"/>
        <v>24.684888712871267</v>
      </c>
      <c r="I82" s="271">
        <f t="shared" si="7"/>
        <v>0.13666792864633603</v>
      </c>
    </row>
    <row r="83" spans="1:9">
      <c r="A83" s="264">
        <f>'Fractal shoot'!$B$2-'Fractal shoot'!D95</f>
        <v>2.1784653465346535</v>
      </c>
      <c r="B83" s="264">
        <f>'Fractal shoot'!O96</f>
        <v>4.9612396039603907E-2</v>
      </c>
      <c r="C83" s="271">
        <f>'Fractal shoot'!E96*'Fractal shoot'!B96/100</f>
        <v>0.19999999999999982</v>
      </c>
      <c r="D83" s="271">
        <f>'Fractal shoot'!E96</f>
        <v>19.999999999999982</v>
      </c>
      <c r="E83" s="271">
        <f>'Fractal shoot'!B96</f>
        <v>1</v>
      </c>
      <c r="F83" s="271">
        <f t="shared" si="4"/>
        <v>314.15999999999946</v>
      </c>
      <c r="G83" s="271">
        <f t="shared" si="5"/>
        <v>314.15999999999946</v>
      </c>
      <c r="H83" s="271">
        <f t="shared" si="6"/>
        <v>24.806198019801993</v>
      </c>
      <c r="I83" s="271">
        <f t="shared" si="7"/>
        <v>0.13914854844831623</v>
      </c>
    </row>
    <row r="84" spans="1:9">
      <c r="A84" s="264">
        <f>'Fractal shoot'!$B$2-'Fractal shoot'!D96</f>
        <v>2.0995049504950494</v>
      </c>
      <c r="B84" s="264">
        <f>'Fractal shoot'!O97</f>
        <v>4.9855014653465292E-2</v>
      </c>
      <c r="C84" s="271">
        <f>'Fractal shoot'!E97*'Fractal shoot'!B97/100</f>
        <v>0.19999999999999982</v>
      </c>
      <c r="D84" s="271">
        <f>'Fractal shoot'!E97</f>
        <v>19.999999999999982</v>
      </c>
      <c r="E84" s="271">
        <f>'Fractal shoot'!B97</f>
        <v>1</v>
      </c>
      <c r="F84" s="271">
        <f t="shared" si="4"/>
        <v>314.15999999999946</v>
      </c>
      <c r="G84" s="271">
        <f t="shared" si="5"/>
        <v>314.15999999999946</v>
      </c>
      <c r="H84" s="271">
        <f t="shared" si="6"/>
        <v>24.927507326732723</v>
      </c>
      <c r="I84" s="271">
        <f t="shared" si="7"/>
        <v>0.1416412991809895</v>
      </c>
    </row>
    <row r="85" spans="1:9">
      <c r="A85" s="264">
        <f>'Fractal shoot'!$B$2-'Fractal shoot'!D97</f>
        <v>2.0201584158415837</v>
      </c>
      <c r="B85" s="264">
        <f>'Fractal shoot'!O98</f>
        <v>5.0097633267326677E-2</v>
      </c>
      <c r="C85" s="271">
        <f>'Fractal shoot'!E98*'Fractal shoot'!B98/100</f>
        <v>0.19999999999999982</v>
      </c>
      <c r="D85" s="271">
        <f>'Fractal shoot'!E98</f>
        <v>19.999999999999982</v>
      </c>
      <c r="E85" s="271">
        <f>'Fractal shoot'!B98</f>
        <v>1</v>
      </c>
      <c r="F85" s="271">
        <f t="shared" si="4"/>
        <v>314.15999999999946</v>
      </c>
      <c r="G85" s="271">
        <f t="shared" si="5"/>
        <v>314.15999999999946</v>
      </c>
      <c r="H85" s="271">
        <f t="shared" si="6"/>
        <v>25.048816633663172</v>
      </c>
      <c r="I85" s="271">
        <f t="shared" si="7"/>
        <v>0.14414618084435582</v>
      </c>
    </row>
    <row r="86" spans="1:9">
      <c r="A86" s="264">
        <f>'Fractal shoot'!$B$2-'Fractal shoot'!D98</f>
        <v>1.9404257425742575</v>
      </c>
      <c r="B86" s="264">
        <f>'Fractal shoot'!O99</f>
        <v>5.0340251881188063E-2</v>
      </c>
      <c r="C86" s="271">
        <f>'Fractal shoot'!E99*'Fractal shoot'!B99/100</f>
        <v>0.19999999999999982</v>
      </c>
      <c r="D86" s="271">
        <f>'Fractal shoot'!E99</f>
        <v>19.999999999999982</v>
      </c>
      <c r="E86" s="271">
        <f>'Fractal shoot'!B99</f>
        <v>1</v>
      </c>
      <c r="F86" s="271">
        <f t="shared" si="4"/>
        <v>314.15999999999946</v>
      </c>
      <c r="G86" s="271">
        <f t="shared" si="5"/>
        <v>314.15999999999946</v>
      </c>
      <c r="H86" s="271">
        <f t="shared" si="6"/>
        <v>25.170125940594179</v>
      </c>
      <c r="I86" s="271">
        <f t="shared" si="7"/>
        <v>0.14666319343841525</v>
      </c>
    </row>
    <row r="87" spans="1:9">
      <c r="A87" s="264">
        <f>'Fractal shoot'!$B$2-'Fractal shoot'!D99</f>
        <v>1.8603069306930688</v>
      </c>
      <c r="B87" s="264">
        <f>'Fractal shoot'!O100</f>
        <v>5.0582870495049448E-2</v>
      </c>
      <c r="C87" s="271">
        <f>'Fractal shoot'!E100*'Fractal shoot'!B100/100</f>
        <v>0.19999999999999982</v>
      </c>
      <c r="D87" s="271">
        <f>'Fractal shoot'!E100</f>
        <v>19.999999999999982</v>
      </c>
      <c r="E87" s="271">
        <f>'Fractal shoot'!B100</f>
        <v>1</v>
      </c>
      <c r="F87" s="271">
        <f t="shared" si="4"/>
        <v>314.15999999999946</v>
      </c>
      <c r="G87" s="271">
        <f t="shared" si="5"/>
        <v>314.15999999999946</v>
      </c>
      <c r="H87" s="271">
        <f t="shared" si="6"/>
        <v>25.291435247524628</v>
      </c>
      <c r="I87" s="271">
        <f t="shared" si="7"/>
        <v>0.14919233696316772</v>
      </c>
    </row>
    <row r="88" spans="1:9">
      <c r="A88" s="264">
        <f>'Fractal shoot'!$B$2-'Fractal shoot'!D100</f>
        <v>1.7798019801980196</v>
      </c>
      <c r="B88" s="264">
        <f>'Fractal shoot'!O101</f>
        <v>5.0825489108910833E-2</v>
      </c>
      <c r="C88" s="271">
        <f>'Fractal shoot'!E101*'Fractal shoot'!B101/100</f>
        <v>0.19999999999999982</v>
      </c>
      <c r="D88" s="271">
        <f>'Fractal shoot'!E101</f>
        <v>19.999999999999982</v>
      </c>
      <c r="E88" s="271">
        <f>'Fractal shoot'!B101</f>
        <v>1</v>
      </c>
      <c r="F88" s="271">
        <f t="shared" si="4"/>
        <v>314.15999999999946</v>
      </c>
      <c r="G88" s="271">
        <f t="shared" si="5"/>
        <v>314.15999999999946</v>
      </c>
      <c r="H88" s="271">
        <f t="shared" si="6"/>
        <v>25.412744554455355</v>
      </c>
      <c r="I88" s="271">
        <f t="shared" si="7"/>
        <v>0.15173361141861325</v>
      </c>
    </row>
    <row r="89" spans="1:9">
      <c r="A89" s="264">
        <f>'Fractal shoot'!$B$2-'Fractal shoot'!D101</f>
        <v>1.6989108910891089</v>
      </c>
      <c r="B89" s="264">
        <f>'Fractal shoot'!O102</f>
        <v>5.1068107722772232E-2</v>
      </c>
      <c r="C89" s="271">
        <f>'Fractal shoot'!E102*'Fractal shoot'!B102/100</f>
        <v>0.19999999999999982</v>
      </c>
      <c r="D89" s="271">
        <f>'Fractal shoot'!E102</f>
        <v>19.999999999999982</v>
      </c>
      <c r="E89" s="271">
        <f>'Fractal shoot'!B102</f>
        <v>1</v>
      </c>
      <c r="F89" s="271">
        <f t="shared" si="4"/>
        <v>314.15999999999946</v>
      </c>
      <c r="G89" s="271">
        <f t="shared" si="5"/>
        <v>314.15999999999946</v>
      </c>
      <c r="H89" s="271">
        <f t="shared" si="6"/>
        <v>25.534053861386081</v>
      </c>
      <c r="I89" s="271">
        <f t="shared" si="7"/>
        <v>0.15428701680475185</v>
      </c>
    </row>
    <row r="90" spans="1:9">
      <c r="A90" s="264">
        <f>'Fractal shoot'!$B$2-'Fractal shoot'!D102</f>
        <v>1.6176336633663366</v>
      </c>
      <c r="B90" s="264">
        <f>'Fractal shoot'!O103</f>
        <v>5.1310726336633611E-2</v>
      </c>
      <c r="C90" s="271">
        <f>'Fractal shoot'!E103*'Fractal shoot'!B103/100</f>
        <v>0.19999999999999982</v>
      </c>
      <c r="D90" s="271">
        <f>'Fractal shoot'!E103</f>
        <v>19.999999999999982</v>
      </c>
      <c r="E90" s="271">
        <f>'Fractal shoot'!B103</f>
        <v>1</v>
      </c>
      <c r="F90" s="271">
        <f t="shared" si="4"/>
        <v>314.15999999999946</v>
      </c>
      <c r="G90" s="271">
        <f t="shared" si="5"/>
        <v>314.15999999999946</v>
      </c>
      <c r="H90" s="271">
        <f t="shared" si="6"/>
        <v>25.655363168316811</v>
      </c>
      <c r="I90" s="271">
        <f t="shared" si="7"/>
        <v>0.15685255312158353</v>
      </c>
    </row>
    <row r="91" spans="1:9">
      <c r="A91" s="264">
        <f>'Fractal shoot'!$B$2-'Fractal shoot'!D103</f>
        <v>1.5359702970297029</v>
      </c>
      <c r="B91" s="264">
        <f>'Fractal shoot'!O104</f>
        <v>5.1553344950494989E-2</v>
      </c>
      <c r="C91" s="271">
        <f>'Fractal shoot'!E104*'Fractal shoot'!B104/100</f>
        <v>0.19999999999999982</v>
      </c>
      <c r="D91" s="271">
        <f>'Fractal shoot'!E104</f>
        <v>19.999999999999982</v>
      </c>
      <c r="E91" s="271">
        <f>'Fractal shoot'!B104</f>
        <v>1</v>
      </c>
      <c r="F91" s="271">
        <f t="shared" si="4"/>
        <v>314.15999999999946</v>
      </c>
      <c r="G91" s="271">
        <f t="shared" si="5"/>
        <v>314.15999999999946</v>
      </c>
      <c r="H91" s="271">
        <f t="shared" si="6"/>
        <v>25.776672475247537</v>
      </c>
      <c r="I91" s="271">
        <f t="shared" si="7"/>
        <v>0.15943022036910828</v>
      </c>
    </row>
    <row r="92" spans="1:9">
      <c r="A92" s="264">
        <f>'Fractal shoot'!$B$2-'Fractal shoot'!D104</f>
        <v>1.4539207920792077</v>
      </c>
      <c r="B92" s="264">
        <f>'Fractal shoot'!O105</f>
        <v>5.1795963564356381E-2</v>
      </c>
      <c r="C92" s="271">
        <f>'Fractal shoot'!E105*'Fractal shoot'!B105/100</f>
        <v>0.19999999999999982</v>
      </c>
      <c r="D92" s="271">
        <f>'Fractal shoot'!E105</f>
        <v>19.999999999999982</v>
      </c>
      <c r="E92" s="271">
        <f>'Fractal shoot'!B105</f>
        <v>1</v>
      </c>
      <c r="F92" s="271">
        <f t="shared" si="4"/>
        <v>314.15999999999946</v>
      </c>
      <c r="G92" s="271">
        <f t="shared" si="5"/>
        <v>314.15999999999946</v>
      </c>
      <c r="H92" s="271">
        <f t="shared" si="6"/>
        <v>25.897981782178267</v>
      </c>
      <c r="I92" s="271">
        <f t="shared" si="7"/>
        <v>0.16202001854732612</v>
      </c>
    </row>
    <row r="93" spans="1:9">
      <c r="A93" s="264">
        <f>'Fractal shoot'!$B$2-'Fractal shoot'!D105</f>
        <v>1.3714851485148509</v>
      </c>
      <c r="B93" s="264">
        <f>'Fractal shoot'!O106</f>
        <v>5.2038582178217767E-2</v>
      </c>
      <c r="C93" s="271">
        <f>'Fractal shoot'!E106*'Fractal shoot'!B106/100</f>
        <v>0.19999999999999982</v>
      </c>
      <c r="D93" s="271">
        <f>'Fractal shoot'!E106</f>
        <v>19.999999999999982</v>
      </c>
      <c r="E93" s="271">
        <f>'Fractal shoot'!B106</f>
        <v>1</v>
      </c>
      <c r="F93" s="271">
        <f t="shared" si="4"/>
        <v>314.15999999999946</v>
      </c>
      <c r="G93" s="271">
        <f t="shared" si="5"/>
        <v>314.15999999999946</v>
      </c>
      <c r="H93" s="271">
        <f t="shared" si="6"/>
        <v>26.019291089108716</v>
      </c>
      <c r="I93" s="271">
        <f t="shared" si="7"/>
        <v>0.164621947656237</v>
      </c>
    </row>
    <row r="94" spans="1:9">
      <c r="A94" s="264">
        <f>'Fractal shoot'!$B$2-'Fractal shoot'!D106</f>
        <v>1.2886633663366336</v>
      </c>
      <c r="B94" s="264">
        <f>'Fractal shoot'!O107</f>
        <v>5.2281200792079152E-2</v>
      </c>
      <c r="C94" s="271">
        <f>'Fractal shoot'!E107*'Fractal shoot'!B107/100</f>
        <v>0.19999999999999982</v>
      </c>
      <c r="D94" s="271">
        <f>'Fractal shoot'!E107</f>
        <v>19.999999999999982</v>
      </c>
      <c r="E94" s="271">
        <f>'Fractal shoot'!B107</f>
        <v>1</v>
      </c>
      <c r="F94" s="271">
        <f t="shared" si="4"/>
        <v>314.15999999999946</v>
      </c>
      <c r="G94" s="271">
        <f t="shared" si="5"/>
        <v>314.15999999999946</v>
      </c>
      <c r="H94" s="271">
        <f t="shared" si="6"/>
        <v>26.140600396039723</v>
      </c>
      <c r="I94" s="271">
        <f t="shared" si="7"/>
        <v>0.16723600769584096</v>
      </c>
    </row>
    <row r="95" spans="1:9">
      <c r="A95" s="264">
        <f>'Fractal shoot'!$B$2-'Fractal shoot'!D107</f>
        <v>1.2054554455445539</v>
      </c>
      <c r="B95" s="264">
        <f>'Fractal shoot'!O108</f>
        <v>5.2523819405940537E-2</v>
      </c>
      <c r="C95" s="271">
        <f>'Fractal shoot'!E108*'Fractal shoot'!B108/100</f>
        <v>0.19999999999999982</v>
      </c>
      <c r="D95" s="271">
        <f>'Fractal shoot'!E108</f>
        <v>19.999999999999982</v>
      </c>
      <c r="E95" s="271">
        <f>'Fractal shoot'!B108</f>
        <v>1</v>
      </c>
      <c r="F95" s="271">
        <f t="shared" si="4"/>
        <v>314.15999999999946</v>
      </c>
      <c r="G95" s="271">
        <f t="shared" si="5"/>
        <v>314.15999999999946</v>
      </c>
      <c r="H95" s="271">
        <f t="shared" si="6"/>
        <v>26.261909702970172</v>
      </c>
      <c r="I95" s="271">
        <f t="shared" si="7"/>
        <v>0.16986219866613797</v>
      </c>
    </row>
    <row r="96" spans="1:9">
      <c r="A96" s="264">
        <f>'Fractal shoot'!$B$2-'Fractal shoot'!D108</f>
        <v>1.1218613861386135</v>
      </c>
      <c r="B96" s="264">
        <f>'Fractal shoot'!O109</f>
        <v>5.2766438019801923E-2</v>
      </c>
      <c r="C96" s="271">
        <f>'Fractal shoot'!E109*'Fractal shoot'!B109/100</f>
        <v>0.19999999999999982</v>
      </c>
      <c r="D96" s="271">
        <f>'Fractal shoot'!E109</f>
        <v>19.999999999999982</v>
      </c>
      <c r="E96" s="271">
        <f>'Fractal shoot'!B109</f>
        <v>1</v>
      </c>
      <c r="F96" s="271">
        <f t="shared" si="4"/>
        <v>314.15999999999946</v>
      </c>
      <c r="G96" s="271">
        <f t="shared" si="5"/>
        <v>314.15999999999946</v>
      </c>
      <c r="H96" s="271">
        <f t="shared" si="6"/>
        <v>26.383219009900898</v>
      </c>
      <c r="I96" s="271">
        <f t="shared" si="7"/>
        <v>0.17250052056712806</v>
      </c>
    </row>
    <row r="97" spans="1:9">
      <c r="A97" s="264">
        <f>'Fractal shoot'!$B$2-'Fractal shoot'!D109</f>
        <v>1.0378811881188117</v>
      </c>
      <c r="B97" s="264">
        <f>'Fractal shoot'!O110</f>
        <v>5.3009056633663315E-2</v>
      </c>
      <c r="C97" s="271">
        <f>'Fractal shoot'!E110*'Fractal shoot'!B110/100</f>
        <v>0.19999999999999982</v>
      </c>
      <c r="D97" s="271">
        <f>'Fractal shoot'!E110</f>
        <v>19.999999999999982</v>
      </c>
      <c r="E97" s="271">
        <f>'Fractal shoot'!B110</f>
        <v>1</v>
      </c>
      <c r="F97" s="271">
        <f t="shared" si="4"/>
        <v>314.15999999999946</v>
      </c>
      <c r="G97" s="271">
        <f t="shared" si="5"/>
        <v>314.15999999999946</v>
      </c>
      <c r="H97" s="271">
        <f t="shared" si="6"/>
        <v>26.504528316831625</v>
      </c>
      <c r="I97" s="271">
        <f t="shared" si="7"/>
        <v>0.17515097339881122</v>
      </c>
    </row>
    <row r="98" spans="1:9">
      <c r="A98" s="264">
        <f>'Fractal shoot'!$B$2-'Fractal shoot'!D110</f>
        <v>0.95351485148514836</v>
      </c>
      <c r="B98" s="264">
        <f>'Fractal shoot'!O111</f>
        <v>5.3251675247524694E-2</v>
      </c>
      <c r="C98" s="271">
        <f>'Fractal shoot'!E111*'Fractal shoot'!B111/100</f>
        <v>0.19999999999999982</v>
      </c>
      <c r="D98" s="271">
        <f>'Fractal shoot'!E111</f>
        <v>19.999999999999982</v>
      </c>
      <c r="E98" s="271">
        <f>'Fractal shoot'!B111</f>
        <v>1</v>
      </c>
      <c r="F98" s="271">
        <f t="shared" si="4"/>
        <v>314.15999999999946</v>
      </c>
      <c r="G98" s="271">
        <f t="shared" si="5"/>
        <v>314.15999999999946</v>
      </c>
      <c r="H98" s="271">
        <f t="shared" si="6"/>
        <v>26.625837623762354</v>
      </c>
      <c r="I98" s="271">
        <f t="shared" si="7"/>
        <v>0.17781355716118746</v>
      </c>
    </row>
    <row r="99" spans="1:9">
      <c r="A99" s="264">
        <f>'Fractal shoot'!$B$2-'Fractal shoot'!D111</f>
        <v>0.86876237623762353</v>
      </c>
      <c r="B99" s="264">
        <f>'Fractal shoot'!O112</f>
        <v>5.3494293861386086E-2</v>
      </c>
      <c r="C99" s="271">
        <f>'Fractal shoot'!E112*'Fractal shoot'!B112/100</f>
        <v>0.19999999999999982</v>
      </c>
      <c r="D99" s="271">
        <f>'Fractal shoot'!E112</f>
        <v>19.999999999999982</v>
      </c>
      <c r="E99" s="271">
        <f>'Fractal shoot'!B112</f>
        <v>1</v>
      </c>
      <c r="F99" s="271">
        <f t="shared" si="4"/>
        <v>314.15999999999946</v>
      </c>
      <c r="G99" s="271">
        <f t="shared" si="5"/>
        <v>314.15999999999946</v>
      </c>
      <c r="H99" s="271">
        <f t="shared" si="6"/>
        <v>26.747146930693081</v>
      </c>
      <c r="I99" s="271">
        <f t="shared" si="7"/>
        <v>0.18048827185425678</v>
      </c>
    </row>
    <row r="100" spans="1:9">
      <c r="A100" s="264">
        <f>'Fractal shoot'!$B$2-'Fractal shoot'!D112</f>
        <v>0.78362376237623721</v>
      </c>
      <c r="B100" s="264">
        <f>'Fractal shoot'!O113</f>
        <v>5.3736912475247471E-2</v>
      </c>
      <c r="C100" s="271">
        <f>'Fractal shoot'!E113*'Fractal shoot'!B113/100</f>
        <v>0.19999999999999982</v>
      </c>
      <c r="D100" s="271">
        <f>'Fractal shoot'!E113</f>
        <v>19.999999999999982</v>
      </c>
      <c r="E100" s="271">
        <f>'Fractal shoot'!B113</f>
        <v>1</v>
      </c>
      <c r="F100" s="271">
        <f t="shared" si="4"/>
        <v>314.15999999999946</v>
      </c>
      <c r="G100" s="271">
        <f t="shared" si="5"/>
        <v>314.15999999999946</v>
      </c>
      <c r="H100" s="271">
        <f t="shared" si="6"/>
        <v>26.868456237623811</v>
      </c>
      <c r="I100" s="271">
        <f t="shared" si="7"/>
        <v>0.18317511747801915</v>
      </c>
    </row>
    <row r="101" spans="1:9">
      <c r="A101" s="264">
        <f>'Fractal shoot'!$B$2-'Fractal shoot'!D113</f>
        <v>0.69809900990098939</v>
      </c>
      <c r="B101" s="264">
        <f>'Fractal shoot'!O114</f>
        <v>5.397953108910885E-2</v>
      </c>
      <c r="C101" s="271">
        <f>'Fractal shoot'!E114*'Fractal shoot'!B114/100</f>
        <v>0.19999999999999982</v>
      </c>
      <c r="D101" s="271">
        <f>'Fractal shoot'!E114</f>
        <v>19.999999999999982</v>
      </c>
      <c r="E101" s="271">
        <f>'Fractal shoot'!B114</f>
        <v>1</v>
      </c>
      <c r="F101" s="271">
        <f t="shared" si="4"/>
        <v>314.15999999999946</v>
      </c>
      <c r="G101" s="271">
        <f t="shared" si="5"/>
        <v>314.15999999999946</v>
      </c>
      <c r="H101" s="271">
        <f t="shared" si="6"/>
        <v>26.989765544553979</v>
      </c>
      <c r="I101" s="271">
        <f t="shared" si="7"/>
        <v>0.18587409403247454</v>
      </c>
    </row>
    <row r="102" spans="1:9">
      <c r="A102" s="264">
        <f>'Fractal shoot'!$B$2-'Fractal shoot'!D114</f>
        <v>0.61218811881188184</v>
      </c>
      <c r="B102" s="264">
        <f>'Fractal shoot'!O115</f>
        <v>5.4222149702970242E-2</v>
      </c>
      <c r="C102" s="271">
        <f>'Fractal shoot'!E115*'Fractal shoot'!B115/100</f>
        <v>0.19999999999999982</v>
      </c>
      <c r="D102" s="271">
        <f>'Fractal shoot'!E115</f>
        <v>19.999999999999982</v>
      </c>
      <c r="E102" s="271">
        <f>'Fractal shoot'!B115</f>
        <v>1</v>
      </c>
      <c r="F102" s="271">
        <f t="shared" si="4"/>
        <v>314.15999999999946</v>
      </c>
      <c r="G102" s="271">
        <f t="shared" si="5"/>
        <v>314.15999999999946</v>
      </c>
      <c r="H102" s="271">
        <f t="shared" si="6"/>
        <v>27.111074851484986</v>
      </c>
      <c r="I102" s="271">
        <f t="shared" si="7"/>
        <v>0.18858520151762304</v>
      </c>
    </row>
    <row r="103" spans="1:9">
      <c r="A103" s="264">
        <f>'Fractal shoot'!$B$2-'Fractal shoot'!D115</f>
        <v>0.52589108910891191</v>
      </c>
      <c r="B103" s="264">
        <f>'Fractal shoot'!O116</f>
        <v>5.4464768316831627E-2</v>
      </c>
      <c r="C103" s="271">
        <f>'Fractal shoot'!E116*'Fractal shoot'!B116/100</f>
        <v>0.19999999999999982</v>
      </c>
      <c r="D103" s="271">
        <f>'Fractal shoot'!E116</f>
        <v>19.999999999999982</v>
      </c>
      <c r="E103" s="271">
        <f>'Fractal shoot'!B116</f>
        <v>1</v>
      </c>
      <c r="F103" s="271">
        <f t="shared" si="4"/>
        <v>314.15999999999946</v>
      </c>
      <c r="G103" s="271">
        <f t="shared" si="5"/>
        <v>314.15999999999946</v>
      </c>
      <c r="H103" s="271">
        <f t="shared" si="6"/>
        <v>27.232384158415716</v>
      </c>
      <c r="I103" s="271">
        <f t="shared" si="7"/>
        <v>0.19130843993346461</v>
      </c>
    </row>
    <row r="104" spans="1:9">
      <c r="A104" s="264">
        <f>'Fractal shoot'!$B$2-'Fractal shoot'!D116</f>
        <v>0.43920792079208049</v>
      </c>
      <c r="B104" s="264">
        <f>'Fractal shoot'!O117</f>
        <v>5.4707386930693019E-2</v>
      </c>
      <c r="C104" s="271">
        <f>'Fractal shoot'!E117*'Fractal shoot'!B117/100</f>
        <v>0.19999999999999982</v>
      </c>
      <c r="D104" s="271">
        <f>'Fractal shoot'!E117</f>
        <v>19.999999999999982</v>
      </c>
      <c r="E104" s="271">
        <f>'Fractal shoot'!B117</f>
        <v>1</v>
      </c>
      <c r="F104" s="271">
        <f t="shared" si="4"/>
        <v>314.15999999999946</v>
      </c>
      <c r="G104" s="271">
        <f t="shared" si="5"/>
        <v>314.15999999999946</v>
      </c>
      <c r="H104" s="271">
        <f t="shared" si="6"/>
        <v>27.353693465346719</v>
      </c>
      <c r="I104" s="271">
        <f t="shared" si="7"/>
        <v>0.19404380927999929</v>
      </c>
    </row>
    <row r="105" spans="1:9">
      <c r="A105" s="264">
        <f>'Fractal shoot'!$B$2-'Fractal shoot'!D117</f>
        <v>0.35213861386138667</v>
      </c>
      <c r="B105" s="264">
        <f>'Fractal shoot'!O118</f>
        <v>5.4950005544554398E-2</v>
      </c>
      <c r="C105" s="271">
        <f>'Fractal shoot'!E118*'Fractal shoot'!B118/100</f>
        <v>0.19999999999999982</v>
      </c>
      <c r="D105" s="271">
        <f>'Fractal shoot'!E118</f>
        <v>19.999999999999982</v>
      </c>
      <c r="E105" s="271">
        <f>'Fractal shoot'!B118</f>
        <v>1</v>
      </c>
      <c r="F105" s="271">
        <f t="shared" si="4"/>
        <v>314.15999999999946</v>
      </c>
      <c r="G105" s="271">
        <f t="shared" si="5"/>
        <v>314.15999999999946</v>
      </c>
      <c r="H105" s="271">
        <f t="shared" si="6"/>
        <v>27.475002772277168</v>
      </c>
      <c r="I105" s="271">
        <f t="shared" si="7"/>
        <v>0.19679130955722701</v>
      </c>
    </row>
    <row r="106" spans="1:9">
      <c r="A106" s="264">
        <f>'Fractal shoot'!$B$2-'Fractal shoot'!D118</f>
        <v>0.26468316831683225</v>
      </c>
      <c r="B106" s="264">
        <f>'Fractal shoot'!O119</f>
        <v>5.5192624158415783E-2</v>
      </c>
      <c r="C106" s="271">
        <f>'Fractal shoot'!E119*'Fractal shoot'!B119/100</f>
        <v>0.19999999999999982</v>
      </c>
      <c r="D106" s="271">
        <f>'Fractal shoot'!E119</f>
        <v>19.999999999999982</v>
      </c>
      <c r="E106" s="271">
        <f>'Fractal shoot'!B119</f>
        <v>1</v>
      </c>
      <c r="F106" s="271">
        <f t="shared" si="4"/>
        <v>314.15999999999946</v>
      </c>
      <c r="G106" s="271">
        <f t="shared" si="5"/>
        <v>314.15999999999946</v>
      </c>
      <c r="H106" s="271">
        <f t="shared" si="6"/>
        <v>27.596312079207898</v>
      </c>
      <c r="I106" s="271">
        <f t="shared" si="7"/>
        <v>0.19955094076514779</v>
      </c>
    </row>
    <row r="107" spans="1:9">
      <c r="A107" s="264">
        <f>'Fractal shoot'!$B$2-'Fractal shoot'!D119</f>
        <v>0.17684158415841633</v>
      </c>
      <c r="B107" s="264">
        <f>'Fractal shoot'!O120</f>
        <v>5.5435242772277175E-2</v>
      </c>
      <c r="C107" s="271">
        <f>'Fractal shoot'!E120*'Fractal shoot'!B120/100</f>
        <v>0.19999999999999982</v>
      </c>
      <c r="D107" s="271">
        <f>'Fractal shoot'!E120</f>
        <v>19.999999999999982</v>
      </c>
      <c r="E107" s="271">
        <f>'Fractal shoot'!B120</f>
        <v>1</v>
      </c>
      <c r="F107" s="271">
        <f t="shared" si="4"/>
        <v>314.15999999999946</v>
      </c>
      <c r="G107" s="271">
        <f t="shared" si="5"/>
        <v>314.15999999999946</v>
      </c>
      <c r="H107" s="271">
        <f t="shared" si="6"/>
        <v>27.717621386138347</v>
      </c>
      <c r="I107" s="271">
        <f t="shared" si="7"/>
        <v>0.20232270290376161</v>
      </c>
    </row>
    <row r="108" spans="1:9">
      <c r="A108" s="264">
        <f>'Fractal shoot'!$B$2-'Fractal shoot'!D120</f>
        <v>8.8613861386139803E-2</v>
      </c>
      <c r="B108" s="264">
        <f>'Fractal shoot'!O121</f>
        <v>5.5677861386138554E-2</v>
      </c>
      <c r="C108" s="271">
        <f>'Fractal shoot'!E121*'Fractal shoot'!B121/100</f>
        <v>0.19999999999999982</v>
      </c>
      <c r="D108" s="271">
        <f>'Fractal shoot'!E121</f>
        <v>19.999999999999982</v>
      </c>
      <c r="E108" s="271">
        <f>'Fractal shoot'!B121</f>
        <v>1</v>
      </c>
      <c r="F108" s="271">
        <f t="shared" si="4"/>
        <v>314.15999999999946</v>
      </c>
      <c r="G108" s="271">
        <f t="shared" si="5"/>
        <v>314.15999999999946</v>
      </c>
      <c r="H108" s="271">
        <f t="shared" si="6"/>
        <v>27.838930693069631</v>
      </c>
      <c r="I108" s="271">
        <f t="shared" si="7"/>
        <v>0.20510659597306857</v>
      </c>
    </row>
    <row r="109" spans="1:9">
      <c r="A109" s="264">
        <f>'Fractal shoot'!$B$2-'Fractal shoot'!D121</f>
        <v>0</v>
      </c>
      <c r="B109" s="264">
        <f>B108</f>
        <v>5.5677861386138554E-2</v>
      </c>
      <c r="C109" s="271">
        <f>C108</f>
        <v>0.19999999999999982</v>
      </c>
      <c r="D109" s="271">
        <f>D108</f>
        <v>19.999999999999982</v>
      </c>
      <c r="E109" s="271">
        <f>E108</f>
        <v>1</v>
      </c>
      <c r="F109" s="271">
        <f t="shared" si="4"/>
        <v>314.15999999999946</v>
      </c>
      <c r="G109" s="271">
        <f t="shared" si="5"/>
        <v>314.15999999999946</v>
      </c>
      <c r="H109" s="271">
        <f>H108</f>
        <v>27.838930693069631</v>
      </c>
      <c r="I109" s="271">
        <f>I108</f>
        <v>0.20510659597306857</v>
      </c>
    </row>
    <row r="110" spans="1:9">
      <c r="A110" s="264"/>
    </row>
    <row r="111" spans="1:9">
      <c r="A111" s="264">
        <f>-'Fractal root'!$B$2+'Fractal root'!D21</f>
        <v>-2.7500000000000004</v>
      </c>
      <c r="B111">
        <f>3*'Fractal root'!O21</f>
        <v>18</v>
      </c>
      <c r="C111">
        <f>'Fractal root'!E21*'Fractal root'!B21/100*3</f>
        <v>114.5912910618793</v>
      </c>
      <c r="D111">
        <f>'Fractal root'!E21</f>
        <v>0.1</v>
      </c>
      <c r="E111">
        <f>'Fractal root'!B21</f>
        <v>38197.097020626432</v>
      </c>
      <c r="F111" s="271">
        <f>3.1416*D111*D111/4*3</f>
        <v>2.3562E-2</v>
      </c>
      <c r="G111" s="271">
        <f t="shared" si="5"/>
        <v>900</v>
      </c>
      <c r="H111" s="271">
        <f>F111*(-A111+A112)*E111</f>
        <v>44.599009900990438</v>
      </c>
      <c r="I111" s="271">
        <f t="shared" si="7"/>
        <v>4.4599009900990437E-3</v>
      </c>
    </row>
    <row r="112" spans="1:9">
      <c r="A112" s="264">
        <f>-'Fractal root'!$B$2+'Fractal root'!D22</f>
        <v>-2.7004455445544555</v>
      </c>
      <c r="B112" s="264">
        <f>3*'Fractal root'!O22</f>
        <v>12.789229075840376</v>
      </c>
      <c r="C112" s="271">
        <f>'Fractal root'!E22*'Fractal root'!B22/100*3</f>
        <v>82.150605738791242</v>
      </c>
      <c r="D112" s="271">
        <f>'Fractal root'!E22</f>
        <v>0.13131630441411868</v>
      </c>
      <c r="E112" s="271">
        <f>'Fractal root'!B22</f>
        <v>20853.111400323236</v>
      </c>
      <c r="F112" s="271">
        <f t="shared" ref="F112:F175" si="8">3.1416*D112*D112/4*3</f>
        <v>4.0630246366897375E-2</v>
      </c>
      <c r="G112" s="271">
        <f t="shared" si="5"/>
        <v>847.26705371148944</v>
      </c>
      <c r="H112" s="271">
        <f t="shared" ref="H112:H175" si="9">F112*(-A112+A113)*E112</f>
        <v>41.608362241672808</v>
      </c>
      <c r="I112" s="271">
        <f t="shared" si="7"/>
        <v>8.6207372142663233E-3</v>
      </c>
    </row>
    <row r="113" spans="1:9">
      <c r="A113" s="264">
        <f>-'Fractal root'!$B$2+'Fractal root'!D23</f>
        <v>-2.6513366336633668</v>
      </c>
      <c r="B113" s="264">
        <f>3*'Fractal root'!O23</f>
        <v>9.0861754498471416</v>
      </c>
      <c r="C113" s="271">
        <f>'Fractal root'!E23*'Fractal root'!B23/100*3</f>
        <v>58.893847522897801</v>
      </c>
      <c r="D113" s="271">
        <f>'Fractal root'!E23</f>
        <v>0.17243971804981487</v>
      </c>
      <c r="E113" s="271">
        <f>'Fractal root'!B23</f>
        <v>11384.432037844936</v>
      </c>
      <c r="F113" s="271">
        <f t="shared" si="8"/>
        <v>7.0062682278022995E-2</v>
      </c>
      <c r="G113" s="271">
        <f t="shared" si="5"/>
        <v>797.62384478327556</v>
      </c>
      <c r="H113" s="271">
        <f t="shared" si="9"/>
        <v>38.815061357522886</v>
      </c>
      <c r="I113" s="271">
        <f t="shared" si="7"/>
        <v>1.2502243350018611E-2</v>
      </c>
    </row>
    <row r="114" spans="1:9">
      <c r="A114" s="264">
        <f>-'Fractal root'!$B$2+'Fractal root'!D24</f>
        <v>-2.602673267326733</v>
      </c>
      <c r="B114" s="264">
        <f>3*'Fractal root'!O24</f>
        <v>6.4547900641103801</v>
      </c>
      <c r="C114" s="271">
        <f>'Fractal root'!E24*'Fractal root'!B24/100*3</f>
        <v>42.22105540011286</v>
      </c>
      <c r="D114" s="271">
        <f>'Fractal root'!E24</f>
        <v>0.22644146508514285</v>
      </c>
      <c r="E114" s="271">
        <f>'Fractal root'!B24</f>
        <v>6215.1537166919479</v>
      </c>
      <c r="F114" s="271">
        <f t="shared" si="8"/>
        <v>0.12081589177836044</v>
      </c>
      <c r="G114" s="271">
        <f t="shared" si="5"/>
        <v>750.8893388217291</v>
      </c>
      <c r="H114" s="271">
        <f t="shared" si="9"/>
        <v>36.206248317443631</v>
      </c>
      <c r="I114" s="271">
        <f t="shared" si="7"/>
        <v>1.6122868181762975E-2</v>
      </c>
    </row>
    <row r="115" spans="1:9">
      <c r="A115" s="264">
        <f>-'Fractal root'!$B$2+'Fractal root'!D25</f>
        <v>-2.5544554455445549</v>
      </c>
      <c r="B115" s="264">
        <f>3*'Fractal root'!O25</f>
        <v>4.5850778971805237</v>
      </c>
      <c r="C115" s="271">
        <f>'Fractal root'!E25*'Fractal root'!B25/100*3</f>
        <v>30.268314842332593</v>
      </c>
      <c r="D115" s="271">
        <f>'Fractal root'!E25</f>
        <v>0.29735456361099649</v>
      </c>
      <c r="E115" s="271">
        <f>'Fractal root'!B25</f>
        <v>3393.0665661404405</v>
      </c>
      <c r="F115" s="271">
        <f t="shared" si="8"/>
        <v>0.20833458314197426</v>
      </c>
      <c r="G115" s="271">
        <f t="shared" si="5"/>
        <v>706.89310862983871</v>
      </c>
      <c r="H115" s="271">
        <f t="shared" si="9"/>
        <v>33.769893555831672</v>
      </c>
      <c r="I115" s="271">
        <f t="shared" si="7"/>
        <v>1.9499857537346142E-2</v>
      </c>
    </row>
    <row r="116" spans="1:9">
      <c r="A116" s="264">
        <f>-'Fractal root'!$B$2+'Fractal root'!D26</f>
        <v>-2.5066831683168318</v>
      </c>
      <c r="B116" s="264">
        <f>3*'Fractal root'!O26</f>
        <v>3.2566735913315901</v>
      </c>
      <c r="C116" s="271">
        <f>'Fractal root'!E26*'Fractal root'!B26/100*3</f>
        <v>21.699383748519988</v>
      </c>
      <c r="D116" s="271">
        <f>'Fractal root'!E26</f>
        <v>0.39047502394069028</v>
      </c>
      <c r="E116" s="271">
        <f>'Fractal root'!B26</f>
        <v>1852.3919515200487</v>
      </c>
      <c r="F116" s="271">
        <f t="shared" si="8"/>
        <v>0.35925156777027739</v>
      </c>
      <c r="G116" s="271">
        <f t="shared" si="5"/>
        <v>665.47471270862115</v>
      </c>
      <c r="H116" s="271">
        <f t="shared" si="9"/>
        <v>31.494743829180319</v>
      </c>
      <c r="I116" s="271">
        <f t="shared" si="7"/>
        <v>2.2649331920264172E-2</v>
      </c>
    </row>
    <row r="117" spans="1:9">
      <c r="A117" s="264">
        <f>-'Fractal root'!$B$2+'Fractal root'!D27</f>
        <v>-2.4593564356435644</v>
      </c>
      <c r="B117" s="264">
        <f>3*'Fractal root'!O27</f>
        <v>2.3129378806156229</v>
      </c>
      <c r="C117" s="271">
        <f>'Fractal root'!E27*'Fractal root'!B27/100*3</f>
        <v>15.556308883340758</v>
      </c>
      <c r="D117" s="271">
        <f>'Fractal root'!E27</f>
        <v>0.51275737109905961</v>
      </c>
      <c r="E117" s="271">
        <f>'Fractal root'!B27</f>
        <v>1011.2845932048328</v>
      </c>
      <c r="F117" s="271">
        <f t="shared" si="8"/>
        <v>0.61949239055260574</v>
      </c>
      <c r="G117" s="271">
        <f t="shared" si="5"/>
        <v>626.48311017348135</v>
      </c>
      <c r="H117" s="271">
        <f t="shared" si="9"/>
        <v>29.370272541301148</v>
      </c>
      <c r="I117" s="271">
        <f t="shared" si="7"/>
        <v>2.5586359174394287E-2</v>
      </c>
    </row>
    <row r="118" spans="1:9">
      <c r="A118" s="264">
        <f>-'Fractal root'!$B$2+'Fractal root'!D28</f>
        <v>-2.4124752475247528</v>
      </c>
      <c r="B118" s="264">
        <f>3*'Fractal root'!O28</f>
        <v>1.6425371962706068</v>
      </c>
      <c r="C118" s="271">
        <f>'Fractal root'!E28*'Fractal root'!B28/100*3</f>
        <v>11.152332659696487</v>
      </c>
      <c r="D118" s="271">
        <f>'Fractal root'!E28</f>
        <v>0.67333403033827333</v>
      </c>
      <c r="E118" s="271">
        <f>'Fractal root'!B28</f>
        <v>552.09510471812018</v>
      </c>
      <c r="F118" s="271">
        <f t="shared" si="8"/>
        <v>1.0682509316089712</v>
      </c>
      <c r="G118" s="271">
        <f t="shared" si="5"/>
        <v>589.77610995188445</v>
      </c>
      <c r="H118" s="271">
        <f t="shared" si="9"/>
        <v>27.386633224498553</v>
      </c>
      <c r="I118" s="271">
        <f t="shared" si="7"/>
        <v>2.8325022496844141E-2</v>
      </c>
    </row>
    <row r="119" spans="1:9">
      <c r="A119" s="264">
        <f>-'Fractal root'!$B$2+'Fractal root'!D29</f>
        <v>-2.3660396039603961</v>
      </c>
      <c r="B119" s="264">
        <f>3*'Fractal root'!O29</f>
        <v>1.1663455323246932</v>
      </c>
      <c r="C119" s="271">
        <f>'Fractal root'!E29*'Fractal root'!B29/100*3</f>
        <v>7.9951179090899611</v>
      </c>
      <c r="D119" s="271">
        <f>'Fractal root'!E29</f>
        <v>0.88419736500286139</v>
      </c>
      <c r="E119" s="271">
        <f>'Fractal root'!B29</f>
        <v>301.40774090876897</v>
      </c>
      <c r="F119" s="271">
        <f t="shared" si="8"/>
        <v>1.8420888945310314</v>
      </c>
      <c r="G119" s="271">
        <f t="shared" si="5"/>
        <v>555.21985225372975</v>
      </c>
      <c r="H119" s="271">
        <f t="shared" si="9"/>
        <v>25.534615977411594</v>
      </c>
      <c r="I119" s="271">
        <f t="shared" si="7"/>
        <v>3.0878484094585299E-2</v>
      </c>
    </row>
    <row r="120" spans="1:9">
      <c r="A120" s="264">
        <f>-'Fractal root'!$B$2+'Fractal root'!D30</f>
        <v>-2.3200495049504952</v>
      </c>
      <c r="B120" s="264">
        <f>3*'Fractal root'!O30</f>
        <v>0.82813142163935982</v>
      </c>
      <c r="C120" s="271">
        <f>'Fractal root'!E30*'Fractal root'!B30/100*3</f>
        <v>5.7317076463526737</v>
      </c>
      <c r="D120" s="271">
        <f>'Fractal root'!E30</f>
        <v>1.1610953034487737</v>
      </c>
      <c r="E120" s="271">
        <f>'Fractal root'!B30</f>
        <v>164.54887120600463</v>
      </c>
      <c r="F120" s="271">
        <f t="shared" si="8"/>
        <v>3.1764928959562626</v>
      </c>
      <c r="G120" s="271">
        <f t="shared" si="5"/>
        <v>522.68832042349572</v>
      </c>
      <c r="H120" s="271">
        <f t="shared" si="9"/>
        <v>23.805606672753292</v>
      </c>
      <c r="I120" s="271">
        <f t="shared" si="7"/>
        <v>3.3259044761860632E-2</v>
      </c>
    </row>
    <row r="121" spans="1:9">
      <c r="A121" s="264">
        <f>-'Fractal root'!$B$2+'Fractal root'!D31</f>
        <v>-2.2745049504950496</v>
      </c>
      <c r="B121" s="264">
        <f>3*'Fractal root'!O31</f>
        <v>0.58793665097878001</v>
      </c>
      <c r="C121" s="271">
        <f>'Fractal root'!E31*'Fractal root'!B31/100*3</f>
        <v>4.1090666725385567</v>
      </c>
      <c r="D121" s="271">
        <f>'Fractal root'!E31</f>
        <v>1.5247074432148267</v>
      </c>
      <c r="E121" s="271">
        <f>'Fractal root'!B31</f>
        <v>89.832898563032757</v>
      </c>
      <c r="F121" s="271">
        <f t="shared" si="8"/>
        <v>5.4775353936593776</v>
      </c>
      <c r="G121" s="271">
        <f t="shared" si="5"/>
        <v>492.06288139402454</v>
      </c>
      <c r="H121" s="271">
        <f t="shared" si="9"/>
        <v>22.191548759898904</v>
      </c>
      <c r="I121" s="271">
        <f t="shared" si="7"/>
        <v>3.5478199637850524E-2</v>
      </c>
    </row>
    <row r="122" spans="1:9">
      <c r="A122" s="264">
        <f>-'Fractal root'!$B$2+'Fractal root'!D32</f>
        <v>-2.2294059405940594</v>
      </c>
      <c r="B122" s="264">
        <f>3*'Fractal root'!O32</f>
        <v>0.41736905055996443</v>
      </c>
      <c r="C122" s="271">
        <f>'Fractal root'!E32*'Fractal root'!B32/100*3</f>
        <v>2.9457938124445953</v>
      </c>
      <c r="D122" s="271">
        <f>'Fractal root'!E32</f>
        <v>2.0021894675567071</v>
      </c>
      <c r="E122" s="271">
        <f>'Fractal root'!B32</f>
        <v>49.042874649277131</v>
      </c>
      <c r="F122" s="271">
        <f t="shared" si="8"/>
        <v>9.4454465889050425</v>
      </c>
      <c r="G122" s="271">
        <f t="shared" si="5"/>
        <v>463.23185306611225</v>
      </c>
      <c r="H122" s="271">
        <f t="shared" si="9"/>
        <v>20.684907498298593</v>
      </c>
      <c r="I122" s="271">
        <f t="shared" si="7"/>
        <v>3.7546690387680381E-2</v>
      </c>
    </row>
    <row r="123" spans="1:9">
      <c r="A123" s="264">
        <f>-'Fractal root'!$B$2+'Fractal root'!D33</f>
        <v>-2.1847524752475249</v>
      </c>
      <c r="B123" s="264">
        <f>3*'Fractal root'!O33</f>
        <v>0.29625627610784971</v>
      </c>
      <c r="C123" s="271">
        <f>'Fractal root'!E33*'Fractal root'!B33/100*3</f>
        <v>2.1118423907382922</v>
      </c>
      <c r="D123" s="271">
        <f>'Fractal root'!E33</f>
        <v>2.6292012161641876</v>
      </c>
      <c r="E123" s="271">
        <f>'Fractal root'!B33</f>
        <v>26.774195114911695</v>
      </c>
      <c r="F123" s="271">
        <f t="shared" si="8"/>
        <v>16.287701466453711</v>
      </c>
      <c r="G123" s="271">
        <f t="shared" si="5"/>
        <v>436.09009703626504</v>
      </c>
      <c r="H123" s="271">
        <f t="shared" si="9"/>
        <v>19.278636467989308</v>
      </c>
      <c r="I123" s="271">
        <f t="shared" si="7"/>
        <v>3.947455403447931E-2</v>
      </c>
    </row>
    <row r="124" spans="1:9">
      <c r="A124" s="264">
        <f>-'Fractal root'!$B$2+'Fractal root'!D34</f>
        <v>-2.1405445544554458</v>
      </c>
      <c r="B124" s="264">
        <f>3*'Fractal root'!O34</f>
        <v>0.2102672517660224</v>
      </c>
      <c r="C124" s="271">
        <f>'Fractal root'!E34*'Fractal root'!B34/100*3</f>
        <v>1.513981821972175</v>
      </c>
      <c r="D124" s="271">
        <f>'Fractal root'!E34</f>
        <v>3.4525698726778766</v>
      </c>
      <c r="E124" s="271">
        <f>'Fractal root'!B34</f>
        <v>14.616955657225681</v>
      </c>
      <c r="F124" s="271">
        <f t="shared" si="8"/>
        <v>28.086466485548364</v>
      </c>
      <c r="G124" s="271">
        <f t="shared" si="5"/>
        <v>410.53863518741565</v>
      </c>
      <c r="H124" s="271">
        <f t="shared" si="9"/>
        <v>17.966146213152264</v>
      </c>
      <c r="I124" s="271">
        <f t="shared" si="7"/>
        <v>4.1271168655794534E-2</v>
      </c>
    </row>
    <row r="125" spans="1:9">
      <c r="A125" s="264">
        <f>-'Fractal root'!$B$2+'Fractal root'!D35</f>
        <v>-2.096782178217822</v>
      </c>
      <c r="B125" s="264">
        <f>3*'Fractal root'!O35</f>
        <v>0.14922156900377684</v>
      </c>
      <c r="C125" s="271">
        <f>'Fractal root'!E35*'Fractal root'!B35/100*3</f>
        <v>1.0853750106137705</v>
      </c>
      <c r="D125" s="271">
        <f>'Fractal root'!E35</f>
        <v>4.5337871641158278</v>
      </c>
      <c r="E125" s="271">
        <f>'Fractal root'!B35</f>
        <v>7.9798997418341813</v>
      </c>
      <c r="F125" s="271">
        <f t="shared" si="8"/>
        <v>48.432223617835291</v>
      </c>
      <c r="G125" s="271">
        <f t="shared" si="5"/>
        <v>386.48428874441919</v>
      </c>
      <c r="H125" s="271">
        <f t="shared" si="9"/>
        <v>16.741274883731084</v>
      </c>
      <c r="I125" s="271">
        <f t="shared" si="7"/>
        <v>4.2945296144167644E-2</v>
      </c>
    </row>
    <row r="126" spans="1:9">
      <c r="A126" s="264">
        <f>-'Fractal root'!$B$2+'Fractal root'!D36</f>
        <v>-2.0534653465346535</v>
      </c>
      <c r="B126" s="264">
        <f>3*'Fractal root'!O36</f>
        <v>0.1058879517710212</v>
      </c>
      <c r="C126" s="271">
        <f>'Fractal root'!E36*'Fractal root'!B36/100*3</f>
        <v>0.77810637919699799</v>
      </c>
      <c r="D126" s="271">
        <f>'Fractal root'!E36</f>
        <v>5.953601753918579</v>
      </c>
      <c r="E126" s="271">
        <f>'Fractal root'!B36</f>
        <v>4.3565022281672272</v>
      </c>
      <c r="F126" s="271">
        <f t="shared" si="8"/>
        <v>83.516389851851031</v>
      </c>
      <c r="G126" s="271">
        <f t="shared" si="5"/>
        <v>363.8393384780718</v>
      </c>
      <c r="H126" s="271">
        <f t="shared" si="9"/>
        <v>15.598260748614299</v>
      </c>
      <c r="I126" s="271">
        <f t="shared" si="7"/>
        <v>4.4505122219029074E-2</v>
      </c>
    </row>
    <row r="127" spans="1:9">
      <c r="A127" s="264">
        <f>-'Fractal root'!$B$2+'Fractal root'!D37</f>
        <v>-2.0105940594059408</v>
      </c>
      <c r="B127" s="264">
        <f>3*'Fractal root'!O37</f>
        <v>7.5130372867285258E-2</v>
      </c>
      <c r="C127" s="271">
        <f>'Fractal root'!E37*'Fractal root'!B37/100*3</f>
        <v>0.5578252045849903</v>
      </c>
      <c r="D127" s="271">
        <f>'Fractal root'!E37</f>
        <v>7.8180498027800329</v>
      </c>
      <c r="E127" s="271">
        <f>'Fractal root'!B37</f>
        <v>2.378364676003268</v>
      </c>
      <c r="F127" s="271">
        <f t="shared" si="8"/>
        <v>144.01542718591617</v>
      </c>
      <c r="G127" s="271">
        <f t="shared" si="5"/>
        <v>342.52120481850375</v>
      </c>
      <c r="H127" s="271">
        <f t="shared" si="9"/>
        <v>14.531716461854316</v>
      </c>
      <c r="I127" s="271">
        <f t="shared" si="7"/>
        <v>4.5958293865214508E-2</v>
      </c>
    </row>
    <row r="128" spans="1:9">
      <c r="A128" s="264">
        <f>-'Fractal root'!$B$2+'Fractal root'!D38</f>
        <v>-1.9681683168316835</v>
      </c>
      <c r="B128" s="264">
        <f>3*'Fractal root'!O38</f>
        <v>5.3301279164790397E-2</v>
      </c>
      <c r="C128" s="271">
        <f>'Fractal root'!E38*'Fractal root'!B38/100*3</f>
        <v>0.39990542063337275</v>
      </c>
      <c r="D128" s="271">
        <f>'Fractal root'!E38</f>
        <v>10.266374078266029</v>
      </c>
      <c r="E128" s="271">
        <f>'Fractal root'!B38</f>
        <v>1.2984312266586076</v>
      </c>
      <c r="F128" s="271">
        <f t="shared" si="8"/>
        <v>248.33979658763008</v>
      </c>
      <c r="G128" s="271">
        <f t="shared" si="5"/>
        <v>322.4521467114256</v>
      </c>
      <c r="H128" s="271">
        <f t="shared" si="9"/>
        <v>13.536604970855899</v>
      </c>
      <c r="I128" s="271">
        <f t="shared" si="7"/>
        <v>4.7311954362300096E-2</v>
      </c>
    </row>
    <row r="129" spans="1:9">
      <c r="A129" s="264">
        <f>-'Fractal root'!$B$2+'Fractal root'!D39</f>
        <v>-1.9261881188118815</v>
      </c>
      <c r="B129" s="264">
        <f>3*'Fractal root'!O39</f>
        <v>4.5686300721440705E-2</v>
      </c>
      <c r="C129" s="271">
        <f>'Fractal root'!E39*'Fractal root'!B39/100*3</f>
        <v>0.34641016151377546</v>
      </c>
      <c r="D129" s="271">
        <f>'Fractal root'!E39</f>
        <v>11.547005383792516</v>
      </c>
      <c r="E129" s="271">
        <f>'Fractal root'!B39</f>
        <v>1</v>
      </c>
      <c r="F129" s="271">
        <f t="shared" si="8"/>
        <v>314.16000000000008</v>
      </c>
      <c r="G129" s="271">
        <f t="shared" si="5"/>
        <v>314.16000000000008</v>
      </c>
      <c r="H129" s="271">
        <f t="shared" si="9"/>
        <v>13.048526732673247</v>
      </c>
      <c r="I129" s="271">
        <f t="shared" si="7"/>
        <v>4.8616807035567422E-2</v>
      </c>
    </row>
    <row r="130" spans="1:9">
      <c r="A130" s="264">
        <f>-'Fractal root'!$B$2+'Fractal root'!D40</f>
        <v>-1.884653465346535</v>
      </c>
      <c r="B130" s="264">
        <f>3*'Fractal root'!O40</f>
        <v>4.5201422529821643E-2</v>
      </c>
      <c r="C130" s="271">
        <f>'Fractal root'!E40*'Fractal root'!B40/100*3</f>
        <v>0.34641016151377546</v>
      </c>
      <c r="D130" s="271">
        <f>'Fractal root'!E40</f>
        <v>11.547005383792516</v>
      </c>
      <c r="E130" s="271">
        <f>'Fractal root'!B40</f>
        <v>1</v>
      </c>
      <c r="F130" s="271">
        <f t="shared" si="8"/>
        <v>314.16000000000008</v>
      </c>
      <c r="G130" s="271">
        <f t="shared" si="5"/>
        <v>314.16000000000008</v>
      </c>
      <c r="H130" s="271">
        <f t="shared" si="9"/>
        <v>12.908554455445559</v>
      </c>
      <c r="I130" s="271">
        <f t="shared" si="7"/>
        <v>4.9907662481111975E-2</v>
      </c>
    </row>
    <row r="131" spans="1:9">
      <c r="A131" s="264">
        <f>-'Fractal root'!$B$2+'Fractal root'!D41</f>
        <v>-1.8435643564356439</v>
      </c>
      <c r="B131" s="264">
        <f>3*'Fractal root'!O41</f>
        <v>4.4716544338202581E-2</v>
      </c>
      <c r="C131" s="271">
        <f>'Fractal root'!E41*'Fractal root'!B41/100*3</f>
        <v>0.34641016151377546</v>
      </c>
      <c r="D131" s="271">
        <f>'Fractal root'!E41</f>
        <v>11.547005383792516</v>
      </c>
      <c r="E131" s="271">
        <f>'Fractal root'!B41</f>
        <v>1</v>
      </c>
      <c r="F131" s="271">
        <f t="shared" si="8"/>
        <v>314.16000000000008</v>
      </c>
      <c r="G131" s="271">
        <f t="shared" si="5"/>
        <v>314.16000000000008</v>
      </c>
      <c r="H131" s="271">
        <f t="shared" si="9"/>
        <v>12.768582178217802</v>
      </c>
      <c r="I131" s="271">
        <f t="shared" si="7"/>
        <v>5.1184520698933755E-2</v>
      </c>
    </row>
    <row r="132" spans="1:9">
      <c r="A132" s="264">
        <f>-'Fractal root'!$B$2+'Fractal root'!D42</f>
        <v>-1.8029207920792083</v>
      </c>
      <c r="B132" s="264">
        <f>3*'Fractal root'!O42</f>
        <v>4.4231666146583505E-2</v>
      </c>
      <c r="C132" s="271">
        <f>'Fractal root'!E42*'Fractal root'!B42/100*3</f>
        <v>0.34641016151377546</v>
      </c>
      <c r="D132" s="271">
        <f>'Fractal root'!E42</f>
        <v>11.547005383792516</v>
      </c>
      <c r="E132" s="271">
        <f>'Fractal root'!B42</f>
        <v>1</v>
      </c>
      <c r="F132" s="271">
        <f t="shared" si="8"/>
        <v>314.16000000000008</v>
      </c>
      <c r="G132" s="271">
        <f t="shared" si="5"/>
        <v>314.16000000000008</v>
      </c>
      <c r="H132" s="271">
        <f t="shared" si="9"/>
        <v>12.628609900990114</v>
      </c>
      <c r="I132" s="271">
        <f t="shared" si="7"/>
        <v>5.244738168903277E-2</v>
      </c>
    </row>
    <row r="133" spans="1:9">
      <c r="A133" s="264">
        <f>-'Fractal root'!$B$2+'Fractal root'!D43</f>
        <v>-1.7627227722772281</v>
      </c>
      <c r="B133" s="264">
        <f>3*'Fractal root'!O43</f>
        <v>4.3746787954964443E-2</v>
      </c>
      <c r="C133" s="271">
        <f>'Fractal root'!E43*'Fractal root'!B43/100*3</f>
        <v>0.34641016151377546</v>
      </c>
      <c r="D133" s="271">
        <f>'Fractal root'!E43</f>
        <v>11.547005383792516</v>
      </c>
      <c r="E133" s="271">
        <f>'Fractal root'!B43</f>
        <v>1</v>
      </c>
      <c r="F133" s="271">
        <f t="shared" si="8"/>
        <v>314.16000000000008</v>
      </c>
      <c r="G133" s="271">
        <f t="shared" si="5"/>
        <v>314.16000000000008</v>
      </c>
      <c r="H133" s="271">
        <f t="shared" si="9"/>
        <v>12.488637623762425</v>
      </c>
      <c r="I133" s="271">
        <f t="shared" si="7"/>
        <v>5.3696245451409011E-2</v>
      </c>
    </row>
    <row r="134" spans="1:9">
      <c r="A134" s="264">
        <f>-'Fractal root'!$B$2+'Fractal root'!D44</f>
        <v>-1.7229702970297032</v>
      </c>
      <c r="B134" s="264">
        <f>3*'Fractal root'!O44</f>
        <v>4.3261909763345381E-2</v>
      </c>
      <c r="C134" s="271">
        <f>'Fractal root'!E44*'Fractal root'!B44/100*3</f>
        <v>0.34641016151377546</v>
      </c>
      <c r="D134" s="271">
        <f>'Fractal root'!E44</f>
        <v>11.547005383792516</v>
      </c>
      <c r="E134" s="271">
        <f>'Fractal root'!B44</f>
        <v>1</v>
      </c>
      <c r="F134" s="271">
        <f t="shared" si="8"/>
        <v>314.16000000000008</v>
      </c>
      <c r="G134" s="271">
        <f t="shared" si="5"/>
        <v>314.16000000000008</v>
      </c>
      <c r="H134" s="271">
        <f t="shared" si="9"/>
        <v>12.348665346534597</v>
      </c>
      <c r="I134" s="271">
        <f t="shared" si="7"/>
        <v>5.4931111986062472E-2</v>
      </c>
    </row>
    <row r="135" spans="1:9">
      <c r="A135" s="264">
        <f>-'Fractal root'!$B$2+'Fractal root'!D45</f>
        <v>-1.683663366336634</v>
      </c>
      <c r="B135" s="264">
        <f>3*'Fractal root'!O45</f>
        <v>4.2777031571726312E-2</v>
      </c>
      <c r="C135" s="271">
        <f>'Fractal root'!E45*'Fractal root'!B45/100*3</f>
        <v>0.34641016151377546</v>
      </c>
      <c r="D135" s="271">
        <f>'Fractal root'!E45</f>
        <v>11.547005383792516</v>
      </c>
      <c r="E135" s="271">
        <f>'Fractal root'!B45</f>
        <v>1</v>
      </c>
      <c r="F135" s="271">
        <f t="shared" si="8"/>
        <v>314.16000000000008</v>
      </c>
      <c r="G135" s="271">
        <f t="shared" si="5"/>
        <v>314.16000000000008</v>
      </c>
      <c r="H135" s="271">
        <f t="shared" si="9"/>
        <v>12.20869306930698</v>
      </c>
      <c r="I135" s="271">
        <f t="shared" si="7"/>
        <v>5.6151981292993168E-2</v>
      </c>
    </row>
    <row r="136" spans="1:9">
      <c r="A136" s="264">
        <f>-'Fractal root'!$B$2+'Fractal root'!D46</f>
        <v>-1.64480198019802</v>
      </c>
      <c r="B136" s="264">
        <f>3*'Fractal root'!O46</f>
        <v>4.2292153380107257E-2</v>
      </c>
      <c r="C136" s="271">
        <f>'Fractal root'!E46*'Fractal root'!B46/100*3</f>
        <v>0.34641016151377546</v>
      </c>
      <c r="D136" s="271">
        <f>'Fractal root'!E46</f>
        <v>11.547005383792516</v>
      </c>
      <c r="E136" s="271">
        <f>'Fractal root'!B46</f>
        <v>1</v>
      </c>
      <c r="F136" s="271">
        <f t="shared" si="8"/>
        <v>314.16000000000008</v>
      </c>
      <c r="G136" s="271">
        <f t="shared" si="5"/>
        <v>314.16000000000008</v>
      </c>
      <c r="H136" s="271">
        <f t="shared" si="9"/>
        <v>12.068720792079223</v>
      </c>
      <c r="I136" s="271">
        <f t="shared" si="7"/>
        <v>5.7358853372201091E-2</v>
      </c>
    </row>
    <row r="137" spans="1:9">
      <c r="A137" s="264">
        <f>-'Fractal root'!$B$2+'Fractal root'!D47</f>
        <v>-1.6063861386138616</v>
      </c>
      <c r="B137" s="264">
        <f>3*'Fractal root'!O47</f>
        <v>4.1807275188488188E-2</v>
      </c>
      <c r="C137" s="271">
        <f>'Fractal root'!E47*'Fractal root'!B47/100*3</f>
        <v>0.34641016151377546</v>
      </c>
      <c r="D137" s="271">
        <f>'Fractal root'!E47</f>
        <v>11.547005383792516</v>
      </c>
      <c r="E137" s="271">
        <f>'Fractal root'!B47</f>
        <v>1</v>
      </c>
      <c r="F137" s="271">
        <f t="shared" si="8"/>
        <v>314.16000000000008</v>
      </c>
      <c r="G137" s="271">
        <f t="shared" ref="G137:G200" si="10">F137*E137</f>
        <v>314.16000000000008</v>
      </c>
      <c r="H137" s="271">
        <f t="shared" si="9"/>
        <v>11.928748514851534</v>
      </c>
      <c r="I137" s="271">
        <f t="shared" si="7"/>
        <v>5.8551728223686247E-2</v>
      </c>
    </row>
    <row r="138" spans="1:9">
      <c r="A138" s="264">
        <f>-'Fractal root'!$B$2+'Fractal root'!D48</f>
        <v>-1.5684158415841585</v>
      </c>
      <c r="B138" s="264">
        <f>3*'Fractal root'!O48</f>
        <v>4.1322396996869126E-2</v>
      </c>
      <c r="C138" s="271">
        <f>'Fractal root'!E48*'Fractal root'!B48/100*3</f>
        <v>0.34641016151377546</v>
      </c>
      <c r="D138" s="271">
        <f>'Fractal root'!E48</f>
        <v>11.547005383792516</v>
      </c>
      <c r="E138" s="271">
        <f>'Fractal root'!B48</f>
        <v>1</v>
      </c>
      <c r="F138" s="271">
        <f t="shared" si="8"/>
        <v>314.16000000000008</v>
      </c>
      <c r="G138" s="271">
        <f t="shared" si="10"/>
        <v>314.16000000000008</v>
      </c>
      <c r="H138" s="271">
        <f t="shared" si="9"/>
        <v>11.788776237623706</v>
      </c>
      <c r="I138" s="271">
        <f t="shared" ref="I138:I201" si="11">I137+H138/10000</f>
        <v>5.9730605847448617E-2</v>
      </c>
    </row>
    <row r="139" spans="1:9">
      <c r="A139" s="264">
        <f>-'Fractal root'!$B$2+'Fractal root'!D49</f>
        <v>-1.5308910891089111</v>
      </c>
      <c r="B139" s="264">
        <f>3*'Fractal root'!O49</f>
        <v>4.0837518805250057E-2</v>
      </c>
      <c r="C139" s="271">
        <f>'Fractal root'!E49*'Fractal root'!B49/100*3</f>
        <v>0.34641016151377546</v>
      </c>
      <c r="D139" s="271">
        <f>'Fractal root'!E49</f>
        <v>11.547005383792516</v>
      </c>
      <c r="E139" s="271">
        <f>'Fractal root'!B49</f>
        <v>1</v>
      </c>
      <c r="F139" s="271">
        <f t="shared" si="8"/>
        <v>314.16000000000008</v>
      </c>
      <c r="G139" s="271">
        <f t="shared" si="10"/>
        <v>314.16000000000008</v>
      </c>
      <c r="H139" s="271">
        <f t="shared" si="9"/>
        <v>11.648803960396087</v>
      </c>
      <c r="I139" s="271">
        <f t="shared" si="11"/>
        <v>6.0895486243488228E-2</v>
      </c>
    </row>
    <row r="140" spans="1:9">
      <c r="A140" s="264">
        <f>-'Fractal root'!$B$2+'Fractal root'!D50</f>
        <v>-1.4938118811881189</v>
      </c>
      <c r="B140" s="264">
        <f>3*'Fractal root'!O50</f>
        <v>4.0352640613630995E-2</v>
      </c>
      <c r="C140" s="271">
        <f>'Fractal root'!E50*'Fractal root'!B50/100*3</f>
        <v>0.34641016151377546</v>
      </c>
      <c r="D140" s="271">
        <f>'Fractal root'!E50</f>
        <v>11.547005383792516</v>
      </c>
      <c r="E140" s="271">
        <f>'Fractal root'!B50</f>
        <v>1</v>
      </c>
      <c r="F140" s="271">
        <f t="shared" si="8"/>
        <v>314.16000000000008</v>
      </c>
      <c r="G140" s="271">
        <f t="shared" si="10"/>
        <v>314.16000000000008</v>
      </c>
      <c r="H140" s="271">
        <f t="shared" si="9"/>
        <v>11.50883168316833</v>
      </c>
      <c r="I140" s="271">
        <f t="shared" si="11"/>
        <v>6.2046369411805059E-2</v>
      </c>
    </row>
    <row r="141" spans="1:9">
      <c r="A141" s="264">
        <f>-'Fractal root'!$B$2+'Fractal root'!D51</f>
        <v>-1.4571782178217823</v>
      </c>
      <c r="B141" s="264">
        <f>3*'Fractal root'!O51</f>
        <v>3.986776242201194E-2</v>
      </c>
      <c r="C141" s="271">
        <f>'Fractal root'!E51*'Fractal root'!B51/100*3</f>
        <v>0.34641016151377546</v>
      </c>
      <c r="D141" s="271">
        <f>'Fractal root'!E51</f>
        <v>11.547005383792516</v>
      </c>
      <c r="E141" s="271">
        <f>'Fractal root'!B51</f>
        <v>1</v>
      </c>
      <c r="F141" s="271">
        <f t="shared" si="8"/>
        <v>314.16000000000008</v>
      </c>
      <c r="G141" s="271">
        <f t="shared" si="10"/>
        <v>314.16000000000008</v>
      </c>
      <c r="H141" s="271">
        <f t="shared" si="9"/>
        <v>11.368859405940572</v>
      </c>
      <c r="I141" s="271">
        <f t="shared" si="11"/>
        <v>6.3183255352399117E-2</v>
      </c>
    </row>
    <row r="142" spans="1:9">
      <c r="A142" s="264">
        <f>-'Fractal root'!$B$2+'Fractal root'!D52</f>
        <v>-1.4209900990099011</v>
      </c>
      <c r="B142" s="264">
        <f>3*'Fractal root'!O52</f>
        <v>3.9382884230392871E-2</v>
      </c>
      <c r="C142" s="271">
        <f>'Fractal root'!E52*'Fractal root'!B52/100*3</f>
        <v>0.34641016151377546</v>
      </c>
      <c r="D142" s="271">
        <f>'Fractal root'!E52</f>
        <v>11.547005383792516</v>
      </c>
      <c r="E142" s="271">
        <f>'Fractal root'!B52</f>
        <v>1</v>
      </c>
      <c r="F142" s="271">
        <f t="shared" si="8"/>
        <v>314.16000000000008</v>
      </c>
      <c r="G142" s="271">
        <f t="shared" si="10"/>
        <v>314.16000000000008</v>
      </c>
      <c r="H142" s="271">
        <f t="shared" si="9"/>
        <v>11.228887128712884</v>
      </c>
      <c r="I142" s="271">
        <f t="shared" si="11"/>
        <v>6.430614406527041E-2</v>
      </c>
    </row>
    <row r="143" spans="1:9">
      <c r="A143" s="264">
        <f>-'Fractal root'!$B$2+'Fractal root'!D53</f>
        <v>-1.3852475247524754</v>
      </c>
      <c r="B143" s="264">
        <f>3*'Fractal root'!O53</f>
        <v>3.8898006038773809E-2</v>
      </c>
      <c r="C143" s="271">
        <f>'Fractal root'!E53*'Fractal root'!B53/100*3</f>
        <v>0.34641016151377546</v>
      </c>
      <c r="D143" s="271">
        <f>'Fractal root'!E53</f>
        <v>11.547005383792516</v>
      </c>
      <c r="E143" s="271">
        <f>'Fractal root'!B53</f>
        <v>1</v>
      </c>
      <c r="F143" s="271">
        <f t="shared" si="8"/>
        <v>314.16000000000008</v>
      </c>
      <c r="G143" s="271">
        <f t="shared" si="10"/>
        <v>314.16000000000008</v>
      </c>
      <c r="H143" s="271">
        <f t="shared" si="9"/>
        <v>11.088914851485127</v>
      </c>
      <c r="I143" s="271">
        <f t="shared" si="11"/>
        <v>6.5415035550418929E-2</v>
      </c>
    </row>
    <row r="144" spans="1:9">
      <c r="A144" s="264">
        <f>-'Fractal root'!$B$2+'Fractal root'!D54</f>
        <v>-1.3499504950495052</v>
      </c>
      <c r="B144" s="264">
        <f>3*'Fractal root'!O54</f>
        <v>3.841312784715474E-2</v>
      </c>
      <c r="C144" s="271">
        <f>'Fractal root'!E54*'Fractal root'!B54/100*3</f>
        <v>0.34641016151377546</v>
      </c>
      <c r="D144" s="271">
        <f>'Fractal root'!E54</f>
        <v>11.547005383792516</v>
      </c>
      <c r="E144" s="271">
        <f>'Fractal root'!B54</f>
        <v>1</v>
      </c>
      <c r="F144" s="271">
        <f t="shared" si="8"/>
        <v>314.16000000000008</v>
      </c>
      <c r="G144" s="271">
        <f t="shared" si="10"/>
        <v>314.16000000000008</v>
      </c>
      <c r="H144" s="271">
        <f t="shared" si="9"/>
        <v>10.948942574257439</v>
      </c>
      <c r="I144" s="271">
        <f t="shared" si="11"/>
        <v>6.6509929807844675E-2</v>
      </c>
    </row>
    <row r="145" spans="1:9">
      <c r="A145" s="264">
        <f>-'Fractal root'!$B$2+'Fractal root'!D55</f>
        <v>-1.3150990099009903</v>
      </c>
      <c r="B145" s="264">
        <f>3*'Fractal root'!O55</f>
        <v>3.7928249655535679E-2</v>
      </c>
      <c r="C145" s="271">
        <f>'Fractal root'!E55*'Fractal root'!B55/100*3</f>
        <v>0.34641016151377546</v>
      </c>
      <c r="D145" s="271">
        <f>'Fractal root'!E55</f>
        <v>11.547005383792516</v>
      </c>
      <c r="E145" s="271">
        <f>'Fractal root'!B55</f>
        <v>1</v>
      </c>
      <c r="F145" s="271">
        <f t="shared" si="8"/>
        <v>314.16000000000008</v>
      </c>
      <c r="G145" s="271">
        <f t="shared" si="10"/>
        <v>314.16000000000008</v>
      </c>
      <c r="H145" s="271">
        <f t="shared" si="9"/>
        <v>10.808970297029681</v>
      </c>
      <c r="I145" s="271">
        <f t="shared" si="11"/>
        <v>6.7590826837547649E-2</v>
      </c>
    </row>
    <row r="146" spans="1:9">
      <c r="A146" s="264">
        <f>-'Fractal root'!$B$2+'Fractal root'!D56</f>
        <v>-1.2806930693069309</v>
      </c>
      <c r="B146" s="264">
        <f>3*'Fractal root'!O56</f>
        <v>3.7443371463916617E-2</v>
      </c>
      <c r="C146" s="271">
        <f>'Fractal root'!E56*'Fractal root'!B56/100*3</f>
        <v>0.34641016151377546</v>
      </c>
      <c r="D146" s="271">
        <f>'Fractal root'!E56</f>
        <v>11.547005383792516</v>
      </c>
      <c r="E146" s="271">
        <f>'Fractal root'!B56</f>
        <v>1</v>
      </c>
      <c r="F146" s="271">
        <f t="shared" si="8"/>
        <v>314.16000000000008</v>
      </c>
      <c r="G146" s="271">
        <f t="shared" si="10"/>
        <v>314.16000000000008</v>
      </c>
      <c r="H146" s="271">
        <f t="shared" si="9"/>
        <v>10.668998019801993</v>
      </c>
      <c r="I146" s="271">
        <f t="shared" si="11"/>
        <v>6.865772663952785E-2</v>
      </c>
    </row>
    <row r="147" spans="1:9">
      <c r="A147" s="264">
        <f>-'Fractal root'!$B$2+'Fractal root'!D57</f>
        <v>-1.246732673267327</v>
      </c>
      <c r="B147" s="264">
        <f>3*'Fractal root'!O57</f>
        <v>3.6958493272297555E-2</v>
      </c>
      <c r="C147" s="271">
        <f>'Fractal root'!E57*'Fractal root'!B57/100*3</f>
        <v>0.34641016151377546</v>
      </c>
      <c r="D147" s="271">
        <f>'Fractal root'!E57</f>
        <v>11.547005383792516</v>
      </c>
      <c r="E147" s="271">
        <f>'Fractal root'!B57</f>
        <v>1</v>
      </c>
      <c r="F147" s="271">
        <f t="shared" si="8"/>
        <v>314.16000000000008</v>
      </c>
      <c r="G147" s="271">
        <f t="shared" si="10"/>
        <v>314.16000000000008</v>
      </c>
      <c r="H147" s="271">
        <f t="shared" si="9"/>
        <v>10.529025742574305</v>
      </c>
      <c r="I147" s="271">
        <f t="shared" si="11"/>
        <v>6.9710629213785277E-2</v>
      </c>
    </row>
    <row r="148" spans="1:9">
      <c r="A148" s="264">
        <f>-'Fractal root'!$B$2+'Fractal root'!D58</f>
        <v>-1.2132178217821783</v>
      </c>
      <c r="B148" s="264">
        <f>3*'Fractal root'!O58</f>
        <v>3.6473615080678486E-2</v>
      </c>
      <c r="C148" s="271">
        <f>'Fractal root'!E58*'Fractal root'!B58/100*3</f>
        <v>0.34641016151377546</v>
      </c>
      <c r="D148" s="271">
        <f>'Fractal root'!E58</f>
        <v>11.547005383792516</v>
      </c>
      <c r="E148" s="271">
        <f>'Fractal root'!B58</f>
        <v>1</v>
      </c>
      <c r="F148" s="271">
        <f t="shared" si="8"/>
        <v>314.16000000000008</v>
      </c>
      <c r="G148" s="271">
        <f t="shared" si="10"/>
        <v>314.16000000000008</v>
      </c>
      <c r="H148" s="271">
        <f t="shared" si="9"/>
        <v>10.389053465346477</v>
      </c>
      <c r="I148" s="271">
        <f t="shared" si="11"/>
        <v>7.0749534560319918E-2</v>
      </c>
    </row>
    <row r="149" spans="1:9">
      <c r="A149" s="264">
        <f>-'Fractal root'!$B$2+'Fractal root'!D59</f>
        <v>-1.1801485148514854</v>
      </c>
      <c r="B149" s="264">
        <f>3*'Fractal root'!O59</f>
        <v>3.5988736889059417E-2</v>
      </c>
      <c r="C149" s="271">
        <f>'Fractal root'!E59*'Fractal root'!B59/100*3</f>
        <v>0.34641016151377546</v>
      </c>
      <c r="D149" s="271">
        <f>'Fractal root'!E59</f>
        <v>11.547005383792516</v>
      </c>
      <c r="E149" s="271">
        <f>'Fractal root'!B59</f>
        <v>1</v>
      </c>
      <c r="F149" s="271">
        <f t="shared" si="8"/>
        <v>314.16000000000008</v>
      </c>
      <c r="G149" s="271">
        <f t="shared" si="10"/>
        <v>314.16000000000008</v>
      </c>
      <c r="H149" s="271">
        <f t="shared" si="9"/>
        <v>10.249081188118858</v>
      </c>
      <c r="I149" s="271">
        <f t="shared" si="11"/>
        <v>7.17744426791318E-2</v>
      </c>
    </row>
    <row r="150" spans="1:9">
      <c r="A150" s="264">
        <f>-'Fractal root'!$B$2+'Fractal root'!D60</f>
        <v>-1.1475247524752477</v>
      </c>
      <c r="B150" s="264">
        <f>3*'Fractal root'!O60</f>
        <v>3.5503858697440355E-2</v>
      </c>
      <c r="C150" s="271">
        <f>'Fractal root'!E60*'Fractal root'!B60/100*3</f>
        <v>0.34641016151377546</v>
      </c>
      <c r="D150" s="271">
        <f>'Fractal root'!E60</f>
        <v>11.547005383792516</v>
      </c>
      <c r="E150" s="271">
        <f>'Fractal root'!B60</f>
        <v>1</v>
      </c>
      <c r="F150" s="271">
        <f t="shared" si="8"/>
        <v>314.16000000000008</v>
      </c>
      <c r="G150" s="271">
        <f t="shared" si="10"/>
        <v>314.16000000000008</v>
      </c>
      <c r="H150" s="271">
        <f t="shared" si="9"/>
        <v>10.1091089108911</v>
      </c>
      <c r="I150" s="271">
        <f t="shared" si="11"/>
        <v>7.2785353570220909E-2</v>
      </c>
    </row>
    <row r="151" spans="1:9">
      <c r="A151" s="264">
        <f>-'Fractal root'!$B$2+'Fractal root'!D61</f>
        <v>-1.1153465346534654</v>
      </c>
      <c r="B151" s="264">
        <f>3*'Fractal root'!O61</f>
        <v>3.5018980505821293E-2</v>
      </c>
      <c r="C151" s="271">
        <f>'Fractal root'!E61*'Fractal root'!B61/100*3</f>
        <v>0.34641016151377546</v>
      </c>
      <c r="D151" s="271">
        <f>'Fractal root'!E61</f>
        <v>11.547005383792516</v>
      </c>
      <c r="E151" s="271">
        <f>'Fractal root'!B61</f>
        <v>1</v>
      </c>
      <c r="F151" s="271">
        <f t="shared" si="8"/>
        <v>314.16000000000008</v>
      </c>
      <c r="G151" s="271">
        <f t="shared" si="10"/>
        <v>314.16000000000008</v>
      </c>
      <c r="H151" s="271">
        <f t="shared" si="9"/>
        <v>9.9691366336633429</v>
      </c>
      <c r="I151" s="271">
        <f t="shared" si="11"/>
        <v>7.3782267233587245E-2</v>
      </c>
    </row>
    <row r="152" spans="1:9">
      <c r="A152" s="264">
        <f>-'Fractal root'!$B$2+'Fractal root'!D62</f>
        <v>-1.0836138613861388</v>
      </c>
      <c r="B152" s="264">
        <f>3*'Fractal root'!O62</f>
        <v>3.4534102314202231E-2</v>
      </c>
      <c r="C152" s="271">
        <f>'Fractal root'!E62*'Fractal root'!B62/100*3</f>
        <v>0.34641016151377546</v>
      </c>
      <c r="D152" s="271">
        <f>'Fractal root'!E62</f>
        <v>11.547005383792516</v>
      </c>
      <c r="E152" s="271">
        <f>'Fractal root'!B62</f>
        <v>1</v>
      </c>
      <c r="F152" s="271">
        <f t="shared" si="8"/>
        <v>314.16000000000008</v>
      </c>
      <c r="G152" s="271">
        <f t="shared" si="10"/>
        <v>314.16000000000008</v>
      </c>
      <c r="H152" s="271">
        <f t="shared" si="9"/>
        <v>9.8291643564356548</v>
      </c>
      <c r="I152" s="271">
        <f t="shared" si="11"/>
        <v>7.4765183669230809E-2</v>
      </c>
    </row>
    <row r="153" spans="1:9">
      <c r="A153" s="264">
        <f>-'Fractal root'!$B$2+'Fractal root'!D63</f>
        <v>-1.0523267326732675</v>
      </c>
      <c r="B153" s="264">
        <f>3*'Fractal root'!O63</f>
        <v>3.4049224122583169E-2</v>
      </c>
      <c r="C153" s="271">
        <f>'Fractal root'!E63*'Fractal root'!B63/100*3</f>
        <v>0.34641016151377546</v>
      </c>
      <c r="D153" s="271">
        <f>'Fractal root'!E63</f>
        <v>11.547005383792516</v>
      </c>
      <c r="E153" s="271">
        <f>'Fractal root'!B63</f>
        <v>1</v>
      </c>
      <c r="F153" s="271">
        <f t="shared" si="8"/>
        <v>314.16000000000008</v>
      </c>
      <c r="G153" s="271">
        <f t="shared" si="10"/>
        <v>314.16000000000008</v>
      </c>
      <c r="H153" s="271">
        <f t="shared" si="9"/>
        <v>9.6891920792078974</v>
      </c>
      <c r="I153" s="271">
        <f t="shared" si="11"/>
        <v>7.5734102877151599E-2</v>
      </c>
    </row>
    <row r="154" spans="1:9">
      <c r="A154" s="264">
        <f>-'Fractal root'!$B$2+'Fractal root'!D64</f>
        <v>-1.0214851485148517</v>
      </c>
      <c r="B154" s="264">
        <f>3*'Fractal root'!O64</f>
        <v>3.3564345930964093E-2</v>
      </c>
      <c r="C154" s="271">
        <f>'Fractal root'!E64*'Fractal root'!B64/100*3</f>
        <v>0.34641016151377546</v>
      </c>
      <c r="D154" s="271">
        <f>'Fractal root'!E64</f>
        <v>11.547005383792516</v>
      </c>
      <c r="E154" s="271">
        <f>'Fractal root'!B64</f>
        <v>1</v>
      </c>
      <c r="F154" s="271">
        <f t="shared" si="8"/>
        <v>314.16000000000008</v>
      </c>
      <c r="G154" s="271">
        <f t="shared" si="10"/>
        <v>314.16000000000008</v>
      </c>
      <c r="H154" s="271">
        <f t="shared" si="9"/>
        <v>9.5492198019802093</v>
      </c>
      <c r="I154" s="271">
        <f t="shared" si="11"/>
        <v>7.6689024857349616E-2</v>
      </c>
    </row>
    <row r="155" spans="1:9">
      <c r="A155" s="264">
        <f>-'Fractal root'!$B$2+'Fractal root'!D65</f>
        <v>-0.9910891089108913</v>
      </c>
      <c r="B155" s="264">
        <f>3*'Fractal root'!O65</f>
        <v>3.3079467739345031E-2</v>
      </c>
      <c r="C155" s="271">
        <f>'Fractal root'!E65*'Fractal root'!B65/100*3</f>
        <v>0.34641016151377546</v>
      </c>
      <c r="D155" s="271">
        <f>'Fractal root'!E65</f>
        <v>11.547005383792516</v>
      </c>
      <c r="E155" s="271">
        <f>'Fractal root'!B65</f>
        <v>1</v>
      </c>
      <c r="F155" s="271">
        <f t="shared" si="8"/>
        <v>314.16000000000008</v>
      </c>
      <c r="G155" s="271">
        <f t="shared" si="10"/>
        <v>314.16000000000008</v>
      </c>
      <c r="H155" s="271">
        <f t="shared" si="9"/>
        <v>9.4092475247524519</v>
      </c>
      <c r="I155" s="271">
        <f t="shared" si="11"/>
        <v>7.7629949609824861E-2</v>
      </c>
    </row>
    <row r="156" spans="1:9">
      <c r="A156" s="264">
        <f>-'Fractal root'!$B$2+'Fractal root'!D66</f>
        <v>-0.96113861386138644</v>
      </c>
      <c r="B156" s="264">
        <f>3*'Fractal root'!O66</f>
        <v>3.2594589547725969E-2</v>
      </c>
      <c r="C156" s="271">
        <f>'Fractal root'!E66*'Fractal root'!B66/100*3</f>
        <v>0.34641016151377546</v>
      </c>
      <c r="D156" s="271">
        <f>'Fractal root'!E66</f>
        <v>11.547005383792516</v>
      </c>
      <c r="E156" s="271">
        <f>'Fractal root'!B66</f>
        <v>1</v>
      </c>
      <c r="F156" s="271">
        <f t="shared" si="8"/>
        <v>314.16000000000008</v>
      </c>
      <c r="G156" s="271">
        <f t="shared" si="10"/>
        <v>314.16000000000008</v>
      </c>
      <c r="H156" s="271">
        <f t="shared" si="9"/>
        <v>9.2692752475247637</v>
      </c>
      <c r="I156" s="271">
        <f t="shared" si="11"/>
        <v>7.8556877134577333E-2</v>
      </c>
    </row>
    <row r="157" spans="1:9">
      <c r="A157" s="264">
        <f>-'Fractal root'!$B$2+'Fractal root'!D67</f>
        <v>-0.93163366336633691</v>
      </c>
      <c r="B157" s="264">
        <f>3*'Fractal root'!O67</f>
        <v>3.2109711356106907E-2</v>
      </c>
      <c r="C157" s="271">
        <f>'Fractal root'!E67*'Fractal root'!B67/100*3</f>
        <v>0.34641016151377546</v>
      </c>
      <c r="D157" s="271">
        <f>'Fractal root'!E67</f>
        <v>11.547005383792516</v>
      </c>
      <c r="E157" s="271">
        <f>'Fractal root'!B67</f>
        <v>1</v>
      </c>
      <c r="F157" s="271">
        <f t="shared" si="8"/>
        <v>314.16000000000008</v>
      </c>
      <c r="G157" s="271">
        <f t="shared" si="10"/>
        <v>314.16000000000008</v>
      </c>
      <c r="H157" s="271">
        <f t="shared" si="9"/>
        <v>9.1293029702970045</v>
      </c>
      <c r="I157" s="271">
        <f t="shared" si="11"/>
        <v>7.9469807431607031E-2</v>
      </c>
    </row>
    <row r="158" spans="1:9">
      <c r="A158" s="264">
        <f>-'Fractal root'!$B$2+'Fractal root'!D68</f>
        <v>-0.90257425742574293</v>
      </c>
      <c r="B158" s="264">
        <f>3*'Fractal root'!O68</f>
        <v>3.1624833164487845E-2</v>
      </c>
      <c r="C158" s="271">
        <f>'Fractal root'!E68*'Fractal root'!B68/100*3</f>
        <v>0.34641016151377546</v>
      </c>
      <c r="D158" s="271">
        <f>'Fractal root'!E68</f>
        <v>11.547005383792516</v>
      </c>
      <c r="E158" s="271">
        <f>'Fractal root'!B68</f>
        <v>1</v>
      </c>
      <c r="F158" s="271">
        <f t="shared" si="8"/>
        <v>314.16000000000008</v>
      </c>
      <c r="G158" s="271">
        <f t="shared" si="10"/>
        <v>314.16000000000008</v>
      </c>
      <c r="H158" s="271">
        <f t="shared" si="9"/>
        <v>8.9893306930693164</v>
      </c>
      <c r="I158" s="271">
        <f t="shared" si="11"/>
        <v>8.0368740500913957E-2</v>
      </c>
    </row>
    <row r="159" spans="1:9">
      <c r="A159" s="264">
        <f>-'Fractal root'!$B$2+'Fractal root'!D69</f>
        <v>-0.87396039603960429</v>
      </c>
      <c r="B159" s="264">
        <f>3*'Fractal root'!O69</f>
        <v>3.113995497286878E-2</v>
      </c>
      <c r="C159" s="271">
        <f>'Fractal root'!E69*'Fractal root'!B69/100*3</f>
        <v>0.34641016151377546</v>
      </c>
      <c r="D159" s="271">
        <f>'Fractal root'!E69</f>
        <v>11.547005383792516</v>
      </c>
      <c r="E159" s="271">
        <f>'Fractal root'!B69</f>
        <v>1</v>
      </c>
      <c r="F159" s="271">
        <f t="shared" si="8"/>
        <v>314.16000000000008</v>
      </c>
      <c r="G159" s="271">
        <f t="shared" si="10"/>
        <v>314.16000000000008</v>
      </c>
      <c r="H159" s="271">
        <f t="shared" si="9"/>
        <v>8.8493584158416301</v>
      </c>
      <c r="I159" s="271">
        <f t="shared" si="11"/>
        <v>8.1253676342498124E-2</v>
      </c>
    </row>
    <row r="160" spans="1:9">
      <c r="A160" s="264">
        <f>-'Fractal root'!$B$2+'Fractal root'!D70</f>
        <v>-0.84579207920792099</v>
      </c>
      <c r="B160" s="264">
        <f>3*'Fractal root'!O70</f>
        <v>3.0655076781249711E-2</v>
      </c>
      <c r="C160" s="271">
        <f>'Fractal root'!E70*'Fractal root'!B70/100*3</f>
        <v>0.34641016151377546</v>
      </c>
      <c r="D160" s="271">
        <f>'Fractal root'!E70</f>
        <v>11.547005383792516</v>
      </c>
      <c r="E160" s="271">
        <f>'Fractal root'!B70</f>
        <v>1</v>
      </c>
      <c r="F160" s="271">
        <f t="shared" si="8"/>
        <v>314.16000000000008</v>
      </c>
      <c r="G160" s="271">
        <f t="shared" si="10"/>
        <v>314.16000000000008</v>
      </c>
      <c r="H160" s="271">
        <f t="shared" si="9"/>
        <v>8.7093861386138709</v>
      </c>
      <c r="I160" s="271">
        <f t="shared" si="11"/>
        <v>8.2124614956359518E-2</v>
      </c>
    </row>
    <row r="161" spans="1:9">
      <c r="A161" s="264">
        <f>-'Fractal root'!$B$2+'Fractal root'!D71</f>
        <v>-0.81806930693069324</v>
      </c>
      <c r="B161" s="264">
        <f>3*'Fractal root'!O71</f>
        <v>3.0170198589630652E-2</v>
      </c>
      <c r="C161" s="271">
        <f>'Fractal root'!E71*'Fractal root'!B71/100*3</f>
        <v>0.34641016151377546</v>
      </c>
      <c r="D161" s="271">
        <f>'Fractal root'!E71</f>
        <v>11.547005383792516</v>
      </c>
      <c r="E161" s="271">
        <f>'Fractal root'!B71</f>
        <v>1</v>
      </c>
      <c r="F161" s="271">
        <f t="shared" si="8"/>
        <v>314.16000000000008</v>
      </c>
      <c r="G161" s="271">
        <f t="shared" si="10"/>
        <v>314.16000000000008</v>
      </c>
      <c r="H161" s="271">
        <f t="shared" si="9"/>
        <v>8.5694138613860442</v>
      </c>
      <c r="I161" s="271">
        <f t="shared" si="11"/>
        <v>8.2981556342498125E-2</v>
      </c>
    </row>
    <row r="162" spans="1:9">
      <c r="A162" s="264">
        <f>-'Fractal root'!$B$2+'Fractal root'!D72</f>
        <v>-0.79079207920792127</v>
      </c>
      <c r="B162" s="264">
        <f>3*'Fractal root'!O72</f>
        <v>2.968532039801159E-2</v>
      </c>
      <c r="C162" s="271">
        <f>'Fractal root'!E72*'Fractal root'!B72/100*3</f>
        <v>0.34641016151377546</v>
      </c>
      <c r="D162" s="271">
        <f>'Fractal root'!E72</f>
        <v>11.547005383792516</v>
      </c>
      <c r="E162" s="271">
        <f>'Fractal root'!B72</f>
        <v>1</v>
      </c>
      <c r="F162" s="271">
        <f t="shared" si="8"/>
        <v>314.16000000000008</v>
      </c>
      <c r="G162" s="271">
        <f t="shared" si="10"/>
        <v>314.16000000000008</v>
      </c>
      <c r="H162" s="271">
        <f t="shared" si="9"/>
        <v>8.4294415841584946</v>
      </c>
      <c r="I162" s="271">
        <f t="shared" si="11"/>
        <v>8.3824500500913973E-2</v>
      </c>
    </row>
    <row r="163" spans="1:9">
      <c r="A163" s="264">
        <f>-'Fractal root'!$B$2+'Fractal root'!D73</f>
        <v>-0.76396039603960419</v>
      </c>
      <c r="B163" s="264">
        <f>3*'Fractal root'!O73</f>
        <v>2.9200442206392525E-2</v>
      </c>
      <c r="C163" s="271">
        <f>'Fractal root'!E73*'Fractal root'!B73/100*3</f>
        <v>0.34641016151377546</v>
      </c>
      <c r="D163" s="271">
        <f>'Fractal root'!E73</f>
        <v>11.547005383792516</v>
      </c>
      <c r="E163" s="271">
        <f>'Fractal root'!B73</f>
        <v>1</v>
      </c>
      <c r="F163" s="271">
        <f t="shared" si="8"/>
        <v>314.16000000000008</v>
      </c>
      <c r="G163" s="271">
        <f t="shared" si="10"/>
        <v>314.16000000000008</v>
      </c>
      <c r="H163" s="271">
        <f t="shared" si="9"/>
        <v>8.289469306930668</v>
      </c>
      <c r="I163" s="271">
        <f t="shared" si="11"/>
        <v>8.4653447431607035E-2</v>
      </c>
    </row>
    <row r="164" spans="1:9">
      <c r="A164" s="264">
        <f>-'Fractal root'!$B$2+'Fractal root'!D74</f>
        <v>-0.7375742574257429</v>
      </c>
      <c r="B164" s="264">
        <f>3*'Fractal root'!O74</f>
        <v>2.8715564014773456E-2</v>
      </c>
      <c r="C164" s="271">
        <f>'Fractal root'!E74*'Fractal root'!B74/100*3</f>
        <v>0.34641016151377546</v>
      </c>
      <c r="D164" s="271">
        <f>'Fractal root'!E74</f>
        <v>11.547005383792516</v>
      </c>
      <c r="E164" s="271">
        <f>'Fractal root'!B74</f>
        <v>1</v>
      </c>
      <c r="F164" s="271">
        <f t="shared" si="8"/>
        <v>314.16000000000008</v>
      </c>
      <c r="G164" s="271">
        <f t="shared" si="10"/>
        <v>314.16000000000008</v>
      </c>
      <c r="H164" s="271">
        <f t="shared" si="9"/>
        <v>8.1494970297029798</v>
      </c>
      <c r="I164" s="271">
        <f t="shared" si="11"/>
        <v>8.5468397134577337E-2</v>
      </c>
    </row>
    <row r="165" spans="1:9">
      <c r="A165" s="264">
        <f>-'Fractal root'!$B$2+'Fractal root'!D75</f>
        <v>-0.71163366336633693</v>
      </c>
      <c r="B165" s="264">
        <f>3*'Fractal root'!O75</f>
        <v>2.823068582315439E-2</v>
      </c>
      <c r="C165" s="271">
        <f>'Fractal root'!E75*'Fractal root'!B75/100*3</f>
        <v>0.34641016151377546</v>
      </c>
      <c r="D165" s="271">
        <f>'Fractal root'!E75</f>
        <v>11.547005383792516</v>
      </c>
      <c r="E165" s="271">
        <f>'Fractal root'!B75</f>
        <v>1</v>
      </c>
      <c r="F165" s="271">
        <f t="shared" si="8"/>
        <v>314.16000000000008</v>
      </c>
      <c r="G165" s="271">
        <f t="shared" si="10"/>
        <v>314.16000000000008</v>
      </c>
      <c r="H165" s="271">
        <f t="shared" si="9"/>
        <v>8.0095247524752917</v>
      </c>
      <c r="I165" s="271">
        <f t="shared" si="11"/>
        <v>8.6269349609824866E-2</v>
      </c>
    </row>
    <row r="166" spans="1:9">
      <c r="A166" s="264">
        <f>-'Fractal root'!$B$2+'Fractal root'!D76</f>
        <v>-0.6861386138613863</v>
      </c>
      <c r="B166" s="264">
        <f>3*'Fractal root'!O76</f>
        <v>2.7745807631535328E-2</v>
      </c>
      <c r="C166" s="271">
        <f>'Fractal root'!E76*'Fractal root'!B76/100*3</f>
        <v>0.34641016151377546</v>
      </c>
      <c r="D166" s="271">
        <f>'Fractal root'!E76</f>
        <v>11.547005383792516</v>
      </c>
      <c r="E166" s="271">
        <f>'Fractal root'!B76</f>
        <v>1</v>
      </c>
      <c r="F166" s="271">
        <f t="shared" si="8"/>
        <v>314.16000000000008</v>
      </c>
      <c r="G166" s="271">
        <f t="shared" si="10"/>
        <v>314.16000000000008</v>
      </c>
      <c r="H166" s="271">
        <f t="shared" si="9"/>
        <v>7.8695524752474642</v>
      </c>
      <c r="I166" s="271">
        <f t="shared" si="11"/>
        <v>8.7056304857349609E-2</v>
      </c>
    </row>
    <row r="167" spans="1:9">
      <c r="A167" s="264">
        <f>-'Fractal root'!$B$2+'Fractal root'!D77</f>
        <v>-0.66108910891089145</v>
      </c>
      <c r="B167" s="264">
        <f>3*'Fractal root'!O77</f>
        <v>2.7260929439916266E-2</v>
      </c>
      <c r="C167" s="271">
        <f>'Fractal root'!E77*'Fractal root'!B77/100*3</f>
        <v>0.34641016151377546</v>
      </c>
      <c r="D167" s="271">
        <f>'Fractal root'!E77</f>
        <v>11.547005383792516</v>
      </c>
      <c r="E167" s="271">
        <f>'Fractal root'!B77</f>
        <v>1</v>
      </c>
      <c r="F167" s="271">
        <f t="shared" si="8"/>
        <v>314.16000000000008</v>
      </c>
      <c r="G167" s="271">
        <f t="shared" si="10"/>
        <v>314.16000000000008</v>
      </c>
      <c r="H167" s="271">
        <f t="shared" si="9"/>
        <v>7.729580198019776</v>
      </c>
      <c r="I167" s="271">
        <f t="shared" si="11"/>
        <v>8.7829262877151593E-2</v>
      </c>
    </row>
    <row r="168" spans="1:9">
      <c r="A168" s="264">
        <f>-'Fractal root'!$B$2+'Fractal root'!D78</f>
        <v>-0.63648514851485194</v>
      </c>
      <c r="B168" s="264">
        <f>3*'Fractal root'!O78</f>
        <v>2.6776051248297201E-2</v>
      </c>
      <c r="C168" s="271">
        <f>'Fractal root'!E78*'Fractal root'!B78/100*3</f>
        <v>0.34641016151377546</v>
      </c>
      <c r="D168" s="271">
        <f>'Fractal root'!E78</f>
        <v>11.547005383792516</v>
      </c>
      <c r="E168" s="271">
        <f>'Fractal root'!B78</f>
        <v>1</v>
      </c>
      <c r="F168" s="271">
        <f t="shared" si="8"/>
        <v>314.16000000000008</v>
      </c>
      <c r="G168" s="271">
        <f t="shared" si="10"/>
        <v>314.16000000000008</v>
      </c>
      <c r="H168" s="271">
        <f t="shared" si="9"/>
        <v>7.5896079207920879</v>
      </c>
      <c r="I168" s="271">
        <f t="shared" si="11"/>
        <v>8.8588223669230803E-2</v>
      </c>
    </row>
    <row r="169" spans="1:9">
      <c r="A169" s="264">
        <f>-'Fractal root'!$B$2+'Fractal root'!D79</f>
        <v>-0.61232673267326776</v>
      </c>
      <c r="B169" s="264">
        <f>3*'Fractal root'!O79</f>
        <v>2.6291173056678135E-2</v>
      </c>
      <c r="C169" s="271">
        <f>'Fractal root'!E79*'Fractal root'!B79/100*3</f>
        <v>0.34641016151377546</v>
      </c>
      <c r="D169" s="271">
        <f>'Fractal root'!E79</f>
        <v>11.547005383792516</v>
      </c>
      <c r="E169" s="271">
        <f>'Fractal root'!B79</f>
        <v>1</v>
      </c>
      <c r="F169" s="271">
        <f t="shared" si="8"/>
        <v>314.16000000000008</v>
      </c>
      <c r="G169" s="271">
        <f t="shared" si="10"/>
        <v>314.16000000000008</v>
      </c>
      <c r="H169" s="271">
        <f t="shared" si="9"/>
        <v>7.4496356435645392</v>
      </c>
      <c r="I169" s="271">
        <f t="shared" si="11"/>
        <v>8.9333187233587255E-2</v>
      </c>
    </row>
    <row r="170" spans="1:9">
      <c r="A170" s="264">
        <f>-'Fractal root'!$B$2+'Fractal root'!D80</f>
        <v>-0.58861386138613847</v>
      </c>
      <c r="B170" s="264">
        <f>3*'Fractal root'!O80</f>
        <v>2.5806294865059073E-2</v>
      </c>
      <c r="C170" s="271">
        <f>'Fractal root'!E80*'Fractal root'!B80/100*3</f>
        <v>0.34641016151377546</v>
      </c>
      <c r="D170" s="271">
        <f>'Fractal root'!E80</f>
        <v>11.547005383792516</v>
      </c>
      <c r="E170" s="271">
        <f>'Fractal root'!B80</f>
        <v>1</v>
      </c>
      <c r="F170" s="271">
        <f t="shared" si="8"/>
        <v>314.16000000000008</v>
      </c>
      <c r="G170" s="271">
        <f t="shared" si="10"/>
        <v>314.16000000000008</v>
      </c>
      <c r="H170" s="271">
        <f t="shared" si="9"/>
        <v>7.3096633663365722</v>
      </c>
      <c r="I170" s="271">
        <f t="shared" si="11"/>
        <v>9.0064153570220906E-2</v>
      </c>
    </row>
    <row r="171" spans="1:9">
      <c r="A171" s="264">
        <f>-'Fractal root'!$B$2+'Fractal root'!D81</f>
        <v>-0.5653465346534654</v>
      </c>
      <c r="B171" s="264">
        <f>3*'Fractal root'!O81</f>
        <v>2.5321416673440005E-2</v>
      </c>
      <c r="C171" s="271">
        <f>'Fractal root'!E81*'Fractal root'!B81/100*3</f>
        <v>0.34641016151377546</v>
      </c>
      <c r="D171" s="271">
        <f>'Fractal root'!E81</f>
        <v>11.547005383792516</v>
      </c>
      <c r="E171" s="271">
        <f>'Fractal root'!B81</f>
        <v>1</v>
      </c>
      <c r="F171" s="271">
        <f t="shared" si="8"/>
        <v>314.16000000000008</v>
      </c>
      <c r="G171" s="271">
        <f t="shared" si="10"/>
        <v>314.16000000000008</v>
      </c>
      <c r="H171" s="271">
        <f t="shared" si="9"/>
        <v>7.1696910891088841</v>
      </c>
      <c r="I171" s="271">
        <f t="shared" si="11"/>
        <v>9.0781122679131798E-2</v>
      </c>
    </row>
    <row r="172" spans="1:9">
      <c r="A172" s="264">
        <f>-'Fractal root'!$B$2+'Fractal root'!D82</f>
        <v>-0.54252475247524767</v>
      </c>
      <c r="B172" s="264">
        <f>3*'Fractal root'!O82</f>
        <v>2.4836538481820946E-2</v>
      </c>
      <c r="C172" s="271">
        <f>'Fractal root'!E82*'Fractal root'!B82/100*3</f>
        <v>0.34641016151377546</v>
      </c>
      <c r="D172" s="271">
        <f>'Fractal root'!E82</f>
        <v>11.547005383792516</v>
      </c>
      <c r="E172" s="271">
        <f>'Fractal root'!B82</f>
        <v>1</v>
      </c>
      <c r="F172" s="271">
        <f t="shared" si="8"/>
        <v>314.16000000000008</v>
      </c>
      <c r="G172" s="271">
        <f t="shared" si="10"/>
        <v>314.16000000000008</v>
      </c>
      <c r="H172" s="271">
        <f t="shared" si="9"/>
        <v>7.029718811881196</v>
      </c>
      <c r="I172" s="271">
        <f t="shared" si="11"/>
        <v>9.1484094560319917E-2</v>
      </c>
    </row>
    <row r="173" spans="1:9">
      <c r="A173" s="264">
        <f>-'Fractal root'!$B$2+'Fractal root'!D83</f>
        <v>-0.52014851485148528</v>
      </c>
      <c r="B173" s="264">
        <f>3*'Fractal root'!O83</f>
        <v>2.4351660290201881E-2</v>
      </c>
      <c r="C173" s="271">
        <f>'Fractal root'!E83*'Fractal root'!B83/100*3</f>
        <v>0.34641016151377546</v>
      </c>
      <c r="D173" s="271">
        <f>'Fractal root'!E83</f>
        <v>11.547005383792516</v>
      </c>
      <c r="E173" s="271">
        <f>'Fractal root'!B83</f>
        <v>1</v>
      </c>
      <c r="F173" s="271">
        <f t="shared" si="8"/>
        <v>314.16000000000008</v>
      </c>
      <c r="G173" s="271">
        <f t="shared" si="10"/>
        <v>314.16000000000008</v>
      </c>
      <c r="H173" s="271">
        <f t="shared" si="9"/>
        <v>6.8897465346535078</v>
      </c>
      <c r="I173" s="271">
        <f t="shared" si="11"/>
        <v>9.2173069213785264E-2</v>
      </c>
    </row>
    <row r="174" spans="1:9">
      <c r="A174" s="264">
        <f>-'Fractal root'!$B$2+'Fractal root'!D84</f>
        <v>-0.49821782178217822</v>
      </c>
      <c r="B174" s="264">
        <f>3*'Fractal root'!O84</f>
        <v>2.3866782098582819E-2</v>
      </c>
      <c r="C174" s="271">
        <f>'Fractal root'!E84*'Fractal root'!B84/100*3</f>
        <v>0.34641016151377546</v>
      </c>
      <c r="D174" s="271">
        <f>'Fractal root'!E84</f>
        <v>11.547005383792516</v>
      </c>
      <c r="E174" s="271">
        <f>'Fractal root'!B84</f>
        <v>1</v>
      </c>
      <c r="F174" s="271">
        <f t="shared" si="8"/>
        <v>314.16000000000008</v>
      </c>
      <c r="G174" s="271">
        <f t="shared" si="10"/>
        <v>314.16000000000008</v>
      </c>
      <c r="H174" s="271">
        <f t="shared" si="9"/>
        <v>6.7497742574256803</v>
      </c>
      <c r="I174" s="271">
        <f t="shared" si="11"/>
        <v>9.2848046639527837E-2</v>
      </c>
    </row>
    <row r="175" spans="1:9">
      <c r="A175" s="264">
        <f>-'Fractal root'!$B$2+'Fractal root'!D85</f>
        <v>-0.47673267326732693</v>
      </c>
      <c r="B175" s="264">
        <f>3*'Fractal root'!O85</f>
        <v>2.3381903906963753E-2</v>
      </c>
      <c r="C175" s="271">
        <f>'Fractal root'!E85*'Fractal root'!B85/100*3</f>
        <v>0.34641016151377546</v>
      </c>
      <c r="D175" s="271">
        <f>'Fractal root'!E85</f>
        <v>11.547005383792516</v>
      </c>
      <c r="E175" s="271">
        <f>'Fractal root'!B85</f>
        <v>1</v>
      </c>
      <c r="F175" s="271">
        <f t="shared" si="8"/>
        <v>314.16000000000008</v>
      </c>
      <c r="G175" s="271">
        <f t="shared" si="10"/>
        <v>314.16000000000008</v>
      </c>
      <c r="H175" s="271">
        <f t="shared" si="9"/>
        <v>6.6098019801981316</v>
      </c>
      <c r="I175" s="271">
        <f t="shared" si="11"/>
        <v>9.3509026837547651E-2</v>
      </c>
    </row>
    <row r="176" spans="1:9">
      <c r="A176" s="264">
        <f>-'Fractal root'!$B$2+'Fractal root'!D86</f>
        <v>-0.45569306930693054</v>
      </c>
      <c r="B176" s="264">
        <f>3*'Fractal root'!O86</f>
        <v>2.2897025715344688E-2</v>
      </c>
      <c r="C176" s="271">
        <f>'Fractal root'!E86*'Fractal root'!B86/100*3</f>
        <v>0.34641016151377546</v>
      </c>
      <c r="D176" s="271">
        <f>'Fractal root'!E86</f>
        <v>11.547005383792516</v>
      </c>
      <c r="E176" s="271">
        <f>'Fractal root'!B86</f>
        <v>1</v>
      </c>
      <c r="F176" s="271">
        <f t="shared" ref="F176:F211" si="12">3.1416*D176*D176/4*3</f>
        <v>314.16000000000008</v>
      </c>
      <c r="G176" s="271">
        <f t="shared" si="10"/>
        <v>314.16000000000008</v>
      </c>
      <c r="H176" s="271">
        <f t="shared" ref="H176:H210" si="13">F176*(-A176+A177)*E176</f>
        <v>6.469829702970304</v>
      </c>
      <c r="I176" s="271">
        <f t="shared" si="11"/>
        <v>9.4156009807844679E-2</v>
      </c>
    </row>
    <row r="177" spans="1:9">
      <c r="A177" s="264">
        <f>-'Fractal root'!$B$2+'Fractal root'!D87</f>
        <v>-0.43509900990098993</v>
      </c>
      <c r="B177" s="264">
        <f>3*'Fractal root'!O87</f>
        <v>2.2412147523725626E-2</v>
      </c>
      <c r="C177" s="271">
        <f>'Fractal root'!E87*'Fractal root'!B87/100*3</f>
        <v>0.34641016151377546</v>
      </c>
      <c r="D177" s="271">
        <f>'Fractal root'!E87</f>
        <v>11.547005383792516</v>
      </c>
      <c r="E177" s="271">
        <f>'Fractal root'!B87</f>
        <v>1</v>
      </c>
      <c r="F177" s="271">
        <f t="shared" si="12"/>
        <v>314.16000000000008</v>
      </c>
      <c r="G177" s="271">
        <f t="shared" si="10"/>
        <v>314.16000000000008</v>
      </c>
      <c r="H177" s="271">
        <f t="shared" si="13"/>
        <v>6.3298574257424765</v>
      </c>
      <c r="I177" s="271">
        <f t="shared" si="11"/>
        <v>9.478899555041892E-2</v>
      </c>
    </row>
    <row r="178" spans="1:9">
      <c r="A178" s="264">
        <f>-'Fractal root'!$B$2+'Fractal root'!D88</f>
        <v>-0.4149504950495051</v>
      </c>
      <c r="B178" s="264">
        <f>3*'Fractal root'!O88</f>
        <v>2.1927269332106557E-2</v>
      </c>
      <c r="C178" s="271">
        <f>'Fractal root'!E88*'Fractal root'!B88/100*3</f>
        <v>0.34641016151377546</v>
      </c>
      <c r="D178" s="271">
        <f>'Fractal root'!E88</f>
        <v>11.547005383792516</v>
      </c>
      <c r="E178" s="271">
        <f>'Fractal root'!B88</f>
        <v>1</v>
      </c>
      <c r="F178" s="271">
        <f t="shared" si="12"/>
        <v>314.16000000000008</v>
      </c>
      <c r="G178" s="271">
        <f t="shared" si="10"/>
        <v>314.16000000000008</v>
      </c>
      <c r="H178" s="271">
        <f t="shared" si="13"/>
        <v>6.1898851485149287</v>
      </c>
      <c r="I178" s="271">
        <f t="shared" si="11"/>
        <v>9.5407984065270415E-2</v>
      </c>
    </row>
    <row r="179" spans="1:9">
      <c r="A179" s="264">
        <f>-'Fractal root'!$B$2+'Fractal root'!D89</f>
        <v>-0.39524752475247515</v>
      </c>
      <c r="B179" s="264">
        <f>3*'Fractal root'!O89</f>
        <v>2.1442391140487495E-2</v>
      </c>
      <c r="C179" s="271">
        <f>'Fractal root'!E89*'Fractal root'!B89/100*3</f>
        <v>0.34641016151377546</v>
      </c>
      <c r="D179" s="271">
        <f>'Fractal root'!E89</f>
        <v>11.547005383792516</v>
      </c>
      <c r="E179" s="271">
        <f>'Fractal root'!B89</f>
        <v>1</v>
      </c>
      <c r="F179" s="271">
        <f t="shared" si="12"/>
        <v>314.16000000000008</v>
      </c>
      <c r="G179" s="271">
        <f t="shared" si="10"/>
        <v>314.16000000000008</v>
      </c>
      <c r="H179" s="271">
        <f t="shared" si="13"/>
        <v>6.0499128712871011</v>
      </c>
      <c r="I179" s="271">
        <f t="shared" si="11"/>
        <v>9.6012975352399124E-2</v>
      </c>
    </row>
    <row r="180" spans="1:9">
      <c r="A180" s="264">
        <f>-'Fractal root'!$B$2+'Fractal root'!D90</f>
        <v>-0.37599009900990099</v>
      </c>
      <c r="B180" s="264">
        <f>3*'Fractal root'!O90</f>
        <v>2.0957512948868433E-2</v>
      </c>
      <c r="C180" s="271">
        <f>'Fractal root'!E90*'Fractal root'!B90/100*3</f>
        <v>0.34641016151377546</v>
      </c>
      <c r="D180" s="271">
        <f>'Fractal root'!E90</f>
        <v>11.547005383792516</v>
      </c>
      <c r="E180" s="271">
        <f>'Fractal root'!B90</f>
        <v>1</v>
      </c>
      <c r="F180" s="271">
        <f t="shared" si="12"/>
        <v>314.16000000000008</v>
      </c>
      <c r="G180" s="271">
        <f t="shared" si="10"/>
        <v>314.16000000000008</v>
      </c>
      <c r="H180" s="271">
        <f t="shared" si="13"/>
        <v>5.909940594059413</v>
      </c>
      <c r="I180" s="271">
        <f t="shared" si="11"/>
        <v>9.660396941180506E-2</v>
      </c>
    </row>
    <row r="181" spans="1:9">
      <c r="A181" s="264">
        <f>-'Fractal root'!$B$2+'Fractal root'!D91</f>
        <v>-0.35717821782178216</v>
      </c>
      <c r="B181" s="264">
        <f>3*'Fractal root'!O91</f>
        <v>2.0472634757249371E-2</v>
      </c>
      <c r="C181" s="271">
        <f>'Fractal root'!E91*'Fractal root'!B91/100*3</f>
        <v>0.34641016151377546</v>
      </c>
      <c r="D181" s="271">
        <f>'Fractal root'!E91</f>
        <v>11.547005383792516</v>
      </c>
      <c r="E181" s="271">
        <f>'Fractal root'!B91</f>
        <v>1</v>
      </c>
      <c r="F181" s="271">
        <f t="shared" si="12"/>
        <v>314.16000000000008</v>
      </c>
      <c r="G181" s="271">
        <f t="shared" si="10"/>
        <v>314.16000000000008</v>
      </c>
      <c r="H181" s="271">
        <f t="shared" si="13"/>
        <v>5.7699683168315854</v>
      </c>
      <c r="I181" s="271">
        <f t="shared" si="11"/>
        <v>9.7180966243488223E-2</v>
      </c>
    </row>
    <row r="182" spans="1:9">
      <c r="A182" s="264">
        <f>-'Fractal root'!$B$2+'Fractal root'!D92</f>
        <v>-0.33881188118811911</v>
      </c>
      <c r="B182" s="264">
        <f>3*'Fractal root'!O92</f>
        <v>1.9987756565630302E-2</v>
      </c>
      <c r="C182" s="271">
        <f>'Fractal root'!E92*'Fractal root'!B92/100*3</f>
        <v>0.34641016151377546</v>
      </c>
      <c r="D182" s="271">
        <f>'Fractal root'!E92</f>
        <v>11.547005383792516</v>
      </c>
      <c r="E182" s="271">
        <f>'Fractal root'!B92</f>
        <v>1</v>
      </c>
      <c r="F182" s="271">
        <f t="shared" si="12"/>
        <v>314.16000000000008</v>
      </c>
      <c r="G182" s="271">
        <f t="shared" si="10"/>
        <v>314.16000000000008</v>
      </c>
      <c r="H182" s="271">
        <f t="shared" si="13"/>
        <v>5.6299960396040367</v>
      </c>
      <c r="I182" s="271">
        <f t="shared" si="11"/>
        <v>9.7743965847448627E-2</v>
      </c>
    </row>
    <row r="183" spans="1:9">
      <c r="A183" s="264">
        <f>-'Fractal root'!$B$2+'Fractal root'!D93</f>
        <v>-0.32089108910891095</v>
      </c>
      <c r="B183" s="264">
        <f>3*'Fractal root'!O93</f>
        <v>1.9502878374011236E-2</v>
      </c>
      <c r="C183" s="271">
        <f>'Fractal root'!E93*'Fractal root'!B93/100*3</f>
        <v>0.34641016151377546</v>
      </c>
      <c r="D183" s="271">
        <f>'Fractal root'!E93</f>
        <v>11.547005383792516</v>
      </c>
      <c r="E183" s="271">
        <f>'Fractal root'!B93</f>
        <v>1</v>
      </c>
      <c r="F183" s="271">
        <f t="shared" si="12"/>
        <v>314.16000000000008</v>
      </c>
      <c r="G183" s="271">
        <f t="shared" si="10"/>
        <v>314.16000000000008</v>
      </c>
      <c r="H183" s="271">
        <f t="shared" si="13"/>
        <v>5.4900237623762091</v>
      </c>
      <c r="I183" s="271">
        <f t="shared" si="11"/>
        <v>9.8292968223686245E-2</v>
      </c>
    </row>
    <row r="184" spans="1:9">
      <c r="A184" s="264">
        <f>-'Fractal root'!$B$2+'Fractal root'!D94</f>
        <v>-0.30341584158415857</v>
      </c>
      <c r="B184" s="264">
        <f>3*'Fractal root'!O94</f>
        <v>1.9018000182392171E-2</v>
      </c>
      <c r="C184" s="271">
        <f>'Fractal root'!E94*'Fractal root'!B94/100*3</f>
        <v>0.34641016151377546</v>
      </c>
      <c r="D184" s="271">
        <f>'Fractal root'!E94</f>
        <v>11.547005383792516</v>
      </c>
      <c r="E184" s="271">
        <f>'Fractal root'!B94</f>
        <v>1</v>
      </c>
      <c r="F184" s="271">
        <f t="shared" si="12"/>
        <v>314.16000000000008</v>
      </c>
      <c r="G184" s="271">
        <f t="shared" si="10"/>
        <v>314.16000000000008</v>
      </c>
      <c r="H184" s="271">
        <f t="shared" si="13"/>
        <v>5.350051485148521</v>
      </c>
      <c r="I184" s="271">
        <f t="shared" si="11"/>
        <v>9.8827973372201103E-2</v>
      </c>
    </row>
    <row r="185" spans="1:9">
      <c r="A185" s="264">
        <f>-'Fractal root'!$B$2+'Fractal root'!D95</f>
        <v>-0.28638613861386153</v>
      </c>
      <c r="B185" s="264">
        <f>3*'Fractal root'!O95</f>
        <v>1.8533121990773109E-2</v>
      </c>
      <c r="C185" s="271">
        <f>'Fractal root'!E95*'Fractal root'!B95/100*3</f>
        <v>0.34641016151377546</v>
      </c>
      <c r="D185" s="271">
        <f>'Fractal root'!E95</f>
        <v>11.547005383792516</v>
      </c>
      <c r="E185" s="271">
        <f>'Fractal root'!B95</f>
        <v>1</v>
      </c>
      <c r="F185" s="271">
        <f t="shared" si="12"/>
        <v>314.16000000000008</v>
      </c>
      <c r="G185" s="271">
        <f t="shared" si="10"/>
        <v>314.16000000000008</v>
      </c>
      <c r="H185" s="271">
        <f t="shared" si="13"/>
        <v>5.2100792079208329</v>
      </c>
      <c r="I185" s="271">
        <f t="shared" si="11"/>
        <v>9.9348981292993188E-2</v>
      </c>
    </row>
    <row r="186" spans="1:9">
      <c r="A186" s="264">
        <f>-'Fractal root'!$B$2+'Fractal root'!D96</f>
        <v>-0.26980198019801982</v>
      </c>
      <c r="B186" s="264">
        <f>3*'Fractal root'!O96</f>
        <v>1.804824379915405E-2</v>
      </c>
      <c r="C186" s="271">
        <f>'Fractal root'!E96*'Fractal root'!B96/100*3</f>
        <v>0.34641016151377546</v>
      </c>
      <c r="D186" s="271">
        <f>'Fractal root'!E96</f>
        <v>11.547005383792516</v>
      </c>
      <c r="E186" s="271">
        <f>'Fractal root'!B96</f>
        <v>1</v>
      </c>
      <c r="F186" s="271">
        <f t="shared" si="12"/>
        <v>314.16000000000008</v>
      </c>
      <c r="G186" s="271">
        <f t="shared" si="10"/>
        <v>314.16000000000008</v>
      </c>
      <c r="H186" s="271">
        <f t="shared" si="13"/>
        <v>5.0701069306930053</v>
      </c>
      <c r="I186" s="271">
        <f t="shared" si="11"/>
        <v>9.9855991986062487E-2</v>
      </c>
    </row>
    <row r="187" spans="1:9">
      <c r="A187" s="264">
        <f>-'Fractal root'!$B$2+'Fractal root'!D97</f>
        <v>-0.25366336633663389</v>
      </c>
      <c r="B187" s="264">
        <f>3*'Fractal root'!O97</f>
        <v>1.7563365607534985E-2</v>
      </c>
      <c r="C187" s="271">
        <f>'Fractal root'!E97*'Fractal root'!B97/100*3</f>
        <v>0.34641016151377546</v>
      </c>
      <c r="D187" s="271">
        <f>'Fractal root'!E97</f>
        <v>11.547005383792516</v>
      </c>
      <c r="E187" s="271">
        <f>'Fractal root'!B97</f>
        <v>1</v>
      </c>
      <c r="F187" s="271">
        <f t="shared" si="12"/>
        <v>314.16000000000008</v>
      </c>
      <c r="G187" s="271">
        <f t="shared" si="10"/>
        <v>314.16000000000008</v>
      </c>
      <c r="H187" s="271">
        <f t="shared" si="13"/>
        <v>4.9301346534653172</v>
      </c>
      <c r="I187" s="271">
        <f t="shared" si="11"/>
        <v>0.10034900545140901</v>
      </c>
    </row>
    <row r="188" spans="1:9">
      <c r="A188" s="264">
        <f>-'Fractal root'!$B$2+'Fractal root'!D98</f>
        <v>-0.23797029702970329</v>
      </c>
      <c r="B188" s="264">
        <f>3*'Fractal root'!O98</f>
        <v>1.7078487415915923E-2</v>
      </c>
      <c r="C188" s="271">
        <f>'Fractal root'!E98*'Fractal root'!B98/100*3</f>
        <v>0.34641016151377546</v>
      </c>
      <c r="D188" s="271">
        <f>'Fractal root'!E98</f>
        <v>11.547005383792516</v>
      </c>
      <c r="E188" s="271">
        <f>'Fractal root'!B98</f>
        <v>1</v>
      </c>
      <c r="F188" s="271">
        <f t="shared" si="12"/>
        <v>314.16000000000008</v>
      </c>
      <c r="G188" s="271">
        <f t="shared" si="10"/>
        <v>314.16000000000008</v>
      </c>
      <c r="H188" s="271">
        <f t="shared" si="13"/>
        <v>4.7901623762376291</v>
      </c>
      <c r="I188" s="271">
        <f t="shared" si="11"/>
        <v>0.10082802168903278</v>
      </c>
    </row>
    <row r="189" spans="1:9">
      <c r="A189" s="264">
        <f>-'Fractal root'!$B$2+'Fractal root'!D99</f>
        <v>-0.22272277227722803</v>
      </c>
      <c r="B189" s="264">
        <f>3*'Fractal root'!O99</f>
        <v>1.6593609224296858E-2</v>
      </c>
      <c r="C189" s="271">
        <f>'Fractal root'!E99*'Fractal root'!B99/100*3</f>
        <v>0.34641016151377546</v>
      </c>
      <c r="D189" s="271">
        <f>'Fractal root'!E99</f>
        <v>11.547005383792516</v>
      </c>
      <c r="E189" s="271">
        <f>'Fractal root'!B99</f>
        <v>1</v>
      </c>
      <c r="F189" s="271">
        <f t="shared" si="12"/>
        <v>314.16000000000008</v>
      </c>
      <c r="G189" s="271">
        <f t="shared" si="10"/>
        <v>314.16000000000008</v>
      </c>
      <c r="H189" s="271">
        <f t="shared" si="13"/>
        <v>4.650190099009941</v>
      </c>
      <c r="I189" s="271">
        <f t="shared" si="11"/>
        <v>0.10129304069893377</v>
      </c>
    </row>
    <row r="190" spans="1:9">
      <c r="A190" s="264">
        <f>-'Fractal root'!$B$2+'Fractal root'!D100</f>
        <v>-0.20792079207920811</v>
      </c>
      <c r="B190" s="264">
        <f>3*'Fractal root'!O100</f>
        <v>1.6108731032677792E-2</v>
      </c>
      <c r="C190" s="271">
        <f>'Fractal root'!E100*'Fractal root'!B100/100*3</f>
        <v>0.34641016151377546</v>
      </c>
      <c r="D190" s="271">
        <f>'Fractal root'!E100</f>
        <v>11.547005383792516</v>
      </c>
      <c r="E190" s="271">
        <f>'Fractal root'!B100</f>
        <v>1</v>
      </c>
      <c r="F190" s="271">
        <f t="shared" si="12"/>
        <v>314.16000000000008</v>
      </c>
      <c r="G190" s="271">
        <f t="shared" si="10"/>
        <v>314.16000000000008</v>
      </c>
      <c r="H190" s="271">
        <f t="shared" si="13"/>
        <v>4.5102178217821134</v>
      </c>
      <c r="I190" s="271">
        <f t="shared" si="11"/>
        <v>0.10174406248111198</v>
      </c>
    </row>
    <row r="191" spans="1:9">
      <c r="A191" s="264">
        <f>-'Fractal root'!$B$2+'Fractal root'!D101</f>
        <v>-0.19356435643564396</v>
      </c>
      <c r="B191" s="264">
        <f>3*'Fractal root'!O101</f>
        <v>1.5623852841058727E-2</v>
      </c>
      <c r="C191" s="271">
        <f>'Fractal root'!E101*'Fractal root'!B101/100*3</f>
        <v>0.34641016151377546</v>
      </c>
      <c r="D191" s="271">
        <f>'Fractal root'!E101</f>
        <v>11.547005383792516</v>
      </c>
      <c r="E191" s="271">
        <f>'Fractal root'!B101</f>
        <v>1</v>
      </c>
      <c r="F191" s="271">
        <f t="shared" si="12"/>
        <v>314.16000000000008</v>
      </c>
      <c r="G191" s="271">
        <f t="shared" si="10"/>
        <v>314.16000000000008</v>
      </c>
      <c r="H191" s="271">
        <f t="shared" si="13"/>
        <v>4.3702455445545647</v>
      </c>
      <c r="I191" s="271">
        <f t="shared" si="11"/>
        <v>0.10218108703556744</v>
      </c>
    </row>
    <row r="192" spans="1:9">
      <c r="A192" s="264">
        <f>-'Fractal root'!$B$2+'Fractal root'!D102</f>
        <v>-0.1796534653465347</v>
      </c>
      <c r="B192" s="264">
        <f>3*'Fractal root'!O102</f>
        <v>1.5138974649439665E-2</v>
      </c>
      <c r="C192" s="271">
        <f>'Fractal root'!E102*'Fractal root'!B102/100*3</f>
        <v>0.34641016151377546</v>
      </c>
      <c r="D192" s="271">
        <f>'Fractal root'!E102</f>
        <v>11.547005383792516</v>
      </c>
      <c r="E192" s="271">
        <f>'Fractal root'!B102</f>
        <v>1</v>
      </c>
      <c r="F192" s="271">
        <f t="shared" si="12"/>
        <v>314.16000000000008</v>
      </c>
      <c r="G192" s="271">
        <f t="shared" si="10"/>
        <v>314.16000000000008</v>
      </c>
      <c r="H192" s="271">
        <f t="shared" si="13"/>
        <v>4.2302732673267371</v>
      </c>
      <c r="I192" s="271">
        <f t="shared" si="11"/>
        <v>0.10260411436230012</v>
      </c>
    </row>
    <row r="193" spans="1:9">
      <c r="A193" s="264">
        <f>-'Fractal root'!$B$2+'Fractal root'!D103</f>
        <v>-0.16618811881188122</v>
      </c>
      <c r="B193" s="264">
        <f>3*'Fractal root'!O103</f>
        <v>1.4654096457820599E-2</v>
      </c>
      <c r="C193" s="271">
        <f>'Fractal root'!E103*'Fractal root'!B103/100*3</f>
        <v>0.34641016151377546</v>
      </c>
      <c r="D193" s="271">
        <f>'Fractal root'!E103</f>
        <v>11.547005383792516</v>
      </c>
      <c r="E193" s="271">
        <f>'Fractal root'!B103</f>
        <v>1</v>
      </c>
      <c r="F193" s="271">
        <f t="shared" si="12"/>
        <v>314.16000000000008</v>
      </c>
      <c r="G193" s="271">
        <f t="shared" si="10"/>
        <v>314.16000000000008</v>
      </c>
      <c r="H193" s="271">
        <f t="shared" si="13"/>
        <v>4.0903009900989096</v>
      </c>
      <c r="I193" s="271">
        <f t="shared" si="11"/>
        <v>0.10301314446131001</v>
      </c>
    </row>
    <row r="194" spans="1:9">
      <c r="A194" s="264">
        <f>-'Fractal root'!$B$2+'Fractal root'!D104</f>
        <v>-0.15316831683168353</v>
      </c>
      <c r="B194" s="264">
        <f>3*'Fractal root'!O104</f>
        <v>1.4169218266201537E-2</v>
      </c>
      <c r="C194" s="271">
        <f>'Fractal root'!E104*'Fractal root'!B104/100*3</f>
        <v>0.34641016151377546</v>
      </c>
      <c r="D194" s="271">
        <f>'Fractal root'!E104</f>
        <v>11.547005383792516</v>
      </c>
      <c r="E194" s="271">
        <f>'Fractal root'!B104</f>
        <v>1</v>
      </c>
      <c r="F194" s="271">
        <f t="shared" si="12"/>
        <v>314.16000000000008</v>
      </c>
      <c r="G194" s="271">
        <f t="shared" si="10"/>
        <v>314.16000000000008</v>
      </c>
      <c r="H194" s="271">
        <f t="shared" si="13"/>
        <v>3.9503287128713613</v>
      </c>
      <c r="I194" s="271">
        <f t="shared" si="11"/>
        <v>0.10340817733259713</v>
      </c>
    </row>
    <row r="195" spans="1:9">
      <c r="A195" s="264">
        <f>-'Fractal root'!$B$2+'Fractal root'!D105</f>
        <v>-0.14059405940594072</v>
      </c>
      <c r="B195" s="264">
        <f>3*'Fractal root'!O105</f>
        <v>1.3684340074582472E-2</v>
      </c>
      <c r="C195" s="271">
        <f>'Fractal root'!E105*'Fractal root'!B105/100*3</f>
        <v>0.34641016151377546</v>
      </c>
      <c r="D195" s="271">
        <f>'Fractal root'!E105</f>
        <v>11.547005383792516</v>
      </c>
      <c r="E195" s="271">
        <f>'Fractal root'!B105</f>
        <v>1</v>
      </c>
      <c r="F195" s="271">
        <f t="shared" si="12"/>
        <v>314.16000000000008</v>
      </c>
      <c r="G195" s="271">
        <f t="shared" si="10"/>
        <v>314.16000000000008</v>
      </c>
      <c r="H195" s="271">
        <f t="shared" si="13"/>
        <v>3.8103564356435338</v>
      </c>
      <c r="I195" s="271">
        <f t="shared" si="11"/>
        <v>0.10378921297616149</v>
      </c>
    </row>
    <row r="196" spans="1:9">
      <c r="A196" s="264">
        <f>-'Fractal root'!$B$2+'Fractal root'!D106</f>
        <v>-0.12846534653465369</v>
      </c>
      <c r="B196" s="264">
        <f>3*'Fractal root'!O106</f>
        <v>1.3199461882963406E-2</v>
      </c>
      <c r="C196" s="271">
        <f>'Fractal root'!E106*'Fractal root'!B106/100*3</f>
        <v>0.34641016151377546</v>
      </c>
      <c r="D196" s="271">
        <f>'Fractal root'!E106</f>
        <v>11.547005383792516</v>
      </c>
      <c r="E196" s="271">
        <f>'Fractal root'!B106</f>
        <v>1</v>
      </c>
      <c r="F196" s="271">
        <f t="shared" si="12"/>
        <v>314.16000000000008</v>
      </c>
      <c r="G196" s="271">
        <f t="shared" si="10"/>
        <v>314.16000000000008</v>
      </c>
      <c r="H196" s="271">
        <f t="shared" si="13"/>
        <v>3.6703841584158456</v>
      </c>
      <c r="I196" s="271">
        <f t="shared" si="11"/>
        <v>0.10415625139200307</v>
      </c>
    </row>
    <row r="197" spans="1:9">
      <c r="A197" s="264">
        <f>-'Fractal root'!$B$2+'Fractal root'!D107</f>
        <v>-0.116782178217822</v>
      </c>
      <c r="B197" s="264">
        <f>3*'Fractal root'!O107</f>
        <v>1.2714583691344343E-2</v>
      </c>
      <c r="C197" s="271">
        <f>'Fractal root'!E107*'Fractal root'!B107/100*3</f>
        <v>0.34641016151377546</v>
      </c>
      <c r="D197" s="271">
        <f>'Fractal root'!E107</f>
        <v>11.547005383792516</v>
      </c>
      <c r="E197" s="271">
        <f>'Fractal root'!B107</f>
        <v>1</v>
      </c>
      <c r="F197" s="271">
        <f t="shared" si="12"/>
        <v>314.16000000000008</v>
      </c>
      <c r="G197" s="271">
        <f t="shared" si="10"/>
        <v>314.16000000000008</v>
      </c>
      <c r="H197" s="271">
        <f t="shared" si="13"/>
        <v>3.530411881188158</v>
      </c>
      <c r="I197" s="271">
        <f t="shared" si="11"/>
        <v>0.10450929258012188</v>
      </c>
    </row>
    <row r="198" spans="1:9">
      <c r="A198" s="264">
        <f>-'Fractal root'!$B$2+'Fractal root'!D108</f>
        <v>-0.10554455445544564</v>
      </c>
      <c r="B198" s="264">
        <f>3*'Fractal root'!O108</f>
        <v>1.2229705499725279E-2</v>
      </c>
      <c r="C198" s="271">
        <f>'Fractal root'!E108*'Fractal root'!B108/100*3</f>
        <v>0.34641016151377546</v>
      </c>
      <c r="D198" s="271">
        <f>'Fractal root'!E108</f>
        <v>11.547005383792516</v>
      </c>
      <c r="E198" s="271">
        <f>'Fractal root'!B108</f>
        <v>1</v>
      </c>
      <c r="F198" s="271">
        <f t="shared" si="12"/>
        <v>314.16000000000008</v>
      </c>
      <c r="G198" s="271">
        <f t="shared" si="10"/>
        <v>314.16000000000008</v>
      </c>
      <c r="H198" s="271">
        <f t="shared" si="13"/>
        <v>3.3904396039603304</v>
      </c>
      <c r="I198" s="271">
        <f t="shared" si="11"/>
        <v>0.10484833654051792</v>
      </c>
    </row>
    <row r="199" spans="1:9">
      <c r="A199" s="264">
        <f>-'Fractal root'!$B$2+'Fractal root'!D109</f>
        <v>-9.4752475247525059E-2</v>
      </c>
      <c r="B199" s="264">
        <f>3*'Fractal root'!O109</f>
        <v>1.1744827308106214E-2</v>
      </c>
      <c r="C199" s="271">
        <f>'Fractal root'!E109*'Fractal root'!B109/100*3</f>
        <v>0.34641016151377546</v>
      </c>
      <c r="D199" s="271">
        <f>'Fractal root'!E109</f>
        <v>11.547005383792516</v>
      </c>
      <c r="E199" s="271">
        <f>'Fractal root'!B109</f>
        <v>1</v>
      </c>
      <c r="F199" s="271">
        <f t="shared" si="12"/>
        <v>314.16000000000008</v>
      </c>
      <c r="G199" s="271">
        <f t="shared" si="10"/>
        <v>314.16000000000008</v>
      </c>
      <c r="H199" s="271">
        <f t="shared" si="13"/>
        <v>3.2504673267326423</v>
      </c>
      <c r="I199" s="271">
        <f t="shared" si="11"/>
        <v>0.10517338327319119</v>
      </c>
    </row>
    <row r="200" spans="1:9">
      <c r="A200" s="264">
        <f>-'Fractal root'!$B$2+'Fractal root'!D110</f>
        <v>-8.4405940594059814E-2</v>
      </c>
      <c r="B200" s="264">
        <f>3*'Fractal root'!O110</f>
        <v>1.1259949116487148E-2</v>
      </c>
      <c r="C200" s="271">
        <f>'Fractal root'!E110*'Fractal root'!B110/100*3</f>
        <v>0.34641016151377546</v>
      </c>
      <c r="D200" s="271">
        <f>'Fractal root'!E110</f>
        <v>11.547005383792516</v>
      </c>
      <c r="E200" s="271">
        <f>'Fractal root'!B110</f>
        <v>1</v>
      </c>
      <c r="F200" s="271">
        <f t="shared" si="12"/>
        <v>314.16000000000008</v>
      </c>
      <c r="G200" s="271">
        <f t="shared" si="10"/>
        <v>314.16000000000008</v>
      </c>
      <c r="H200" s="271">
        <f t="shared" si="13"/>
        <v>3.1104950495049541</v>
      </c>
      <c r="I200" s="271">
        <f t="shared" si="11"/>
        <v>0.10548443277814168</v>
      </c>
    </row>
    <row r="201" spans="1:9">
      <c r="A201" s="264">
        <f>-'Fractal root'!$B$2+'Fractal root'!D111</f>
        <v>-7.4504950495049904E-2</v>
      </c>
      <c r="B201" s="264">
        <f>3*'Fractal root'!O111</f>
        <v>1.0775070924868084E-2</v>
      </c>
      <c r="C201" s="271">
        <f>'Fractal root'!E111*'Fractal root'!B111/100*3</f>
        <v>0.34641016151377546</v>
      </c>
      <c r="D201" s="271">
        <f>'Fractal root'!E111</f>
        <v>11.547005383792516</v>
      </c>
      <c r="E201" s="271">
        <f>'Fractal root'!B111</f>
        <v>1</v>
      </c>
      <c r="F201" s="271">
        <f t="shared" si="12"/>
        <v>314.16000000000008</v>
      </c>
      <c r="G201" s="271">
        <f t="shared" ref="G201:G211" si="14">F201*E201</f>
        <v>314.16000000000008</v>
      </c>
      <c r="H201" s="271">
        <f t="shared" si="13"/>
        <v>2.970522772277266</v>
      </c>
      <c r="I201" s="271">
        <f t="shared" si="11"/>
        <v>0.10578148505536941</v>
      </c>
    </row>
    <row r="202" spans="1:9">
      <c r="A202" s="264">
        <f>-'Fractal root'!$B$2+'Fractal root'!D112</f>
        <v>-6.5049504950495329E-2</v>
      </c>
      <c r="B202" s="264">
        <f>3*'Fractal root'!O112</f>
        <v>1.0290192733249019E-2</v>
      </c>
      <c r="C202" s="271">
        <f>'Fractal root'!E112*'Fractal root'!B112/100*3</f>
        <v>0.34641016151377546</v>
      </c>
      <c r="D202" s="271">
        <f>'Fractal root'!E112</f>
        <v>11.547005383792516</v>
      </c>
      <c r="E202" s="271">
        <f>'Fractal root'!B112</f>
        <v>1</v>
      </c>
      <c r="F202" s="271">
        <f t="shared" si="12"/>
        <v>314.16000000000008</v>
      </c>
      <c r="G202" s="271">
        <f t="shared" si="14"/>
        <v>314.16000000000008</v>
      </c>
      <c r="H202" s="271">
        <f t="shared" si="13"/>
        <v>2.8305504950494385</v>
      </c>
      <c r="I202" s="271">
        <f t="shared" ref="I202:I211" si="15">I201+H202/10000</f>
        <v>0.10606454010487436</v>
      </c>
    </row>
    <row r="203" spans="1:9">
      <c r="A203" s="264">
        <f>-'Fractal root'!$B$2+'Fractal root'!D113</f>
        <v>-5.6039603960396533E-2</v>
      </c>
      <c r="B203" s="264">
        <f>3*'Fractal root'!O113</f>
        <v>9.8053145416299569E-3</v>
      </c>
      <c r="C203" s="271">
        <f>'Fractal root'!E113*'Fractal root'!B113/100*3</f>
        <v>0.34641016151377546</v>
      </c>
      <c r="D203" s="271">
        <f>'Fractal root'!E113</f>
        <v>11.547005383792516</v>
      </c>
      <c r="E203" s="271">
        <f>'Fractal root'!B113</f>
        <v>1</v>
      </c>
      <c r="F203" s="271">
        <f t="shared" si="12"/>
        <v>314.16000000000008</v>
      </c>
      <c r="G203" s="271">
        <f t="shared" si="14"/>
        <v>314.16000000000008</v>
      </c>
      <c r="H203" s="271">
        <f t="shared" si="13"/>
        <v>2.6905782178217503</v>
      </c>
      <c r="I203" s="271">
        <f t="shared" si="15"/>
        <v>0.10633359792665653</v>
      </c>
    </row>
    <row r="204" spans="1:9">
      <c r="A204" s="264">
        <f>-'Fractal root'!$B$2+'Fractal root'!D114</f>
        <v>-4.7475247524753073E-2</v>
      </c>
      <c r="B204" s="264">
        <f>3*'Fractal root'!O114</f>
        <v>9.3204363500108897E-3</v>
      </c>
      <c r="C204" s="271">
        <f>'Fractal root'!E114*'Fractal root'!B114/100*3</f>
        <v>0.34641016151377546</v>
      </c>
      <c r="D204" s="271">
        <f>'Fractal root'!E114</f>
        <v>11.547005383792516</v>
      </c>
      <c r="E204" s="271">
        <f>'Fractal root'!B114</f>
        <v>1</v>
      </c>
      <c r="F204" s="271">
        <f t="shared" si="12"/>
        <v>314.16000000000008</v>
      </c>
      <c r="G204" s="271">
        <f t="shared" si="14"/>
        <v>314.16000000000008</v>
      </c>
      <c r="H204" s="271">
        <f t="shared" si="13"/>
        <v>2.5506059405940622</v>
      </c>
      <c r="I204" s="271">
        <f t="shared" si="15"/>
        <v>0.10658865852071593</v>
      </c>
    </row>
    <row r="205" spans="1:9">
      <c r="A205" s="264">
        <f>-'Fractal root'!$B$2+'Fractal root'!D115</f>
        <v>-3.9356435643564947E-2</v>
      </c>
      <c r="B205" s="264">
        <f>3*'Fractal root'!O115</f>
        <v>8.835558158391826E-3</v>
      </c>
      <c r="C205" s="271">
        <f>'Fractal root'!E115*'Fractal root'!B115/100*3</f>
        <v>0.34641016151377546</v>
      </c>
      <c r="D205" s="271">
        <f>'Fractal root'!E115</f>
        <v>11.547005383792516</v>
      </c>
      <c r="E205" s="271">
        <f>'Fractal root'!B115</f>
        <v>1</v>
      </c>
      <c r="F205" s="271">
        <f t="shared" si="12"/>
        <v>314.16000000000008</v>
      </c>
      <c r="G205" s="271">
        <f t="shared" si="14"/>
        <v>314.16000000000008</v>
      </c>
      <c r="H205" s="271">
        <f t="shared" si="13"/>
        <v>2.4106336633663741</v>
      </c>
      <c r="I205" s="271">
        <f t="shared" si="15"/>
        <v>0.10682972188705257</v>
      </c>
    </row>
    <row r="206" spans="1:9">
      <c r="A206" s="264">
        <f>-'Fractal root'!$B$2+'Fractal root'!D116</f>
        <v>-3.1683168316832155E-2</v>
      </c>
      <c r="B206" s="264">
        <f>3*'Fractal root'!O116</f>
        <v>8.3506799667727623E-3</v>
      </c>
      <c r="C206" s="271">
        <f>'Fractal root'!E116*'Fractal root'!B116/100*3</f>
        <v>0.34641016151377546</v>
      </c>
      <c r="D206" s="271">
        <f>'Fractal root'!E116</f>
        <v>11.547005383792516</v>
      </c>
      <c r="E206" s="271">
        <f>'Fractal root'!B116</f>
        <v>1</v>
      </c>
      <c r="F206" s="271">
        <f t="shared" si="12"/>
        <v>314.16000000000008</v>
      </c>
      <c r="G206" s="271">
        <f t="shared" si="14"/>
        <v>314.16000000000008</v>
      </c>
      <c r="H206" s="271">
        <f t="shared" si="13"/>
        <v>2.2706613861385465</v>
      </c>
      <c r="I206" s="271">
        <f t="shared" si="15"/>
        <v>0.10705678802566643</v>
      </c>
    </row>
    <row r="207" spans="1:9">
      <c r="A207" s="264">
        <f>-'Fractal root'!$B$2+'Fractal root'!D117</f>
        <v>-2.4455445544555143E-2</v>
      </c>
      <c r="B207" s="264">
        <f>3*'Fractal root'!O117</f>
        <v>7.8658017751536968E-3</v>
      </c>
      <c r="C207" s="271">
        <f>'Fractal root'!E117*'Fractal root'!B117/100*3</f>
        <v>0.34641016151377546</v>
      </c>
      <c r="D207" s="271">
        <f>'Fractal root'!E117</f>
        <v>11.547005383792516</v>
      </c>
      <c r="E207" s="271">
        <f>'Fractal root'!B117</f>
        <v>1</v>
      </c>
      <c r="F207" s="271">
        <f t="shared" si="12"/>
        <v>314.16000000000008</v>
      </c>
      <c r="G207" s="271">
        <f t="shared" si="14"/>
        <v>314.16000000000008</v>
      </c>
      <c r="H207" s="271">
        <f t="shared" si="13"/>
        <v>2.1306891089109983</v>
      </c>
      <c r="I207" s="271">
        <f t="shared" si="15"/>
        <v>0.10726985693655752</v>
      </c>
    </row>
    <row r="208" spans="1:9">
      <c r="A208" s="264">
        <f>-'Fractal root'!$B$2+'Fractal root'!D118</f>
        <v>-1.7673267326733022E-2</v>
      </c>
      <c r="B208" s="264">
        <f>3*'Fractal root'!O118</f>
        <v>7.3809235835346401E-3</v>
      </c>
      <c r="C208" s="271">
        <f>'Fractal root'!E118*'Fractal root'!B118/100*3</f>
        <v>0.34641016151377546</v>
      </c>
      <c r="D208" s="271">
        <f>'Fractal root'!E118</f>
        <v>11.547005383792516</v>
      </c>
      <c r="E208" s="271">
        <f>'Fractal root'!B118</f>
        <v>1</v>
      </c>
      <c r="F208" s="271">
        <f t="shared" si="12"/>
        <v>314.16000000000008</v>
      </c>
      <c r="G208" s="271">
        <f t="shared" si="14"/>
        <v>314.16000000000008</v>
      </c>
      <c r="H208" s="271">
        <f t="shared" si="13"/>
        <v>1.9907168316831707</v>
      </c>
      <c r="I208" s="271">
        <f t="shared" si="15"/>
        <v>0.10746892861972585</v>
      </c>
    </row>
    <row r="209" spans="1:9">
      <c r="A209" s="264">
        <f>-'Fractal root'!$B$2+'Fractal root'!D119</f>
        <v>-1.133663366336668E-2</v>
      </c>
      <c r="B209" s="264">
        <f>3*'Fractal root'!O119</f>
        <v>6.8960453919155763E-3</v>
      </c>
      <c r="C209" s="271">
        <f>'Fractal root'!E119*'Fractal root'!B119/100*3</f>
        <v>0.34641016151377546</v>
      </c>
      <c r="D209" s="271">
        <f>'Fractal root'!E119</f>
        <v>11.547005383792516</v>
      </c>
      <c r="E209" s="271">
        <f>'Fractal root'!B119</f>
        <v>1</v>
      </c>
      <c r="F209" s="271">
        <f t="shared" si="12"/>
        <v>314.16000000000008</v>
      </c>
      <c r="G209" s="271">
        <f t="shared" si="14"/>
        <v>314.16000000000008</v>
      </c>
      <c r="H209" s="271">
        <f t="shared" si="13"/>
        <v>1.8507445544554826</v>
      </c>
      <c r="I209" s="271">
        <f t="shared" si="15"/>
        <v>0.10765400307517139</v>
      </c>
    </row>
    <row r="210" spans="1:9">
      <c r="A210" s="264">
        <f>-'Fractal root'!$B$2+'Fractal root'!D120</f>
        <v>-5.4455445544556724E-3</v>
      </c>
      <c r="B210" s="264">
        <f>3*'Fractal root'!O120</f>
        <v>6.4111672002965117E-3</v>
      </c>
      <c r="C210" s="271">
        <f>'Fractal root'!E120*'Fractal root'!B120/100*3</f>
        <v>0.34641016151377546</v>
      </c>
      <c r="D210" s="271">
        <f>'Fractal root'!E120</f>
        <v>11.547005383792516</v>
      </c>
      <c r="E210" s="271">
        <f>'Fractal root'!B120</f>
        <v>1</v>
      </c>
      <c r="F210" s="271">
        <f t="shared" si="12"/>
        <v>314.16000000000008</v>
      </c>
      <c r="G210" s="271">
        <f t="shared" si="14"/>
        <v>314.16000000000008</v>
      </c>
      <c r="H210" s="271">
        <f t="shared" si="13"/>
        <v>1.7107722772277945</v>
      </c>
      <c r="I210" s="271">
        <f t="shared" si="15"/>
        <v>0.10782508030289417</v>
      </c>
    </row>
    <row r="211" spans="1:9">
      <c r="A211" s="264">
        <f>-'Fractal root'!$B$2+'Fractal root'!D121</f>
        <v>0</v>
      </c>
      <c r="B211" s="264">
        <f>3*'Fractal root'!O121</f>
        <v>5.9262890086774472E-3</v>
      </c>
      <c r="C211" s="271">
        <f>'Fractal root'!E121*'Fractal root'!B121/100*3</f>
        <v>0.34641016151377546</v>
      </c>
      <c r="D211" s="271">
        <f>'Fractal root'!E121</f>
        <v>11.547005383792516</v>
      </c>
      <c r="E211" s="271">
        <f>'Fractal root'!B121</f>
        <v>1</v>
      </c>
      <c r="F211" s="271">
        <f t="shared" si="12"/>
        <v>314.16000000000008</v>
      </c>
      <c r="G211" s="271">
        <f t="shared" si="14"/>
        <v>314.16000000000008</v>
      </c>
      <c r="H211" s="271">
        <f>H210</f>
        <v>1.7107722772277945</v>
      </c>
      <c r="I211" s="271">
        <f t="shared" si="15"/>
        <v>0.10799615753061695</v>
      </c>
    </row>
    <row r="212" spans="1:9">
      <c r="A212" s="264"/>
    </row>
    <row r="213" spans="1:9">
      <c r="A213" s="264"/>
    </row>
    <row r="214" spans="1:9">
      <c r="A214" s="264"/>
    </row>
    <row r="215" spans="1:9">
      <c r="A215" s="264"/>
    </row>
    <row r="216" spans="1:9">
      <c r="A216" s="264"/>
    </row>
    <row r="217" spans="1:9">
      <c r="A217" s="264"/>
    </row>
    <row r="218" spans="1:9">
      <c r="A218" s="264"/>
    </row>
    <row r="219" spans="1:9">
      <c r="A219" s="264"/>
    </row>
    <row r="220" spans="1:9">
      <c r="A220" s="264"/>
    </row>
    <row r="221" spans="1:9">
      <c r="A221" s="264"/>
    </row>
    <row r="222" spans="1:9">
      <c r="A222" s="264"/>
    </row>
    <row r="223" spans="1:9">
      <c r="A223" s="264"/>
    </row>
    <row r="224" spans="1:9">
      <c r="A224" s="264"/>
    </row>
    <row r="225" spans="1:1">
      <c r="A225" s="264"/>
    </row>
    <row r="226" spans="1:1">
      <c r="A226" s="264"/>
    </row>
    <row r="227" spans="1:1">
      <c r="A227" s="264"/>
    </row>
    <row r="228" spans="1:1">
      <c r="A228" s="264"/>
    </row>
    <row r="229" spans="1:1">
      <c r="A229" s="264"/>
    </row>
    <row r="230" spans="1:1">
      <c r="A230" s="264"/>
    </row>
    <row r="231" spans="1:1">
      <c r="A231" s="264"/>
    </row>
    <row r="232" spans="1:1">
      <c r="A232" s="264"/>
    </row>
    <row r="233" spans="1:1">
      <c r="A233" s="264"/>
    </row>
    <row r="234" spans="1:1">
      <c r="A234" s="264"/>
    </row>
    <row r="235" spans="1:1">
      <c r="A235" s="264"/>
    </row>
    <row r="236" spans="1:1">
      <c r="A236" s="264"/>
    </row>
    <row r="237" spans="1:1">
      <c r="A237" s="264"/>
    </row>
    <row r="238" spans="1:1">
      <c r="A238" s="264"/>
    </row>
    <row r="239" spans="1:1">
      <c r="A239" s="264"/>
    </row>
    <row r="240" spans="1:1">
      <c r="A240" s="264"/>
    </row>
    <row r="241" spans="1:1">
      <c r="A241" s="264"/>
    </row>
    <row r="242" spans="1:1">
      <c r="A242" s="264"/>
    </row>
    <row r="243" spans="1:1">
      <c r="A243" s="264"/>
    </row>
    <row r="244" spans="1:1">
      <c r="A244" s="264"/>
    </row>
    <row r="245" spans="1:1">
      <c r="A245" s="264"/>
    </row>
    <row r="246" spans="1:1">
      <c r="A246" s="264"/>
    </row>
    <row r="247" spans="1:1">
      <c r="A247" s="264"/>
    </row>
    <row r="248" spans="1:1">
      <c r="A248" s="264"/>
    </row>
    <row r="249" spans="1:1">
      <c r="A249" s="264"/>
    </row>
    <row r="250" spans="1:1">
      <c r="A250" s="264"/>
    </row>
    <row r="251" spans="1:1">
      <c r="A251" s="264"/>
    </row>
    <row r="252" spans="1:1">
      <c r="A252" s="264"/>
    </row>
    <row r="253" spans="1:1">
      <c r="A253" s="264"/>
    </row>
    <row r="254" spans="1:1">
      <c r="A254" s="264"/>
    </row>
    <row r="255" spans="1:1">
      <c r="A255" s="264"/>
    </row>
    <row r="256" spans="1:1">
      <c r="A256" s="264"/>
    </row>
    <row r="257" spans="1:1">
      <c r="A257" s="264"/>
    </row>
    <row r="258" spans="1:1">
      <c r="A258" s="264"/>
    </row>
    <row r="259" spans="1:1">
      <c r="A259" s="264"/>
    </row>
    <row r="260" spans="1:1">
      <c r="A260" s="264"/>
    </row>
    <row r="261" spans="1:1">
      <c r="A261" s="264"/>
    </row>
    <row r="262" spans="1:1">
      <c r="A262" s="264"/>
    </row>
    <row r="263" spans="1:1">
      <c r="A263" s="26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8F18-E17C-6245-B3D2-6C16947FBFF7}">
  <sheetPr codeName="Feuil3"/>
  <dimension ref="B1:M68"/>
  <sheetViews>
    <sheetView zoomScale="150" workbookViewId="0">
      <selection activeCell="C12" sqref="C12:H64"/>
    </sheetView>
  </sheetViews>
  <sheetFormatPr baseColWidth="10" defaultRowHeight="16"/>
  <cols>
    <col min="3" max="3" width="25.33203125" customWidth="1"/>
    <col min="4" max="4" width="16.33203125" customWidth="1"/>
    <col min="5" max="5" width="14.33203125" customWidth="1"/>
    <col min="6" max="6" width="14.5" customWidth="1"/>
  </cols>
  <sheetData>
    <row r="1" spans="2:13" ht="24">
      <c r="B1" s="179" t="s">
        <v>545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</row>
    <row r="2" spans="2:13" ht="24">
      <c r="B2" s="179" t="s">
        <v>546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</row>
    <row r="8" spans="2:13">
      <c r="B8" t="s">
        <v>550</v>
      </c>
    </row>
    <row r="9" spans="2:13">
      <c r="C9" s="182"/>
    </row>
    <row r="11" spans="2:13" ht="21">
      <c r="C11" s="180" t="s">
        <v>549</v>
      </c>
      <c r="D11" s="181" t="s">
        <v>263</v>
      </c>
      <c r="E11" s="181" t="s">
        <v>547</v>
      </c>
      <c r="F11" s="181" t="s">
        <v>548</v>
      </c>
      <c r="G11" s="181" t="s">
        <v>538</v>
      </c>
      <c r="H11" s="181" t="s">
        <v>121</v>
      </c>
    </row>
    <row r="12" spans="2:13">
      <c r="C12" s="177">
        <v>1</v>
      </c>
      <c r="D12" s="177">
        <v>1200</v>
      </c>
      <c r="E12" s="177">
        <v>25</v>
      </c>
      <c r="F12" s="177">
        <v>40</v>
      </c>
      <c r="G12" s="177">
        <v>0</v>
      </c>
      <c r="H12" s="177">
        <v>1</v>
      </c>
    </row>
    <row r="13" spans="2:13">
      <c r="C13" s="177">
        <f>C12+1</f>
        <v>2</v>
      </c>
      <c r="D13" s="177">
        <v>1200</v>
      </c>
      <c r="E13" s="177">
        <v>25</v>
      </c>
      <c r="F13" s="177">
        <v>40</v>
      </c>
      <c r="G13" s="177">
        <v>0</v>
      </c>
      <c r="H13" s="177">
        <v>1</v>
      </c>
    </row>
    <row r="14" spans="2:13">
      <c r="C14" s="177">
        <f t="shared" ref="C14:C64" si="0">C13+1</f>
        <v>3</v>
      </c>
      <c r="D14" s="177">
        <v>1200</v>
      </c>
      <c r="E14" s="177">
        <v>25</v>
      </c>
      <c r="F14" s="177">
        <v>40</v>
      </c>
      <c r="G14" s="177">
        <v>0</v>
      </c>
      <c r="H14" s="177">
        <v>1</v>
      </c>
    </row>
    <row r="15" spans="2:13">
      <c r="C15" s="177">
        <f t="shared" si="0"/>
        <v>4</v>
      </c>
      <c r="D15" s="177">
        <v>1200</v>
      </c>
      <c r="E15" s="177">
        <v>25</v>
      </c>
      <c r="F15" s="177">
        <v>40</v>
      </c>
      <c r="G15" s="177">
        <v>0</v>
      </c>
      <c r="H15" s="177">
        <v>1</v>
      </c>
    </row>
    <row r="16" spans="2:13">
      <c r="C16" s="177">
        <f t="shared" si="0"/>
        <v>5</v>
      </c>
      <c r="D16" s="177">
        <v>1200</v>
      </c>
      <c r="E16" s="177">
        <v>25</v>
      </c>
      <c r="F16" s="177">
        <v>40</v>
      </c>
      <c r="G16" s="177">
        <v>0</v>
      </c>
      <c r="H16" s="177">
        <v>1</v>
      </c>
    </row>
    <row r="17" spans="3:8">
      <c r="C17" s="177">
        <f t="shared" si="0"/>
        <v>6</v>
      </c>
      <c r="D17" s="177">
        <v>1200</v>
      </c>
      <c r="E17" s="177">
        <v>25</v>
      </c>
      <c r="F17" s="177">
        <v>40</v>
      </c>
      <c r="G17" s="177">
        <v>0</v>
      </c>
      <c r="H17" s="177">
        <v>1</v>
      </c>
    </row>
    <row r="18" spans="3:8">
      <c r="C18" s="177">
        <f t="shared" si="0"/>
        <v>7</v>
      </c>
      <c r="D18" s="177">
        <v>1200</v>
      </c>
      <c r="E18" s="177">
        <v>25</v>
      </c>
      <c r="F18" s="177">
        <v>40</v>
      </c>
      <c r="G18" s="177">
        <v>0</v>
      </c>
      <c r="H18" s="177">
        <v>1</v>
      </c>
    </row>
    <row r="19" spans="3:8">
      <c r="C19" s="177">
        <f t="shared" si="0"/>
        <v>8</v>
      </c>
      <c r="D19" s="177">
        <v>1200</v>
      </c>
      <c r="E19" s="177">
        <v>25</v>
      </c>
      <c r="F19" s="177">
        <v>40</v>
      </c>
      <c r="G19" s="177">
        <v>0</v>
      </c>
      <c r="H19" s="177">
        <v>1</v>
      </c>
    </row>
    <row r="20" spans="3:8">
      <c r="C20" s="177">
        <f t="shared" si="0"/>
        <v>9</v>
      </c>
      <c r="D20" s="177">
        <v>1200</v>
      </c>
      <c r="E20" s="177">
        <v>25</v>
      </c>
      <c r="F20" s="177">
        <v>40</v>
      </c>
      <c r="G20" s="177">
        <v>0</v>
      </c>
      <c r="H20" s="177">
        <v>1</v>
      </c>
    </row>
    <row r="21" spans="3:8">
      <c r="C21" s="177">
        <f t="shared" si="0"/>
        <v>10</v>
      </c>
      <c r="D21" s="177">
        <v>1200</v>
      </c>
      <c r="E21" s="177">
        <v>25</v>
      </c>
      <c r="F21" s="177">
        <v>40</v>
      </c>
      <c r="G21" s="177">
        <v>0</v>
      </c>
      <c r="H21" s="177">
        <v>1</v>
      </c>
    </row>
    <row r="22" spans="3:8">
      <c r="C22" s="177">
        <f t="shared" si="0"/>
        <v>11</v>
      </c>
      <c r="D22" s="177">
        <v>1200</v>
      </c>
      <c r="E22" s="177">
        <v>25</v>
      </c>
      <c r="F22" s="177">
        <v>40</v>
      </c>
      <c r="G22" s="177">
        <v>0</v>
      </c>
      <c r="H22" s="177">
        <v>1</v>
      </c>
    </row>
    <row r="23" spans="3:8">
      <c r="C23" s="177">
        <f t="shared" si="0"/>
        <v>12</v>
      </c>
      <c r="D23" s="177">
        <v>1200</v>
      </c>
      <c r="E23" s="177">
        <v>25</v>
      </c>
      <c r="F23" s="177">
        <v>40</v>
      </c>
      <c r="G23" s="177">
        <v>0</v>
      </c>
      <c r="H23" s="177">
        <v>1</v>
      </c>
    </row>
    <row r="24" spans="3:8">
      <c r="C24" s="177">
        <f t="shared" si="0"/>
        <v>13</v>
      </c>
      <c r="D24" s="177">
        <v>1200</v>
      </c>
      <c r="E24" s="177">
        <v>25</v>
      </c>
      <c r="F24" s="177">
        <v>40</v>
      </c>
      <c r="G24" s="177">
        <v>0</v>
      </c>
      <c r="H24" s="177">
        <v>1</v>
      </c>
    </row>
    <row r="25" spans="3:8">
      <c r="C25" s="177">
        <f t="shared" si="0"/>
        <v>14</v>
      </c>
      <c r="D25" s="177">
        <v>1200</v>
      </c>
      <c r="E25" s="177">
        <v>25</v>
      </c>
      <c r="F25" s="177">
        <v>40</v>
      </c>
      <c r="G25" s="177">
        <v>0</v>
      </c>
      <c r="H25" s="177">
        <v>1</v>
      </c>
    </row>
    <row r="26" spans="3:8">
      <c r="C26" s="177">
        <f t="shared" si="0"/>
        <v>15</v>
      </c>
      <c r="D26" s="177">
        <v>1200</v>
      </c>
      <c r="E26" s="177">
        <v>25</v>
      </c>
      <c r="F26" s="177">
        <v>40</v>
      </c>
      <c r="G26" s="177">
        <v>0</v>
      </c>
      <c r="H26" s="177">
        <v>1</v>
      </c>
    </row>
    <row r="27" spans="3:8">
      <c r="C27" s="177">
        <f t="shared" si="0"/>
        <v>16</v>
      </c>
      <c r="D27" s="177">
        <v>1200</v>
      </c>
      <c r="E27" s="177">
        <v>25</v>
      </c>
      <c r="F27" s="177">
        <v>40</v>
      </c>
      <c r="G27" s="177">
        <v>0</v>
      </c>
      <c r="H27" s="177">
        <v>1</v>
      </c>
    </row>
    <row r="28" spans="3:8">
      <c r="C28" s="177">
        <f t="shared" si="0"/>
        <v>17</v>
      </c>
      <c r="D28" s="177">
        <v>1200</v>
      </c>
      <c r="E28" s="177">
        <v>25</v>
      </c>
      <c r="F28" s="177">
        <v>40</v>
      </c>
      <c r="G28" s="177">
        <v>0</v>
      </c>
      <c r="H28" s="177">
        <v>1</v>
      </c>
    </row>
    <row r="29" spans="3:8">
      <c r="C29" s="177">
        <f t="shared" si="0"/>
        <v>18</v>
      </c>
      <c r="D29" s="177">
        <v>1200</v>
      </c>
      <c r="E29" s="177">
        <v>25</v>
      </c>
      <c r="F29" s="177">
        <v>40</v>
      </c>
      <c r="G29" s="177">
        <v>0</v>
      </c>
      <c r="H29" s="177">
        <v>1</v>
      </c>
    </row>
    <row r="30" spans="3:8">
      <c r="C30" s="177">
        <f t="shared" si="0"/>
        <v>19</v>
      </c>
      <c r="D30" s="177">
        <v>1200</v>
      </c>
      <c r="E30" s="177">
        <v>25</v>
      </c>
      <c r="F30" s="177">
        <v>40</v>
      </c>
      <c r="G30" s="177">
        <v>0</v>
      </c>
      <c r="H30" s="177">
        <v>1</v>
      </c>
    </row>
    <row r="31" spans="3:8">
      <c r="C31" s="177">
        <f t="shared" si="0"/>
        <v>20</v>
      </c>
      <c r="D31" s="177">
        <v>1200</v>
      </c>
      <c r="E31" s="177">
        <v>25</v>
      </c>
      <c r="F31" s="177">
        <v>40</v>
      </c>
      <c r="G31" s="177">
        <v>0</v>
      </c>
      <c r="H31" s="177">
        <v>1</v>
      </c>
    </row>
    <row r="32" spans="3:8">
      <c r="C32" s="177">
        <f t="shared" si="0"/>
        <v>21</v>
      </c>
      <c r="D32" s="177">
        <v>1200</v>
      </c>
      <c r="E32" s="177">
        <v>25</v>
      </c>
      <c r="F32" s="177">
        <v>40</v>
      </c>
      <c r="G32" s="177">
        <v>0</v>
      </c>
      <c r="H32" s="177">
        <v>1</v>
      </c>
    </row>
    <row r="33" spans="3:9">
      <c r="C33" s="177">
        <f t="shared" si="0"/>
        <v>22</v>
      </c>
      <c r="D33" s="177">
        <v>1200</v>
      </c>
      <c r="E33" s="177">
        <v>25</v>
      </c>
      <c r="F33" s="177">
        <v>40</v>
      </c>
      <c r="G33" s="177">
        <v>0</v>
      </c>
      <c r="H33" s="177">
        <v>1</v>
      </c>
    </row>
    <row r="34" spans="3:9">
      <c r="C34" s="177">
        <f t="shared" si="0"/>
        <v>23</v>
      </c>
      <c r="D34" s="177">
        <v>1200</v>
      </c>
      <c r="E34" s="177">
        <v>25</v>
      </c>
      <c r="F34" s="177">
        <v>40</v>
      </c>
      <c r="G34" s="177">
        <v>0</v>
      </c>
      <c r="H34" s="177">
        <v>1</v>
      </c>
    </row>
    <row r="35" spans="3:9">
      <c r="C35" s="177">
        <f t="shared" si="0"/>
        <v>24</v>
      </c>
      <c r="D35" s="177">
        <v>1200</v>
      </c>
      <c r="E35" s="177">
        <v>25</v>
      </c>
      <c r="F35" s="177">
        <v>40</v>
      </c>
      <c r="G35" s="177">
        <v>0</v>
      </c>
      <c r="H35" s="177">
        <v>1</v>
      </c>
    </row>
    <row r="36" spans="3:9">
      <c r="C36" s="177">
        <f t="shared" si="0"/>
        <v>25</v>
      </c>
      <c r="D36" s="177">
        <v>1200</v>
      </c>
      <c r="E36" s="177">
        <v>25</v>
      </c>
      <c r="F36" s="177">
        <v>40</v>
      </c>
      <c r="G36" s="177">
        <v>0</v>
      </c>
      <c r="H36" s="177">
        <v>1</v>
      </c>
    </row>
    <row r="37" spans="3:9">
      <c r="C37" s="177">
        <f t="shared" si="0"/>
        <v>26</v>
      </c>
      <c r="D37" s="177">
        <v>1200</v>
      </c>
      <c r="E37" s="177">
        <v>25</v>
      </c>
      <c r="F37" s="177">
        <v>40</v>
      </c>
      <c r="G37" s="177">
        <v>0</v>
      </c>
      <c r="H37" s="177">
        <v>1</v>
      </c>
    </row>
    <row r="38" spans="3:9">
      <c r="C38" s="177">
        <f t="shared" si="0"/>
        <v>27</v>
      </c>
      <c r="D38" s="177">
        <v>1200</v>
      </c>
      <c r="E38" s="177">
        <v>25</v>
      </c>
      <c r="F38" s="177">
        <v>40</v>
      </c>
      <c r="G38" s="177">
        <v>0</v>
      </c>
      <c r="H38" s="177">
        <v>1</v>
      </c>
    </row>
    <row r="39" spans="3:9">
      <c r="C39" s="177">
        <f t="shared" si="0"/>
        <v>28</v>
      </c>
      <c r="D39" s="177">
        <v>1200</v>
      </c>
      <c r="E39" s="177">
        <v>25</v>
      </c>
      <c r="F39" s="177">
        <v>40</v>
      </c>
      <c r="G39" s="177">
        <v>0</v>
      </c>
      <c r="H39" s="177">
        <v>1</v>
      </c>
    </row>
    <row r="40" spans="3:9">
      <c r="C40" s="177">
        <f t="shared" si="0"/>
        <v>29</v>
      </c>
      <c r="D40" s="177">
        <v>1200</v>
      </c>
      <c r="E40" s="177">
        <v>25</v>
      </c>
      <c r="F40" s="177">
        <v>40</v>
      </c>
      <c r="G40" s="177">
        <v>0</v>
      </c>
      <c r="H40" s="177">
        <v>1</v>
      </c>
    </row>
    <row r="41" spans="3:9">
      <c r="C41" s="177">
        <f t="shared" si="0"/>
        <v>30</v>
      </c>
      <c r="D41" s="177">
        <v>1200</v>
      </c>
      <c r="E41" s="177">
        <v>25</v>
      </c>
      <c r="F41" s="177">
        <v>40</v>
      </c>
      <c r="G41" s="177">
        <v>0</v>
      </c>
      <c r="H41" s="177">
        <v>1</v>
      </c>
    </row>
    <row r="42" spans="3:9">
      <c r="C42" s="177">
        <f t="shared" si="0"/>
        <v>31</v>
      </c>
      <c r="D42" s="177">
        <v>1200</v>
      </c>
      <c r="E42" s="177">
        <v>25</v>
      </c>
      <c r="F42" s="177">
        <v>40</v>
      </c>
      <c r="G42" s="177">
        <v>0</v>
      </c>
      <c r="H42" s="177">
        <v>1</v>
      </c>
    </row>
    <row r="43" spans="3:9">
      <c r="C43" s="177">
        <f t="shared" si="0"/>
        <v>32</v>
      </c>
      <c r="D43" s="177">
        <v>1200</v>
      </c>
      <c r="E43" s="177">
        <v>25</v>
      </c>
      <c r="F43" s="177">
        <v>40</v>
      </c>
      <c r="G43" s="177">
        <v>0</v>
      </c>
      <c r="H43" s="177">
        <v>1</v>
      </c>
    </row>
    <row r="44" spans="3:9">
      <c r="C44" s="177">
        <f t="shared" si="0"/>
        <v>33</v>
      </c>
      <c r="D44" s="177">
        <v>1200</v>
      </c>
      <c r="E44" s="177">
        <v>25</v>
      </c>
      <c r="F44" s="177">
        <v>40</v>
      </c>
      <c r="G44" s="62">
        <v>0</v>
      </c>
      <c r="H44" s="62">
        <v>1</v>
      </c>
    </row>
    <row r="45" spans="3:9">
      <c r="C45" s="177">
        <f t="shared" si="0"/>
        <v>34</v>
      </c>
      <c r="D45" s="177">
        <v>1200</v>
      </c>
      <c r="E45" s="177">
        <v>25</v>
      </c>
      <c r="F45" s="177">
        <v>40</v>
      </c>
      <c r="G45" s="62">
        <v>0</v>
      </c>
      <c r="H45" s="62">
        <v>1</v>
      </c>
      <c r="I45" s="271"/>
    </row>
    <row r="46" spans="3:9">
      <c r="C46" s="177">
        <f t="shared" si="0"/>
        <v>35</v>
      </c>
      <c r="D46" s="177">
        <v>1200</v>
      </c>
      <c r="E46" s="177">
        <v>25</v>
      </c>
      <c r="F46" s="177">
        <v>40</v>
      </c>
      <c r="G46" s="62">
        <v>0</v>
      </c>
      <c r="H46" s="62">
        <v>1</v>
      </c>
    </row>
    <row r="47" spans="3:9">
      <c r="C47" s="177">
        <f t="shared" si="0"/>
        <v>36</v>
      </c>
      <c r="D47" s="177">
        <v>1200</v>
      </c>
      <c r="E47" s="177">
        <v>25</v>
      </c>
      <c r="F47" s="177">
        <v>40</v>
      </c>
      <c r="G47" s="62">
        <v>0</v>
      </c>
      <c r="H47" s="62">
        <v>1</v>
      </c>
    </row>
    <row r="48" spans="3:9">
      <c r="C48" s="177">
        <f t="shared" si="0"/>
        <v>37</v>
      </c>
      <c r="D48" s="177">
        <v>1200</v>
      </c>
      <c r="E48" s="177">
        <v>25</v>
      </c>
      <c r="F48" s="177">
        <v>40</v>
      </c>
      <c r="G48" s="62">
        <v>0</v>
      </c>
      <c r="H48" s="62">
        <v>1</v>
      </c>
    </row>
    <row r="49" spans="3:8">
      <c r="C49" s="177">
        <f t="shared" si="0"/>
        <v>38</v>
      </c>
      <c r="D49" s="177">
        <v>1200</v>
      </c>
      <c r="E49" s="177">
        <v>25</v>
      </c>
      <c r="F49" s="177">
        <v>40</v>
      </c>
      <c r="G49" s="62">
        <v>0</v>
      </c>
      <c r="H49" s="62">
        <v>1</v>
      </c>
    </row>
    <row r="50" spans="3:8">
      <c r="C50" s="177">
        <f t="shared" si="0"/>
        <v>39</v>
      </c>
      <c r="D50" s="177">
        <v>1200</v>
      </c>
      <c r="E50" s="177">
        <v>25</v>
      </c>
      <c r="F50" s="177">
        <v>40</v>
      </c>
      <c r="G50" s="62">
        <v>0</v>
      </c>
      <c r="H50" s="62">
        <v>1</v>
      </c>
    </row>
    <row r="51" spans="3:8">
      <c r="C51" s="177">
        <f t="shared" si="0"/>
        <v>40</v>
      </c>
      <c r="D51" s="177">
        <v>1200</v>
      </c>
      <c r="E51" s="177">
        <v>25</v>
      </c>
      <c r="F51" s="177">
        <v>40</v>
      </c>
      <c r="G51" s="62">
        <v>0</v>
      </c>
      <c r="H51" s="62">
        <v>1</v>
      </c>
    </row>
    <row r="52" spans="3:8">
      <c r="C52" s="177">
        <f t="shared" si="0"/>
        <v>41</v>
      </c>
      <c r="D52" s="177">
        <v>1200</v>
      </c>
      <c r="E52" s="177">
        <v>25</v>
      </c>
      <c r="F52" s="177">
        <v>40</v>
      </c>
      <c r="G52" s="62">
        <v>0</v>
      </c>
      <c r="H52" s="62">
        <v>1</v>
      </c>
    </row>
    <row r="53" spans="3:8">
      <c r="C53" s="177">
        <f t="shared" si="0"/>
        <v>42</v>
      </c>
      <c r="D53" s="177">
        <v>1200</v>
      </c>
      <c r="E53" s="177">
        <v>25</v>
      </c>
      <c r="F53" s="177">
        <v>40</v>
      </c>
      <c r="G53" s="62">
        <v>0</v>
      </c>
      <c r="H53" s="62">
        <v>1</v>
      </c>
    </row>
    <row r="54" spans="3:8">
      <c r="C54" s="177">
        <f t="shared" si="0"/>
        <v>43</v>
      </c>
      <c r="D54" s="177">
        <v>1200</v>
      </c>
      <c r="E54" s="177">
        <v>25</v>
      </c>
      <c r="F54" s="177">
        <v>40</v>
      </c>
      <c r="G54" s="62">
        <v>0</v>
      </c>
      <c r="H54" s="62">
        <v>1</v>
      </c>
    </row>
    <row r="55" spans="3:8">
      <c r="C55" s="177">
        <f t="shared" si="0"/>
        <v>44</v>
      </c>
      <c r="D55" s="177">
        <v>1200</v>
      </c>
      <c r="E55" s="177">
        <v>25</v>
      </c>
      <c r="F55" s="177">
        <v>40</v>
      </c>
      <c r="G55" s="62">
        <v>0</v>
      </c>
      <c r="H55" s="62">
        <v>1</v>
      </c>
    </row>
    <row r="56" spans="3:8">
      <c r="C56" s="177">
        <f t="shared" si="0"/>
        <v>45</v>
      </c>
      <c r="D56" s="177">
        <v>1200</v>
      </c>
      <c r="E56" s="177">
        <v>25</v>
      </c>
      <c r="F56" s="177">
        <v>40</v>
      </c>
      <c r="G56" s="62">
        <v>0</v>
      </c>
      <c r="H56" s="62">
        <v>1</v>
      </c>
    </row>
    <row r="57" spans="3:8">
      <c r="C57" s="177">
        <f t="shared" si="0"/>
        <v>46</v>
      </c>
      <c r="D57" s="177">
        <v>1200</v>
      </c>
      <c r="E57" s="177">
        <v>25</v>
      </c>
      <c r="F57" s="177">
        <v>40</v>
      </c>
      <c r="G57" s="62">
        <v>0</v>
      </c>
      <c r="H57" s="62">
        <v>1</v>
      </c>
    </row>
    <row r="58" spans="3:8">
      <c r="C58" s="177">
        <f t="shared" si="0"/>
        <v>47</v>
      </c>
      <c r="D58" s="177">
        <v>1200</v>
      </c>
      <c r="E58" s="177">
        <v>25</v>
      </c>
      <c r="F58" s="177">
        <v>40</v>
      </c>
      <c r="G58" s="62">
        <v>0</v>
      </c>
      <c r="H58" s="62">
        <v>1</v>
      </c>
    </row>
    <row r="59" spans="3:8">
      <c r="C59" s="177">
        <f t="shared" si="0"/>
        <v>48</v>
      </c>
      <c r="D59" s="177">
        <v>1200</v>
      </c>
      <c r="E59" s="177">
        <v>25</v>
      </c>
      <c r="F59" s="177">
        <v>40</v>
      </c>
      <c r="G59" s="62">
        <v>0</v>
      </c>
      <c r="H59" s="62">
        <v>1</v>
      </c>
    </row>
    <row r="60" spans="3:8">
      <c r="C60" s="177">
        <f t="shared" si="0"/>
        <v>49</v>
      </c>
      <c r="D60" s="177">
        <v>1200</v>
      </c>
      <c r="E60" s="177">
        <v>25</v>
      </c>
      <c r="F60" s="177">
        <v>40</v>
      </c>
      <c r="G60" s="62">
        <v>0</v>
      </c>
      <c r="H60" s="62">
        <v>1</v>
      </c>
    </row>
    <row r="61" spans="3:8">
      <c r="C61" s="177">
        <f t="shared" si="0"/>
        <v>50</v>
      </c>
      <c r="D61" s="177">
        <v>1200</v>
      </c>
      <c r="E61" s="177">
        <v>25</v>
      </c>
      <c r="F61" s="177">
        <v>40</v>
      </c>
      <c r="G61" s="62">
        <v>0</v>
      </c>
      <c r="H61" s="62">
        <v>1</v>
      </c>
    </row>
    <row r="62" spans="3:8">
      <c r="C62" s="177">
        <f t="shared" si="0"/>
        <v>51</v>
      </c>
      <c r="D62" s="177">
        <v>1200</v>
      </c>
      <c r="E62" s="177">
        <v>25</v>
      </c>
      <c r="F62" s="177">
        <v>40</v>
      </c>
      <c r="G62" s="62">
        <v>0</v>
      </c>
      <c r="H62" s="62">
        <v>1</v>
      </c>
    </row>
    <row r="63" spans="3:8">
      <c r="C63" s="177">
        <f t="shared" si="0"/>
        <v>52</v>
      </c>
      <c r="D63" s="177">
        <v>1200</v>
      </c>
      <c r="E63" s="177">
        <v>25</v>
      </c>
      <c r="F63" s="177">
        <v>40</v>
      </c>
      <c r="G63" s="62">
        <v>0</v>
      </c>
      <c r="H63" s="62">
        <v>1</v>
      </c>
    </row>
    <row r="64" spans="3:8">
      <c r="C64" s="177">
        <f t="shared" si="0"/>
        <v>53</v>
      </c>
      <c r="D64" s="177">
        <v>1200</v>
      </c>
      <c r="E64" s="177">
        <v>25</v>
      </c>
      <c r="F64" s="177">
        <v>40</v>
      </c>
      <c r="G64" s="62">
        <v>0</v>
      </c>
      <c r="H64" s="62">
        <v>1</v>
      </c>
    </row>
    <row r="66" spans="3:8">
      <c r="C66" s="177"/>
      <c r="D66" s="177"/>
      <c r="G66" s="177"/>
      <c r="H66" s="177"/>
    </row>
    <row r="67" spans="3:8">
      <c r="C67" s="177"/>
      <c r="D67" s="177"/>
      <c r="G67" s="177"/>
      <c r="H67" s="177"/>
    </row>
    <row r="68" spans="3:8">
      <c r="C68" s="177"/>
      <c r="D68" s="177"/>
      <c r="G68" s="177"/>
      <c r="H68" s="177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4D75-1F7A-DC44-9EBF-133554A02439}">
  <sheetPr codeName="Feuil4"/>
  <dimension ref="B1:AB370"/>
  <sheetViews>
    <sheetView topLeftCell="I1" workbookViewId="0">
      <selection activeCell="N27" sqref="N27"/>
    </sheetView>
  </sheetViews>
  <sheetFormatPr baseColWidth="10" defaultRowHeight="16"/>
  <cols>
    <col min="4" max="4" width="19.83203125" customWidth="1"/>
    <col min="5" max="5" width="15" customWidth="1"/>
    <col min="6" max="6" width="16.33203125" customWidth="1"/>
    <col min="7" max="8" width="15.1640625" customWidth="1"/>
    <col min="9" max="9" width="15.33203125" style="62" customWidth="1"/>
    <col min="13" max="13" width="19.83203125" customWidth="1"/>
    <col min="14" max="14" width="24.1640625" customWidth="1"/>
    <col min="15" max="15" width="24.1640625" style="271" customWidth="1"/>
    <col min="17" max="17" width="17" customWidth="1"/>
    <col min="18" max="18" width="20" customWidth="1"/>
    <col min="20" max="20" width="19.33203125" customWidth="1"/>
    <col min="21" max="21" width="19.33203125" style="271" customWidth="1"/>
    <col min="22" max="22" width="22" customWidth="1"/>
    <col min="28" max="28" width="17.33203125" customWidth="1"/>
  </cols>
  <sheetData>
    <row r="1" spans="2:28" ht="24">
      <c r="B1" s="179" t="s">
        <v>540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</row>
    <row r="2" spans="2:28" ht="24">
      <c r="B2" s="179" t="s">
        <v>539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</row>
    <row r="3" spans="2:28">
      <c r="I3"/>
    </row>
    <row r="4" spans="2:28" ht="21">
      <c r="B4" s="180" t="s">
        <v>814</v>
      </c>
      <c r="C4" s="180" t="s">
        <v>267</v>
      </c>
      <c r="D4" s="181" t="s">
        <v>541</v>
      </c>
      <c r="E4" s="181" t="s">
        <v>542</v>
      </c>
      <c r="F4" s="181" t="s">
        <v>543</v>
      </c>
      <c r="G4" s="181" t="s">
        <v>544</v>
      </c>
      <c r="H4" s="181" t="s">
        <v>105</v>
      </c>
      <c r="I4" s="181" t="s">
        <v>538</v>
      </c>
      <c r="J4" s="181" t="s">
        <v>121</v>
      </c>
      <c r="M4" s="181" t="s">
        <v>815</v>
      </c>
      <c r="N4" s="181" t="s">
        <v>816</v>
      </c>
      <c r="P4" s="321" t="s">
        <v>978</v>
      </c>
      <c r="Q4" s="181" t="s">
        <v>817</v>
      </c>
      <c r="R4" s="181" t="s">
        <v>816</v>
      </c>
      <c r="T4" s="181" t="s">
        <v>977</v>
      </c>
      <c r="U4" s="181" t="s">
        <v>817</v>
      </c>
      <c r="V4" s="181" t="s">
        <v>816</v>
      </c>
      <c r="X4" s="288" t="s">
        <v>881</v>
      </c>
      <c r="Y4" s="288" t="s">
        <v>882</v>
      </c>
      <c r="Z4" s="288" t="s">
        <v>879</v>
      </c>
      <c r="AA4" s="288" t="s">
        <v>880</v>
      </c>
      <c r="AB4" s="288" t="s">
        <v>883</v>
      </c>
    </row>
    <row r="5" spans="2:28">
      <c r="B5">
        <v>2000</v>
      </c>
      <c r="C5" s="62">
        <v>171</v>
      </c>
      <c r="D5" s="62">
        <v>15</v>
      </c>
      <c r="E5" s="62">
        <v>20</v>
      </c>
      <c r="F5" s="62">
        <v>15</v>
      </c>
      <c r="G5" s="62">
        <v>90</v>
      </c>
      <c r="H5" s="62">
        <v>1200</v>
      </c>
      <c r="I5" s="62">
        <v>0</v>
      </c>
      <c r="J5" s="62">
        <v>1</v>
      </c>
      <c r="M5" s="271">
        <v>3000</v>
      </c>
      <c r="N5" s="271">
        <f>M5*2.194/(7.64+2.18*COS((C5+10)/365*3.1416*2+3.1416))*10000/3600</f>
        <v>1861.9842073156115</v>
      </c>
      <c r="P5">
        <v>1</v>
      </c>
      <c r="Q5" s="271">
        <v>25.92</v>
      </c>
      <c r="R5" s="271">
        <f>Q5*219.4/(7.64+2.18*COS((P5+10)/365*3.1416*2+3.1416))*10000/3600</f>
        <v>2872.6837560727363</v>
      </c>
      <c r="T5" s="271">
        <v>300</v>
      </c>
      <c r="U5" s="271">
        <f>T5*86.4/1000</f>
        <v>25.92</v>
      </c>
      <c r="V5" s="271">
        <f>T5*86.4/1000*219.4/(7.64+2.18*COS((C5+10)/365*3.1416*2+3.1416))*10000/3600</f>
        <v>1608.7543551206886</v>
      </c>
      <c r="X5" s="271">
        <v>7.3500000000000227</v>
      </c>
      <c r="Y5" s="271">
        <v>11.050000000000011</v>
      </c>
      <c r="Z5" s="2">
        <f>MIN(0.263*AB5/1000*1013.25*100/EXP(17.67*Y5/(Y5+273.16-29.65)), 100)</f>
        <v>57.79299103042397</v>
      </c>
      <c r="AA5" s="2">
        <f>MIN(0.263*AB5/1000*1013.25*100/EXP(17.67*X5/(X5+273.16-29.65)),100)</f>
        <v>74.156219626959171</v>
      </c>
      <c r="AB5" s="271">
        <v>4.67</v>
      </c>
    </row>
    <row r="6" spans="2:28">
      <c r="B6" s="270">
        <v>2000</v>
      </c>
      <c r="C6" s="62">
        <f>C5+1</f>
        <v>172</v>
      </c>
      <c r="D6" s="62">
        <v>15</v>
      </c>
      <c r="E6" s="62">
        <v>20</v>
      </c>
      <c r="F6" s="62">
        <v>15</v>
      </c>
      <c r="G6" s="62">
        <v>90</v>
      </c>
      <c r="H6" s="62">
        <v>1200</v>
      </c>
      <c r="I6" s="62">
        <v>5</v>
      </c>
      <c r="J6" s="62">
        <v>1</v>
      </c>
      <c r="M6" s="271"/>
      <c r="N6" s="271"/>
      <c r="P6">
        <v>0</v>
      </c>
      <c r="Q6" s="271">
        <v>25.92</v>
      </c>
      <c r="R6" s="271">
        <f>Q6*219.4/(7.64+2.18*COS((P6+11)/365*3.1416*2+3.1416))*10000/3600</f>
        <v>2872.6837560727363</v>
      </c>
      <c r="T6" s="271"/>
      <c r="V6" s="271"/>
    </row>
    <row r="7" spans="2:28">
      <c r="B7" s="270">
        <v>2000</v>
      </c>
      <c r="C7" s="62">
        <f t="shared" ref="C7:C13" si="0">C6+1</f>
        <v>173</v>
      </c>
      <c r="D7" s="62">
        <v>15</v>
      </c>
      <c r="E7" s="62">
        <v>20</v>
      </c>
      <c r="F7" s="62">
        <v>15</v>
      </c>
      <c r="G7" s="62">
        <v>90</v>
      </c>
      <c r="H7" s="62">
        <v>1200</v>
      </c>
      <c r="I7" s="62">
        <v>5</v>
      </c>
      <c r="J7" s="62">
        <v>1</v>
      </c>
      <c r="M7" s="271"/>
      <c r="N7" s="271"/>
      <c r="Q7" s="271"/>
      <c r="R7" s="271"/>
      <c r="T7" s="271"/>
      <c r="V7" s="271"/>
    </row>
    <row r="8" spans="2:28">
      <c r="B8" s="270">
        <v>2000</v>
      </c>
      <c r="C8" s="62">
        <f t="shared" si="0"/>
        <v>174</v>
      </c>
      <c r="D8" s="62">
        <v>15</v>
      </c>
      <c r="E8" s="62">
        <v>20</v>
      </c>
      <c r="F8" s="62">
        <v>15</v>
      </c>
      <c r="G8" s="62">
        <v>90</v>
      </c>
      <c r="H8" s="62">
        <v>1200</v>
      </c>
      <c r="I8" s="62">
        <v>0</v>
      </c>
      <c r="J8" s="62">
        <v>1</v>
      </c>
      <c r="M8" s="271"/>
      <c r="N8" s="271"/>
      <c r="Q8" s="271"/>
      <c r="R8" s="271"/>
      <c r="T8" s="271"/>
      <c r="V8" s="271"/>
    </row>
    <row r="9" spans="2:28">
      <c r="B9" s="270">
        <v>2000</v>
      </c>
      <c r="C9" s="62">
        <f t="shared" si="0"/>
        <v>175</v>
      </c>
      <c r="D9" s="62">
        <v>15</v>
      </c>
      <c r="E9" s="62">
        <v>20</v>
      </c>
      <c r="F9" s="62">
        <v>15</v>
      </c>
      <c r="G9" s="62">
        <v>90</v>
      </c>
      <c r="H9" s="62">
        <v>1200</v>
      </c>
      <c r="I9" s="62">
        <v>0</v>
      </c>
      <c r="J9" s="62">
        <v>1</v>
      </c>
      <c r="M9" s="271"/>
      <c r="N9" s="271"/>
      <c r="Q9" s="271"/>
      <c r="R9" s="271"/>
      <c r="T9" s="271"/>
      <c r="V9" s="271"/>
    </row>
    <row r="10" spans="2:28">
      <c r="B10" s="270">
        <v>2000</v>
      </c>
      <c r="C10" s="62">
        <f t="shared" si="0"/>
        <v>176</v>
      </c>
      <c r="D10" s="62">
        <v>15</v>
      </c>
      <c r="E10" s="62">
        <v>20</v>
      </c>
      <c r="F10" s="62">
        <v>15</v>
      </c>
      <c r="G10" s="62">
        <v>90</v>
      </c>
      <c r="H10" s="62">
        <v>1200</v>
      </c>
      <c r="I10" s="62">
        <v>2</v>
      </c>
      <c r="J10" s="62">
        <v>1</v>
      </c>
      <c r="M10" s="271"/>
      <c r="N10" s="271"/>
      <c r="Q10" s="271"/>
      <c r="R10" s="271"/>
      <c r="T10" s="271"/>
      <c r="V10" s="271"/>
    </row>
    <row r="11" spans="2:28">
      <c r="B11" s="270">
        <v>2000</v>
      </c>
      <c r="C11" s="62">
        <f t="shared" si="0"/>
        <v>177</v>
      </c>
      <c r="D11" s="62">
        <v>15</v>
      </c>
      <c r="E11" s="62">
        <v>20</v>
      </c>
      <c r="F11" s="62">
        <v>15</v>
      </c>
      <c r="G11" s="62">
        <v>90</v>
      </c>
      <c r="H11" s="62">
        <v>1200</v>
      </c>
      <c r="I11" s="62">
        <v>0</v>
      </c>
      <c r="J11" s="62">
        <v>1</v>
      </c>
      <c r="M11" s="271"/>
      <c r="N11" s="271"/>
      <c r="Q11" s="271"/>
      <c r="R11" s="271"/>
      <c r="T11" s="271"/>
      <c r="V11" s="271"/>
    </row>
    <row r="12" spans="2:28">
      <c r="B12" s="270">
        <v>2000</v>
      </c>
      <c r="C12" s="62">
        <f t="shared" si="0"/>
        <v>178</v>
      </c>
      <c r="D12" s="62">
        <v>15</v>
      </c>
      <c r="E12" s="62">
        <v>20</v>
      </c>
      <c r="F12" s="62">
        <v>15</v>
      </c>
      <c r="G12" s="62">
        <v>90</v>
      </c>
      <c r="H12" s="62">
        <v>1200</v>
      </c>
      <c r="I12" s="62">
        <v>0</v>
      </c>
      <c r="J12" s="62">
        <v>1</v>
      </c>
      <c r="M12" s="271"/>
      <c r="N12" s="271"/>
      <c r="Q12" s="271"/>
      <c r="R12" s="271"/>
      <c r="T12" s="271"/>
      <c r="V12" s="271"/>
    </row>
    <row r="13" spans="2:28">
      <c r="B13" s="270">
        <v>2000</v>
      </c>
      <c r="C13" s="62">
        <f t="shared" si="0"/>
        <v>179</v>
      </c>
      <c r="D13" s="62">
        <v>15</v>
      </c>
      <c r="E13" s="62">
        <v>20</v>
      </c>
      <c r="F13" s="62">
        <v>15</v>
      </c>
      <c r="G13" s="62">
        <v>90</v>
      </c>
      <c r="H13" s="62">
        <v>1200</v>
      </c>
      <c r="I13" s="62">
        <v>0</v>
      </c>
      <c r="J13" s="62">
        <v>1</v>
      </c>
      <c r="M13" s="271"/>
      <c r="N13" s="271"/>
      <c r="Q13" s="271"/>
      <c r="R13" s="271"/>
    </row>
    <row r="14" spans="2:28">
      <c r="B14" s="270"/>
      <c r="C14" s="62"/>
      <c r="D14" s="62"/>
      <c r="E14" s="62"/>
      <c r="F14" s="62"/>
      <c r="G14" s="62"/>
      <c r="H14" s="62"/>
      <c r="J14" s="62"/>
      <c r="M14" s="271"/>
      <c r="N14" s="62"/>
      <c r="O14" s="62"/>
    </row>
    <row r="15" spans="2:28">
      <c r="B15" s="270"/>
      <c r="C15" s="62"/>
      <c r="D15" s="62"/>
      <c r="E15" s="62"/>
      <c r="F15" s="62"/>
      <c r="G15" s="62"/>
      <c r="H15" s="62"/>
      <c r="J15" s="62"/>
      <c r="N15" s="62"/>
      <c r="O15" s="62"/>
    </row>
    <row r="16" spans="2:28">
      <c r="B16" s="270"/>
      <c r="C16" s="62"/>
      <c r="D16" s="62"/>
      <c r="E16" s="62"/>
      <c r="F16" s="62"/>
      <c r="G16" s="62"/>
      <c r="H16" s="62"/>
      <c r="J16" s="62"/>
    </row>
    <row r="17" spans="2:15">
      <c r="B17" s="270"/>
      <c r="C17" s="62"/>
      <c r="D17" s="62"/>
      <c r="E17" s="62"/>
      <c r="F17" s="62"/>
      <c r="G17" s="62"/>
      <c r="H17" s="62"/>
      <c r="J17" s="62"/>
    </row>
    <row r="18" spans="2:15">
      <c r="B18" s="270"/>
      <c r="C18" s="62"/>
      <c r="D18" s="62"/>
      <c r="E18" s="62"/>
      <c r="F18" s="62"/>
      <c r="G18" s="62"/>
      <c r="H18" s="62"/>
      <c r="J18" s="62"/>
    </row>
    <row r="19" spans="2:15">
      <c r="B19" s="270"/>
      <c r="C19" s="62"/>
      <c r="D19" s="62"/>
      <c r="E19" s="62"/>
      <c r="F19" s="62"/>
      <c r="G19" s="62"/>
      <c r="H19" s="62"/>
      <c r="J19" s="62"/>
    </row>
    <row r="20" spans="2:15">
      <c r="B20" s="270"/>
      <c r="C20" s="62"/>
      <c r="D20" s="62"/>
      <c r="E20" s="62"/>
      <c r="F20" s="62"/>
      <c r="G20" s="62"/>
      <c r="H20" s="62"/>
      <c r="J20" s="62"/>
    </row>
    <row r="21" spans="2:15">
      <c r="B21" s="270"/>
      <c r="C21" s="62"/>
      <c r="D21" s="62"/>
      <c r="E21" s="62"/>
      <c r="F21" s="62"/>
      <c r="G21" s="62"/>
      <c r="H21" s="62"/>
      <c r="J21" s="62"/>
    </row>
    <row r="22" spans="2:15">
      <c r="B22" s="270"/>
      <c r="C22" s="62"/>
      <c r="D22" s="62"/>
      <c r="E22" s="62"/>
      <c r="F22" s="62"/>
      <c r="G22" s="62"/>
      <c r="H22" s="62"/>
      <c r="J22" s="62"/>
    </row>
    <row r="23" spans="2:15">
      <c r="B23" s="270"/>
      <c r="C23" s="62"/>
      <c r="D23" s="62"/>
      <c r="E23" s="62"/>
      <c r="F23" s="62"/>
      <c r="G23" s="62"/>
      <c r="H23" s="62"/>
      <c r="J23" s="62"/>
    </row>
    <row r="24" spans="2:15">
      <c r="B24" s="270"/>
      <c r="C24" s="62"/>
      <c r="D24" s="62"/>
      <c r="E24" s="62"/>
      <c r="F24" s="62"/>
      <c r="G24" s="62"/>
      <c r="H24" s="62"/>
      <c r="J24" s="62"/>
    </row>
    <row r="25" spans="2:15">
      <c r="B25" s="270"/>
      <c r="C25" s="62"/>
      <c r="D25" s="62"/>
      <c r="E25" s="62"/>
      <c r="F25" s="62"/>
      <c r="G25" s="62"/>
      <c r="H25" s="62"/>
      <c r="J25" s="62"/>
    </row>
    <row r="26" spans="2:15">
      <c r="B26" s="270"/>
      <c r="C26" s="62"/>
      <c r="D26" s="62"/>
      <c r="E26" s="62"/>
      <c r="F26" s="62"/>
      <c r="G26" s="62"/>
      <c r="H26" s="62"/>
      <c r="J26" s="62"/>
      <c r="N26" s="62"/>
      <c r="O26" s="62"/>
    </row>
    <row r="27" spans="2:15">
      <c r="B27" s="270"/>
      <c r="C27" s="62"/>
      <c r="D27" s="62"/>
      <c r="E27" s="62"/>
      <c r="F27" s="62"/>
      <c r="G27" s="62"/>
      <c r="H27" s="62"/>
      <c r="J27" s="62"/>
      <c r="N27" s="62"/>
      <c r="O27" s="62"/>
    </row>
    <row r="28" spans="2:15">
      <c r="B28" s="270"/>
      <c r="C28" s="62"/>
      <c r="D28" s="62"/>
      <c r="E28" s="62"/>
      <c r="F28" s="62"/>
      <c r="G28" s="62"/>
      <c r="H28" s="62"/>
      <c r="J28" s="62"/>
      <c r="N28" s="62"/>
      <c r="O28" s="62"/>
    </row>
    <row r="29" spans="2:15">
      <c r="B29" s="270"/>
      <c r="C29" s="62"/>
      <c r="D29" s="62"/>
      <c r="E29" s="62"/>
      <c r="F29" s="62"/>
      <c r="G29" s="62"/>
      <c r="H29" s="62"/>
      <c r="J29" s="62"/>
      <c r="N29" s="62"/>
      <c r="O29" s="62"/>
    </row>
    <row r="30" spans="2:15">
      <c r="B30" s="270"/>
      <c r="C30" s="62"/>
      <c r="D30" s="62"/>
      <c r="E30" s="62"/>
      <c r="F30" s="62"/>
      <c r="G30" s="62"/>
      <c r="H30" s="62"/>
      <c r="J30" s="62"/>
      <c r="N30" s="62"/>
      <c r="O30" s="62"/>
    </row>
    <row r="31" spans="2:15">
      <c r="B31" s="270"/>
      <c r="C31" s="62"/>
      <c r="D31" s="62"/>
      <c r="E31" s="62"/>
      <c r="F31" s="62"/>
      <c r="G31" s="62"/>
      <c r="H31" s="62"/>
      <c r="J31" s="62"/>
      <c r="N31" s="62"/>
      <c r="O31" s="62"/>
    </row>
    <row r="32" spans="2:15">
      <c r="B32" s="270"/>
      <c r="C32" s="62"/>
      <c r="D32" s="62"/>
      <c r="E32" s="62"/>
      <c r="F32" s="62"/>
      <c r="G32" s="62"/>
      <c r="H32" s="62"/>
      <c r="J32" s="62"/>
      <c r="N32" s="62"/>
      <c r="O32" s="62"/>
    </row>
    <row r="33" spans="2:15">
      <c r="B33" s="270"/>
      <c r="C33" s="62"/>
      <c r="D33" s="62"/>
      <c r="E33" s="62"/>
      <c r="F33" s="62"/>
      <c r="G33" s="62"/>
      <c r="H33" s="62"/>
      <c r="J33" s="62"/>
      <c r="N33" s="62"/>
      <c r="O33" s="62"/>
    </row>
    <row r="34" spans="2:15">
      <c r="B34" s="270"/>
      <c r="C34" s="62"/>
      <c r="D34" s="62"/>
      <c r="E34" s="62"/>
      <c r="F34" s="62"/>
      <c r="G34" s="62"/>
      <c r="H34" s="62"/>
      <c r="J34" s="62"/>
      <c r="N34" s="62"/>
      <c r="O34" s="62"/>
    </row>
    <row r="35" spans="2:15">
      <c r="B35" s="270"/>
      <c r="C35" s="62"/>
      <c r="D35" s="62"/>
      <c r="E35" s="62"/>
      <c r="F35" s="62"/>
      <c r="G35" s="62"/>
      <c r="H35" s="62"/>
      <c r="J35" s="62"/>
      <c r="N35" s="62"/>
      <c r="O35" s="62"/>
    </row>
    <row r="36" spans="2:15">
      <c r="B36" s="270"/>
      <c r="C36" s="62"/>
      <c r="D36" s="62"/>
      <c r="E36" s="62"/>
      <c r="F36" s="62"/>
      <c r="G36" s="62"/>
      <c r="H36" s="62"/>
      <c r="J36" s="62"/>
      <c r="N36" s="62"/>
      <c r="O36" s="62"/>
    </row>
    <row r="37" spans="2:15">
      <c r="B37" s="270"/>
      <c r="C37" s="62"/>
      <c r="D37" s="62"/>
      <c r="E37" s="62"/>
      <c r="F37" s="62"/>
      <c r="G37" s="62"/>
      <c r="H37" s="62"/>
      <c r="J37" s="62"/>
      <c r="N37" s="62"/>
      <c r="O37" s="62"/>
    </row>
    <row r="38" spans="2:15">
      <c r="B38" s="270"/>
      <c r="C38" s="62"/>
      <c r="D38" s="62"/>
      <c r="E38" s="62"/>
      <c r="F38" s="62"/>
      <c r="G38" s="62"/>
      <c r="H38" s="62"/>
      <c r="J38" s="62"/>
      <c r="N38" s="62"/>
      <c r="O38" s="62"/>
    </row>
    <row r="39" spans="2:15">
      <c r="B39" s="270"/>
      <c r="C39" s="62"/>
      <c r="D39" s="62"/>
      <c r="E39" s="62"/>
      <c r="F39" s="62"/>
      <c r="G39" s="62"/>
      <c r="H39" s="62"/>
      <c r="J39" s="62"/>
      <c r="N39" s="62"/>
      <c r="O39" s="62"/>
    </row>
    <row r="40" spans="2:15">
      <c r="B40" s="270"/>
      <c r="C40" s="62"/>
      <c r="D40" s="62"/>
      <c r="E40" s="62"/>
      <c r="F40" s="62"/>
      <c r="G40" s="62"/>
      <c r="H40" s="62"/>
      <c r="J40" s="62"/>
      <c r="N40" s="62"/>
      <c r="O40" s="62"/>
    </row>
    <row r="41" spans="2:15">
      <c r="B41" s="270"/>
      <c r="C41" s="62"/>
      <c r="D41" s="62"/>
      <c r="E41" s="62"/>
      <c r="F41" s="62"/>
      <c r="G41" s="62"/>
      <c r="H41" s="62"/>
      <c r="J41" s="62"/>
      <c r="N41" s="62"/>
      <c r="O41" s="62"/>
    </row>
    <row r="42" spans="2:15">
      <c r="B42" s="270"/>
      <c r="C42" s="62"/>
      <c r="D42" s="62"/>
      <c r="E42" s="62"/>
      <c r="F42" s="62"/>
      <c r="G42" s="62"/>
      <c r="H42" s="62"/>
      <c r="J42" s="62"/>
      <c r="N42" s="62"/>
      <c r="O42" s="62"/>
    </row>
    <row r="43" spans="2:15">
      <c r="B43" s="270"/>
      <c r="C43" s="62"/>
      <c r="D43" s="62"/>
      <c r="E43" s="62"/>
      <c r="F43" s="62"/>
      <c r="G43" s="62"/>
      <c r="H43" s="62"/>
      <c r="J43" s="62"/>
      <c r="N43" s="62"/>
      <c r="O43" s="62"/>
    </row>
    <row r="44" spans="2:15">
      <c r="B44" s="270"/>
      <c r="C44" s="62"/>
      <c r="D44" s="62"/>
      <c r="E44" s="62"/>
      <c r="F44" s="62"/>
      <c r="G44" s="62"/>
      <c r="H44" s="62"/>
      <c r="J44" s="62"/>
      <c r="N44" s="62"/>
      <c r="O44" s="62"/>
    </row>
    <row r="45" spans="2:15">
      <c r="B45" s="270"/>
      <c r="C45" s="62"/>
      <c r="D45" s="62"/>
      <c r="E45" s="62"/>
      <c r="F45" s="62"/>
      <c r="G45" s="62"/>
      <c r="H45" s="62"/>
      <c r="J45" s="62"/>
      <c r="N45" s="62"/>
      <c r="O45" s="62"/>
    </row>
    <row r="46" spans="2:15">
      <c r="B46" s="270"/>
      <c r="C46" s="62"/>
      <c r="D46" s="62"/>
      <c r="E46" s="62"/>
      <c r="F46" s="62"/>
      <c r="G46" s="62"/>
      <c r="H46" s="62"/>
      <c r="J46" s="62"/>
      <c r="N46" s="62"/>
      <c r="O46" s="62"/>
    </row>
    <row r="47" spans="2:15">
      <c r="B47" s="270"/>
      <c r="C47" s="62"/>
      <c r="D47" s="62"/>
      <c r="E47" s="62"/>
      <c r="F47" s="62"/>
      <c r="G47" s="62"/>
      <c r="H47" s="62"/>
      <c r="J47" s="62"/>
      <c r="N47" s="62"/>
      <c r="O47" s="62"/>
    </row>
    <row r="48" spans="2:15">
      <c r="B48" s="270"/>
      <c r="C48" s="62"/>
      <c r="D48" s="62"/>
      <c r="E48" s="62"/>
      <c r="F48" s="62"/>
      <c r="G48" s="62"/>
      <c r="H48" s="62"/>
      <c r="J48" s="62"/>
      <c r="N48" s="62"/>
      <c r="O48" s="62"/>
    </row>
    <row r="49" spans="2:15">
      <c r="B49" s="270"/>
      <c r="C49" s="62"/>
      <c r="D49" s="62"/>
      <c r="E49" s="62"/>
      <c r="F49" s="62"/>
      <c r="G49" s="62"/>
      <c r="H49" s="62"/>
      <c r="I49" s="238"/>
      <c r="J49" s="62"/>
      <c r="N49" s="62"/>
      <c r="O49" s="62"/>
    </row>
    <row r="50" spans="2:15">
      <c r="B50" s="270"/>
      <c r="C50" s="62"/>
      <c r="D50" s="62"/>
      <c r="E50" s="62"/>
      <c r="F50" s="62"/>
      <c r="G50" s="62"/>
      <c r="H50" s="62"/>
      <c r="J50" s="62"/>
      <c r="N50" s="62"/>
      <c r="O50" s="62"/>
    </row>
    <row r="51" spans="2:15">
      <c r="B51" s="270"/>
      <c r="C51" s="62"/>
      <c r="D51" s="62"/>
      <c r="E51" s="62"/>
      <c r="F51" s="62"/>
      <c r="G51" s="62"/>
      <c r="H51" s="62"/>
      <c r="J51" s="62"/>
      <c r="N51" s="62"/>
      <c r="O51" s="62"/>
    </row>
    <row r="52" spans="2:15">
      <c r="B52" s="270"/>
      <c r="C52" s="62"/>
      <c r="D52" s="62"/>
      <c r="E52" s="62"/>
      <c r="F52" s="62"/>
      <c r="G52" s="62"/>
      <c r="H52" s="62"/>
      <c r="J52" s="62"/>
      <c r="N52" s="62"/>
      <c r="O52" s="62"/>
    </row>
    <row r="53" spans="2:15">
      <c r="B53" s="270"/>
      <c r="C53" s="62"/>
      <c r="D53" s="62"/>
      <c r="E53" s="62"/>
      <c r="F53" s="62"/>
      <c r="G53" s="62"/>
      <c r="H53" s="62"/>
      <c r="J53" s="62"/>
      <c r="N53" s="62"/>
      <c r="O53" s="62"/>
    </row>
    <row r="54" spans="2:15">
      <c r="B54" s="270"/>
      <c r="C54" s="62"/>
      <c r="D54" s="62"/>
      <c r="E54" s="62"/>
      <c r="F54" s="62"/>
      <c r="G54" s="62"/>
      <c r="H54" s="62"/>
      <c r="J54" s="62"/>
      <c r="N54" s="62"/>
      <c r="O54" s="62"/>
    </row>
    <row r="55" spans="2:15">
      <c r="B55" s="270"/>
      <c r="C55" s="62"/>
      <c r="D55" s="62"/>
      <c r="E55" s="62"/>
      <c r="F55" s="62"/>
      <c r="G55" s="62"/>
      <c r="H55" s="62"/>
      <c r="J55" s="62"/>
      <c r="N55" s="62"/>
      <c r="O55" s="62"/>
    </row>
    <row r="56" spans="2:15">
      <c r="B56" s="270"/>
      <c r="C56" s="62"/>
      <c r="D56" s="62"/>
      <c r="E56" s="62"/>
      <c r="F56" s="62"/>
      <c r="G56" s="62"/>
      <c r="H56" s="62"/>
      <c r="J56" s="62"/>
      <c r="N56" s="62"/>
      <c r="O56" s="62"/>
    </row>
    <row r="57" spans="2:15">
      <c r="B57" s="270"/>
      <c r="C57" s="62"/>
      <c r="D57" s="62"/>
      <c r="E57" s="62"/>
      <c r="F57" s="62"/>
      <c r="G57" s="62"/>
      <c r="H57" s="62"/>
      <c r="J57" s="62"/>
      <c r="N57" s="62"/>
      <c r="O57" s="62"/>
    </row>
    <row r="58" spans="2:15">
      <c r="B58" s="270"/>
      <c r="C58" s="62"/>
      <c r="D58" s="62"/>
      <c r="E58" s="62"/>
      <c r="F58" s="62"/>
      <c r="G58" s="62"/>
      <c r="H58" s="62"/>
      <c r="J58" s="62"/>
      <c r="N58" s="62"/>
      <c r="O58" s="62"/>
    </row>
    <row r="59" spans="2:15">
      <c r="B59" s="270"/>
      <c r="C59" s="62"/>
      <c r="D59" s="62"/>
      <c r="E59" s="62"/>
      <c r="F59" s="62"/>
      <c r="G59" s="62"/>
      <c r="H59" s="62"/>
      <c r="J59" s="62"/>
      <c r="N59" s="62"/>
      <c r="O59" s="62"/>
    </row>
    <row r="60" spans="2:15">
      <c r="B60" s="270"/>
      <c r="C60" s="62"/>
      <c r="D60" s="62"/>
      <c r="E60" s="62"/>
      <c r="F60" s="62"/>
      <c r="G60" s="62"/>
      <c r="H60" s="62"/>
      <c r="J60" s="62"/>
      <c r="N60" s="62"/>
      <c r="O60" s="62"/>
    </row>
    <row r="61" spans="2:15">
      <c r="B61" s="270"/>
      <c r="C61" s="62"/>
      <c r="D61" s="62"/>
      <c r="E61" s="62"/>
      <c r="F61" s="62"/>
      <c r="G61" s="62"/>
      <c r="H61" s="62"/>
      <c r="J61" s="62"/>
      <c r="N61" s="62"/>
      <c r="O61" s="62"/>
    </row>
    <row r="62" spans="2:15">
      <c r="B62" s="270"/>
      <c r="C62" s="62"/>
      <c r="D62" s="62"/>
      <c r="E62" s="62"/>
      <c r="F62" s="62"/>
      <c r="G62" s="62"/>
      <c r="H62" s="62"/>
      <c r="J62" s="62"/>
      <c r="N62" s="62"/>
      <c r="O62" s="62"/>
    </row>
    <row r="63" spans="2:15">
      <c r="B63" s="270"/>
      <c r="C63" s="62"/>
      <c r="D63" s="62"/>
      <c r="E63" s="62"/>
      <c r="F63" s="62"/>
      <c r="G63" s="62"/>
      <c r="H63" s="62"/>
      <c r="J63" s="62"/>
      <c r="N63" s="62"/>
      <c r="O63" s="62"/>
    </row>
    <row r="64" spans="2:15">
      <c r="B64" s="270"/>
      <c r="C64" s="62"/>
      <c r="D64" s="62"/>
      <c r="E64" s="62"/>
      <c r="F64" s="62"/>
      <c r="G64" s="62"/>
      <c r="H64" s="62"/>
      <c r="J64" s="62"/>
      <c r="N64" s="62"/>
      <c r="O64" s="62"/>
    </row>
    <row r="65" spans="2:15">
      <c r="B65" s="270"/>
      <c r="C65" s="62"/>
      <c r="D65" s="62"/>
      <c r="E65" s="62"/>
      <c r="F65" s="62"/>
      <c r="G65" s="62"/>
      <c r="H65" s="62"/>
      <c r="J65" s="62"/>
      <c r="N65" s="62"/>
      <c r="O65" s="62"/>
    </row>
    <row r="66" spans="2:15">
      <c r="B66" s="270"/>
      <c r="C66" s="62"/>
      <c r="D66" s="62"/>
      <c r="E66" s="62"/>
      <c r="F66" s="62"/>
      <c r="G66" s="62"/>
      <c r="H66" s="62"/>
      <c r="J66" s="62"/>
      <c r="N66" s="62"/>
      <c r="O66" s="62"/>
    </row>
    <row r="67" spans="2:15">
      <c r="B67" s="270"/>
      <c r="C67" s="62"/>
      <c r="D67" s="62"/>
      <c r="E67" s="62"/>
      <c r="F67" s="62"/>
      <c r="G67" s="62"/>
      <c r="H67" s="62"/>
      <c r="J67" s="62"/>
      <c r="N67" s="62"/>
      <c r="O67" s="62"/>
    </row>
    <row r="68" spans="2:15">
      <c r="B68" s="270"/>
      <c r="C68" s="62"/>
      <c r="D68" s="62"/>
      <c r="E68" s="62"/>
      <c r="F68" s="62"/>
      <c r="G68" s="62"/>
      <c r="H68" s="62"/>
      <c r="J68" s="62"/>
      <c r="N68" s="62"/>
      <c r="O68" s="62"/>
    </row>
    <row r="69" spans="2:15">
      <c r="B69" s="270"/>
      <c r="C69" s="62"/>
      <c r="D69" s="62"/>
      <c r="E69" s="62"/>
      <c r="F69" s="62"/>
      <c r="G69" s="62"/>
      <c r="H69" s="62"/>
      <c r="J69" s="62"/>
      <c r="N69" s="62"/>
      <c r="O69" s="62"/>
    </row>
    <row r="70" spans="2:15">
      <c r="B70" s="270"/>
      <c r="C70" s="62"/>
      <c r="D70" s="62"/>
      <c r="E70" s="62"/>
      <c r="F70" s="62"/>
      <c r="G70" s="62"/>
      <c r="H70" s="62"/>
      <c r="J70" s="62"/>
      <c r="N70" s="62"/>
      <c r="O70" s="62"/>
    </row>
    <row r="71" spans="2:15">
      <c r="B71" s="270"/>
      <c r="C71" s="62"/>
      <c r="D71" s="62"/>
      <c r="E71" s="62"/>
      <c r="F71" s="62"/>
      <c r="G71" s="62"/>
      <c r="H71" s="62"/>
      <c r="J71" s="62"/>
      <c r="N71" s="62"/>
      <c r="O71" s="62"/>
    </row>
    <row r="72" spans="2:15">
      <c r="B72" s="270"/>
      <c r="C72" s="62"/>
      <c r="D72" s="62"/>
      <c r="E72" s="62"/>
      <c r="F72" s="62"/>
      <c r="G72" s="62"/>
      <c r="H72" s="62"/>
      <c r="J72" s="62"/>
      <c r="N72" s="62"/>
      <c r="O72" s="62"/>
    </row>
    <row r="73" spans="2:15">
      <c r="B73" s="270"/>
      <c r="C73" s="62"/>
      <c r="D73" s="62"/>
      <c r="E73" s="62"/>
      <c r="F73" s="62"/>
      <c r="G73" s="62"/>
      <c r="H73" s="62"/>
      <c r="I73" s="238"/>
      <c r="J73" s="62"/>
      <c r="N73" s="62"/>
      <c r="O73" s="62"/>
    </row>
    <row r="74" spans="2:15">
      <c r="B74" s="270"/>
      <c r="C74" s="62"/>
      <c r="D74" s="62"/>
      <c r="E74" s="62"/>
      <c r="F74" s="62"/>
      <c r="G74" s="62"/>
      <c r="H74" s="62"/>
      <c r="J74" s="62"/>
      <c r="N74" s="62"/>
      <c r="O74" s="62"/>
    </row>
    <row r="75" spans="2:15">
      <c r="B75" s="270"/>
      <c r="C75" s="62"/>
      <c r="D75" s="62"/>
      <c r="E75" s="62"/>
      <c r="F75" s="62"/>
      <c r="G75" s="62"/>
      <c r="H75" s="62"/>
      <c r="J75" s="62"/>
      <c r="N75" s="62"/>
      <c r="O75" s="62"/>
    </row>
    <row r="76" spans="2:15">
      <c r="B76" s="270"/>
      <c r="C76" s="62"/>
      <c r="D76" s="62"/>
      <c r="E76" s="62"/>
      <c r="F76" s="62"/>
      <c r="G76" s="62"/>
      <c r="H76" s="62"/>
      <c r="J76" s="62"/>
      <c r="N76" s="62"/>
      <c r="O76" s="62"/>
    </row>
    <row r="77" spans="2:15">
      <c r="B77" s="270"/>
      <c r="C77" s="62"/>
      <c r="D77" s="62"/>
      <c r="E77" s="62"/>
      <c r="F77" s="62"/>
      <c r="G77" s="62"/>
      <c r="H77" s="62"/>
      <c r="I77" s="238"/>
      <c r="J77" s="62"/>
      <c r="N77" s="62"/>
      <c r="O77" s="62"/>
    </row>
    <row r="78" spans="2:15">
      <c r="B78" s="270"/>
      <c r="C78" s="62"/>
      <c r="D78" s="62"/>
      <c r="E78" s="62"/>
      <c r="F78" s="62"/>
      <c r="G78" s="62"/>
      <c r="H78" s="62"/>
      <c r="J78" s="62"/>
      <c r="N78" s="62"/>
      <c r="O78" s="62"/>
    </row>
    <row r="79" spans="2:15">
      <c r="B79" s="270"/>
      <c r="C79" s="62"/>
      <c r="D79" s="62"/>
      <c r="E79" s="62"/>
      <c r="F79" s="62"/>
      <c r="G79" s="62"/>
      <c r="H79" s="62"/>
      <c r="J79" s="62"/>
      <c r="N79" s="62"/>
      <c r="O79" s="62"/>
    </row>
    <row r="80" spans="2:15">
      <c r="B80" s="270"/>
      <c r="C80" s="62"/>
      <c r="D80" s="62"/>
      <c r="E80" s="62"/>
      <c r="F80" s="62"/>
      <c r="G80" s="62"/>
      <c r="H80" s="62"/>
      <c r="J80" s="62"/>
      <c r="N80" s="62"/>
      <c r="O80" s="62"/>
    </row>
    <row r="81" spans="2:15">
      <c r="B81" s="270"/>
      <c r="C81" s="62"/>
      <c r="D81" s="62"/>
      <c r="E81" s="62"/>
      <c r="F81" s="62"/>
      <c r="G81" s="62"/>
      <c r="H81" s="62"/>
      <c r="J81" s="62"/>
      <c r="N81" s="62"/>
      <c r="O81" s="62"/>
    </row>
    <row r="82" spans="2:15">
      <c r="B82" s="270"/>
      <c r="C82" s="62"/>
      <c r="D82" s="62"/>
      <c r="E82" s="62"/>
      <c r="F82" s="62"/>
      <c r="G82" s="62"/>
      <c r="H82" s="62"/>
      <c r="J82" s="62"/>
      <c r="N82" s="62"/>
      <c r="O82" s="62"/>
    </row>
    <row r="83" spans="2:15">
      <c r="B83" s="270"/>
      <c r="C83" s="62"/>
      <c r="D83" s="62"/>
      <c r="E83" s="62"/>
      <c r="F83" s="62"/>
      <c r="G83" s="62"/>
      <c r="H83" s="62"/>
      <c r="I83" s="238"/>
      <c r="J83" s="62"/>
      <c r="N83" s="62"/>
      <c r="O83" s="62"/>
    </row>
    <row r="84" spans="2:15">
      <c r="B84" s="270"/>
      <c r="C84" s="62"/>
      <c r="D84" s="62"/>
      <c r="E84" s="62"/>
      <c r="F84" s="62"/>
      <c r="G84" s="62"/>
      <c r="H84" s="62"/>
      <c r="J84" s="62"/>
      <c r="N84" s="62"/>
      <c r="O84" s="62"/>
    </row>
    <row r="85" spans="2:15">
      <c r="B85" s="270"/>
      <c r="C85" s="62"/>
      <c r="D85" s="62"/>
      <c r="E85" s="62"/>
      <c r="F85" s="62"/>
      <c r="G85" s="62"/>
      <c r="H85" s="62"/>
      <c r="J85" s="62"/>
      <c r="N85" s="62"/>
      <c r="O85" s="62"/>
    </row>
    <row r="86" spans="2:15">
      <c r="B86" s="270"/>
      <c r="C86" s="62"/>
      <c r="D86" s="62"/>
      <c r="E86" s="62"/>
      <c r="F86" s="62"/>
      <c r="G86" s="62"/>
      <c r="H86" s="62"/>
      <c r="J86" s="62"/>
      <c r="N86" s="62"/>
      <c r="O86" s="62"/>
    </row>
    <row r="87" spans="2:15">
      <c r="B87" s="270"/>
      <c r="C87" s="62"/>
      <c r="D87" s="62"/>
      <c r="E87" s="62"/>
      <c r="F87" s="62"/>
      <c r="G87" s="62"/>
      <c r="H87" s="62"/>
      <c r="I87" s="238"/>
      <c r="J87" s="62"/>
      <c r="N87" s="62"/>
      <c r="O87" s="62"/>
    </row>
    <row r="88" spans="2:15">
      <c r="B88" s="270"/>
      <c r="C88" s="62"/>
      <c r="D88" s="62"/>
      <c r="E88" s="62"/>
      <c r="F88" s="62"/>
      <c r="G88" s="62"/>
      <c r="H88" s="62"/>
      <c r="J88" s="62"/>
      <c r="N88" s="62"/>
      <c r="O88" s="62"/>
    </row>
    <row r="89" spans="2:15">
      <c r="B89" s="270"/>
      <c r="C89" s="62"/>
      <c r="D89" s="62"/>
      <c r="E89" s="62"/>
      <c r="F89" s="62"/>
      <c r="G89" s="62"/>
      <c r="H89" s="62"/>
      <c r="J89" s="62"/>
      <c r="N89" s="62"/>
      <c r="O89" s="62"/>
    </row>
    <row r="90" spans="2:15">
      <c r="B90" s="270"/>
      <c r="C90" s="62"/>
      <c r="D90" s="62"/>
      <c r="E90" s="62"/>
      <c r="F90" s="62"/>
      <c r="G90" s="62"/>
      <c r="H90" s="62"/>
      <c r="I90" s="238"/>
      <c r="J90" s="62"/>
      <c r="N90" s="62"/>
      <c r="O90" s="62"/>
    </row>
    <row r="91" spans="2:15">
      <c r="B91" s="270"/>
      <c r="C91" s="62"/>
      <c r="D91" s="62"/>
      <c r="E91" s="62"/>
      <c r="F91" s="62"/>
      <c r="G91" s="62"/>
      <c r="H91" s="62"/>
      <c r="J91" s="62"/>
      <c r="N91" s="62"/>
      <c r="O91" s="62"/>
    </row>
    <row r="92" spans="2:15">
      <c r="B92" s="270"/>
      <c r="C92" s="62"/>
      <c r="D92" s="62"/>
      <c r="E92" s="62"/>
      <c r="F92" s="62"/>
      <c r="G92" s="62"/>
      <c r="H92" s="62"/>
      <c r="J92" s="62"/>
      <c r="N92" s="62"/>
      <c r="O92" s="62"/>
    </row>
    <row r="93" spans="2:15">
      <c r="B93" s="270"/>
      <c r="C93" s="62"/>
      <c r="D93" s="62"/>
      <c r="E93" s="62"/>
      <c r="F93" s="62"/>
      <c r="G93" s="62"/>
      <c r="H93" s="62"/>
      <c r="J93" s="62"/>
      <c r="N93" s="62"/>
      <c r="O93" s="62"/>
    </row>
    <row r="94" spans="2:15">
      <c r="B94" s="270"/>
      <c r="C94" s="62"/>
      <c r="D94" s="62"/>
      <c r="E94" s="62"/>
      <c r="F94" s="62"/>
      <c r="G94" s="62"/>
      <c r="H94" s="62"/>
      <c r="J94" s="62"/>
      <c r="N94" s="62"/>
      <c r="O94" s="62"/>
    </row>
    <row r="95" spans="2:15">
      <c r="B95" s="270"/>
      <c r="C95" s="62"/>
      <c r="D95" s="62"/>
      <c r="E95" s="62"/>
      <c r="F95" s="62"/>
      <c r="G95" s="62"/>
      <c r="H95" s="62"/>
      <c r="J95" s="62"/>
      <c r="N95" s="62"/>
      <c r="O95" s="62"/>
    </row>
    <row r="96" spans="2:15">
      <c r="B96" s="270"/>
      <c r="C96" s="62"/>
      <c r="D96" s="62"/>
      <c r="E96" s="62"/>
      <c r="F96" s="62"/>
      <c r="G96" s="62"/>
      <c r="H96" s="62"/>
      <c r="J96" s="62"/>
      <c r="N96" s="62"/>
      <c r="O96" s="62"/>
    </row>
    <row r="97" spans="2:15">
      <c r="B97" s="270"/>
      <c r="C97" s="62"/>
      <c r="D97" s="62"/>
      <c r="E97" s="62"/>
      <c r="F97" s="62"/>
      <c r="G97" s="62"/>
      <c r="H97" s="62"/>
      <c r="J97" s="62"/>
      <c r="N97" s="62"/>
      <c r="O97" s="62"/>
    </row>
    <row r="98" spans="2:15">
      <c r="B98" s="270"/>
      <c r="C98" s="62"/>
      <c r="D98" s="62"/>
      <c r="E98" s="62"/>
      <c r="F98" s="62"/>
      <c r="G98" s="62"/>
      <c r="H98" s="62"/>
      <c r="J98" s="62"/>
      <c r="N98" s="62"/>
      <c r="O98" s="62"/>
    </row>
    <row r="99" spans="2:15">
      <c r="B99" s="270"/>
      <c r="C99" s="62"/>
      <c r="D99" s="62"/>
      <c r="E99" s="62"/>
      <c r="F99" s="62"/>
      <c r="G99" s="62"/>
      <c r="H99" s="62"/>
      <c r="J99" s="62"/>
      <c r="N99" s="62"/>
      <c r="O99" s="62"/>
    </row>
    <row r="100" spans="2:15">
      <c r="B100" s="270"/>
      <c r="C100" s="62"/>
      <c r="D100" s="62"/>
      <c r="E100" s="62"/>
      <c r="F100" s="62"/>
      <c r="G100" s="62"/>
      <c r="H100" s="62"/>
      <c r="J100" s="62"/>
      <c r="N100" s="62"/>
      <c r="O100" s="62"/>
    </row>
    <row r="101" spans="2:15">
      <c r="B101" s="270"/>
      <c r="C101" s="62"/>
      <c r="D101" s="62"/>
      <c r="E101" s="62"/>
      <c r="F101" s="62"/>
      <c r="G101" s="62"/>
      <c r="H101" s="62"/>
      <c r="J101" s="62"/>
      <c r="N101" s="62"/>
      <c r="O101" s="62"/>
    </row>
    <row r="102" spans="2:15">
      <c r="B102" s="270"/>
      <c r="C102" s="62"/>
      <c r="D102" s="62"/>
      <c r="E102" s="62"/>
      <c r="F102" s="62"/>
      <c r="G102" s="62"/>
      <c r="H102" s="62"/>
      <c r="J102" s="62"/>
      <c r="N102" s="62"/>
      <c r="O102" s="62"/>
    </row>
    <row r="103" spans="2:15">
      <c r="B103" s="270"/>
      <c r="C103" s="62"/>
      <c r="D103" s="62"/>
      <c r="E103" s="62"/>
      <c r="F103" s="62"/>
      <c r="G103" s="62"/>
      <c r="H103" s="62"/>
      <c r="I103" s="238"/>
      <c r="J103" s="62"/>
      <c r="N103" s="62"/>
      <c r="O103" s="62"/>
    </row>
    <row r="104" spans="2:15">
      <c r="B104" s="270"/>
      <c r="C104" s="62"/>
      <c r="D104" s="62"/>
      <c r="E104" s="62"/>
      <c r="F104" s="62"/>
      <c r="G104" s="62"/>
      <c r="H104" s="62"/>
      <c r="J104" s="62"/>
      <c r="N104" s="62"/>
      <c r="O104" s="62"/>
    </row>
    <row r="105" spans="2:15">
      <c r="B105" s="270"/>
      <c r="C105" s="62"/>
      <c r="D105" s="62"/>
      <c r="E105" s="62"/>
      <c r="F105" s="62"/>
      <c r="G105" s="62"/>
      <c r="H105" s="62"/>
      <c r="J105" s="62"/>
      <c r="N105" s="62"/>
      <c r="O105" s="62"/>
    </row>
    <row r="106" spans="2:15">
      <c r="B106" s="270"/>
      <c r="C106" s="62"/>
      <c r="D106" s="62"/>
      <c r="E106" s="62"/>
      <c r="F106" s="62"/>
      <c r="G106" s="62"/>
      <c r="H106" s="62"/>
      <c r="J106" s="62"/>
      <c r="N106" s="62"/>
      <c r="O106" s="62"/>
    </row>
    <row r="107" spans="2:15">
      <c r="B107" s="270"/>
      <c r="C107" s="62"/>
      <c r="D107" s="62"/>
      <c r="E107" s="62"/>
      <c r="F107" s="62"/>
      <c r="G107" s="62"/>
      <c r="H107" s="62"/>
      <c r="J107" s="62"/>
      <c r="N107" s="62"/>
      <c r="O107" s="62"/>
    </row>
    <row r="108" spans="2:15">
      <c r="B108" s="270"/>
      <c r="C108" s="62"/>
      <c r="D108" s="62"/>
      <c r="E108" s="62"/>
      <c r="F108" s="62"/>
      <c r="G108" s="62"/>
      <c r="H108" s="62"/>
      <c r="J108" s="62"/>
      <c r="N108" s="62"/>
      <c r="O108" s="62"/>
    </row>
    <row r="109" spans="2:15">
      <c r="B109" s="270"/>
      <c r="C109" s="62"/>
      <c r="D109" s="62"/>
      <c r="E109" s="62"/>
      <c r="F109" s="62"/>
      <c r="G109" s="62"/>
      <c r="H109" s="62"/>
      <c r="J109" s="62"/>
      <c r="N109" s="62"/>
      <c r="O109" s="62"/>
    </row>
    <row r="110" spans="2:15">
      <c r="B110" s="270"/>
      <c r="C110" s="62"/>
      <c r="D110" s="62"/>
      <c r="E110" s="62"/>
      <c r="F110" s="62"/>
      <c r="G110" s="62"/>
      <c r="H110" s="62"/>
      <c r="J110" s="62"/>
      <c r="N110" s="62"/>
      <c r="O110" s="62"/>
    </row>
    <row r="111" spans="2:15">
      <c r="B111" s="270"/>
      <c r="C111" s="62"/>
      <c r="D111" s="62"/>
      <c r="E111" s="62"/>
      <c r="F111" s="62"/>
      <c r="G111" s="62"/>
      <c r="H111" s="62"/>
      <c r="J111" s="62"/>
      <c r="N111" s="62"/>
      <c r="O111" s="62"/>
    </row>
    <row r="112" spans="2:15">
      <c r="B112" s="270"/>
      <c r="C112" s="62"/>
      <c r="D112" s="62"/>
      <c r="E112" s="62"/>
      <c r="F112" s="62"/>
      <c r="G112" s="62"/>
      <c r="H112" s="62"/>
      <c r="J112" s="62"/>
      <c r="N112" s="62"/>
      <c r="O112" s="62"/>
    </row>
    <row r="113" spans="2:15">
      <c r="B113" s="270"/>
      <c r="C113" s="62"/>
      <c r="D113" s="62"/>
      <c r="E113" s="62"/>
      <c r="F113" s="62"/>
      <c r="G113" s="62"/>
      <c r="H113" s="62"/>
      <c r="J113" s="62"/>
      <c r="N113" s="62"/>
      <c r="O113" s="62"/>
    </row>
    <row r="114" spans="2:15">
      <c r="B114" s="270"/>
      <c r="C114" s="62"/>
      <c r="D114" s="62"/>
      <c r="E114" s="62"/>
      <c r="F114" s="62"/>
      <c r="G114" s="62"/>
      <c r="H114" s="62"/>
      <c r="J114" s="62"/>
      <c r="N114" s="62"/>
      <c r="O114" s="62"/>
    </row>
    <row r="115" spans="2:15">
      <c r="B115" s="270"/>
      <c r="C115" s="62"/>
      <c r="D115" s="62"/>
      <c r="E115" s="62"/>
      <c r="F115" s="62"/>
      <c r="G115" s="62"/>
      <c r="H115" s="62"/>
      <c r="J115" s="62"/>
      <c r="N115" s="62"/>
      <c r="O115" s="62"/>
    </row>
    <row r="116" spans="2:15">
      <c r="B116" s="270"/>
      <c r="C116" s="62"/>
      <c r="D116" s="62"/>
      <c r="E116" s="62"/>
      <c r="F116" s="62"/>
      <c r="G116" s="62"/>
      <c r="H116" s="62"/>
      <c r="J116" s="62"/>
      <c r="N116" s="62"/>
      <c r="O116" s="62"/>
    </row>
    <row r="117" spans="2:15">
      <c r="B117" s="270"/>
      <c r="C117" s="62"/>
      <c r="D117" s="62"/>
      <c r="E117" s="62"/>
      <c r="F117" s="62"/>
      <c r="G117" s="62"/>
      <c r="H117" s="62"/>
      <c r="J117" s="62"/>
      <c r="N117" s="62"/>
      <c r="O117" s="62"/>
    </row>
    <row r="118" spans="2:15">
      <c r="B118" s="270"/>
      <c r="C118" s="62"/>
      <c r="D118" s="62"/>
      <c r="E118" s="62"/>
      <c r="F118" s="62"/>
      <c r="G118" s="62"/>
      <c r="H118" s="62"/>
      <c r="J118" s="62"/>
      <c r="N118" s="62"/>
      <c r="O118" s="62"/>
    </row>
    <row r="119" spans="2:15">
      <c r="B119" s="270"/>
      <c r="C119" s="62"/>
      <c r="D119" s="62"/>
      <c r="E119" s="62"/>
      <c r="F119" s="62"/>
      <c r="G119" s="62"/>
      <c r="H119" s="62"/>
      <c r="J119" s="62"/>
      <c r="N119" s="62"/>
      <c r="O119" s="62"/>
    </row>
    <row r="120" spans="2:15">
      <c r="B120" s="270"/>
      <c r="C120" s="62"/>
      <c r="D120" s="62"/>
      <c r="E120" s="62"/>
      <c r="F120" s="62"/>
      <c r="G120" s="62"/>
      <c r="H120" s="62"/>
      <c r="J120" s="62"/>
      <c r="N120" s="62"/>
      <c r="O120" s="62"/>
    </row>
    <row r="121" spans="2:15">
      <c r="B121" s="270"/>
      <c r="C121" s="62"/>
      <c r="D121" s="62"/>
      <c r="E121" s="62"/>
      <c r="F121" s="62"/>
      <c r="G121" s="62"/>
      <c r="H121" s="62"/>
      <c r="J121" s="62"/>
      <c r="N121" s="62"/>
      <c r="O121" s="62"/>
    </row>
    <row r="122" spans="2:15">
      <c r="B122" s="270"/>
      <c r="C122" s="62"/>
      <c r="D122" s="62"/>
      <c r="E122" s="62"/>
      <c r="F122" s="62"/>
      <c r="G122" s="62"/>
      <c r="H122" s="62"/>
      <c r="J122" s="62"/>
      <c r="N122" s="62"/>
      <c r="O122" s="62"/>
    </row>
    <row r="123" spans="2:15">
      <c r="B123" s="270"/>
      <c r="C123" s="62"/>
      <c r="D123" s="62"/>
      <c r="E123" s="62"/>
      <c r="F123" s="62"/>
      <c r="G123" s="62"/>
      <c r="H123" s="62"/>
      <c r="J123" s="62"/>
      <c r="N123" s="62"/>
      <c r="O123" s="62"/>
    </row>
    <row r="124" spans="2:15">
      <c r="B124" s="270"/>
      <c r="C124" s="62"/>
      <c r="D124" s="62"/>
      <c r="E124" s="62"/>
      <c r="F124" s="62"/>
      <c r="G124" s="62"/>
      <c r="H124" s="62"/>
      <c r="J124" s="62"/>
      <c r="N124" s="62"/>
      <c r="O124" s="62"/>
    </row>
    <row r="125" spans="2:15">
      <c r="B125" s="270"/>
      <c r="C125" s="62"/>
      <c r="D125" s="62"/>
      <c r="E125" s="62"/>
      <c r="F125" s="62"/>
      <c r="G125" s="62"/>
      <c r="H125" s="62"/>
      <c r="J125" s="62"/>
      <c r="N125" s="62"/>
      <c r="O125" s="62"/>
    </row>
    <row r="126" spans="2:15">
      <c r="B126" s="270"/>
      <c r="C126" s="62"/>
      <c r="D126" s="62"/>
      <c r="E126" s="62"/>
      <c r="F126" s="62"/>
      <c r="G126" s="62"/>
      <c r="H126" s="62"/>
      <c r="J126" s="62"/>
      <c r="N126" s="62"/>
      <c r="O126" s="62"/>
    </row>
    <row r="127" spans="2:15">
      <c r="B127" s="270"/>
      <c r="C127" s="62"/>
      <c r="D127" s="62"/>
      <c r="E127" s="62"/>
      <c r="F127" s="62"/>
      <c r="G127" s="62"/>
      <c r="H127" s="62"/>
      <c r="J127" s="62"/>
      <c r="N127" s="62"/>
      <c r="O127" s="62"/>
    </row>
    <row r="128" spans="2:15">
      <c r="B128" s="270"/>
      <c r="C128" s="62"/>
      <c r="D128" s="62"/>
      <c r="E128" s="62"/>
      <c r="F128" s="62"/>
      <c r="G128" s="62"/>
      <c r="H128" s="62"/>
      <c r="J128" s="62"/>
      <c r="N128" s="62"/>
      <c r="O128" s="62"/>
    </row>
    <row r="129" spans="2:15">
      <c r="B129" s="270"/>
      <c r="C129" s="62"/>
      <c r="D129" s="62"/>
      <c r="E129" s="62"/>
      <c r="F129" s="62"/>
      <c r="G129" s="62"/>
      <c r="H129" s="62"/>
      <c r="J129" s="62"/>
      <c r="N129" s="62"/>
      <c r="O129" s="62"/>
    </row>
    <row r="130" spans="2:15">
      <c r="B130" s="270"/>
      <c r="C130" s="62"/>
      <c r="D130" s="62"/>
      <c r="E130" s="62"/>
      <c r="F130" s="62"/>
      <c r="G130" s="62"/>
      <c r="H130" s="62"/>
      <c r="J130" s="62"/>
      <c r="N130" s="62"/>
      <c r="O130" s="62"/>
    </row>
    <row r="131" spans="2:15">
      <c r="B131" s="270"/>
      <c r="C131" s="62"/>
      <c r="D131" s="62"/>
      <c r="E131" s="62"/>
      <c r="F131" s="62"/>
      <c r="G131" s="62"/>
      <c r="H131" s="62"/>
      <c r="J131" s="62"/>
      <c r="N131" s="62"/>
      <c r="O131" s="62"/>
    </row>
    <row r="132" spans="2:15">
      <c r="B132" s="270"/>
      <c r="C132" s="62"/>
      <c r="D132" s="62"/>
      <c r="E132" s="62"/>
      <c r="F132" s="62"/>
      <c r="G132" s="62"/>
      <c r="H132" s="62"/>
      <c r="J132" s="62"/>
      <c r="N132" s="62"/>
      <c r="O132" s="62"/>
    </row>
    <row r="133" spans="2:15">
      <c r="B133" s="270"/>
      <c r="C133" s="62"/>
      <c r="D133" s="62"/>
      <c r="E133" s="62"/>
      <c r="F133" s="62"/>
      <c r="G133" s="62"/>
      <c r="H133" s="62"/>
      <c r="J133" s="62"/>
      <c r="N133" s="62"/>
      <c r="O133" s="62"/>
    </row>
    <row r="134" spans="2:15">
      <c r="B134" s="270"/>
      <c r="C134" s="62"/>
      <c r="D134" s="62"/>
      <c r="E134" s="62"/>
      <c r="F134" s="62"/>
      <c r="G134" s="62"/>
      <c r="H134" s="62"/>
      <c r="J134" s="62"/>
      <c r="N134" s="62"/>
      <c r="O134" s="62"/>
    </row>
    <row r="135" spans="2:15">
      <c r="B135" s="270"/>
      <c r="C135" s="62"/>
      <c r="D135" s="62"/>
      <c r="E135" s="62"/>
      <c r="F135" s="62"/>
      <c r="G135" s="62"/>
      <c r="H135" s="62"/>
      <c r="J135" s="62"/>
      <c r="N135" s="62"/>
      <c r="O135" s="62"/>
    </row>
    <row r="136" spans="2:15">
      <c r="B136" s="270"/>
      <c r="C136" s="62"/>
      <c r="D136" s="62"/>
      <c r="E136" s="62"/>
      <c r="F136" s="62"/>
      <c r="G136" s="62"/>
      <c r="H136" s="62"/>
      <c r="J136" s="62"/>
      <c r="N136" s="62"/>
      <c r="O136" s="62"/>
    </row>
    <row r="137" spans="2:15">
      <c r="B137" s="270"/>
      <c r="C137" s="62"/>
      <c r="D137" s="62"/>
      <c r="E137" s="62"/>
      <c r="F137" s="62"/>
      <c r="G137" s="62"/>
      <c r="H137" s="62"/>
      <c r="J137" s="62"/>
      <c r="N137" s="62"/>
      <c r="O137" s="62"/>
    </row>
    <row r="138" spans="2:15">
      <c r="B138" s="270"/>
      <c r="C138" s="62"/>
      <c r="D138" s="62"/>
      <c r="E138" s="62"/>
      <c r="F138" s="62"/>
      <c r="G138" s="62"/>
      <c r="H138" s="62"/>
      <c r="J138" s="62"/>
      <c r="N138" s="62"/>
      <c r="O138" s="62"/>
    </row>
    <row r="139" spans="2:15">
      <c r="B139" s="270"/>
      <c r="C139" s="62"/>
      <c r="D139" s="62"/>
      <c r="E139" s="62"/>
      <c r="F139" s="62"/>
      <c r="G139" s="62"/>
      <c r="H139" s="62"/>
      <c r="J139" s="62"/>
      <c r="N139" s="62"/>
      <c r="O139" s="62"/>
    </row>
    <row r="140" spans="2:15">
      <c r="B140" s="270"/>
      <c r="C140" s="62"/>
      <c r="D140" s="62"/>
      <c r="E140" s="62"/>
      <c r="F140" s="62"/>
      <c r="G140" s="62"/>
      <c r="H140" s="62"/>
      <c r="J140" s="62"/>
      <c r="N140" s="62"/>
      <c r="O140" s="62"/>
    </row>
    <row r="141" spans="2:15">
      <c r="B141" s="270"/>
      <c r="C141" s="62"/>
      <c r="D141" s="62"/>
      <c r="E141" s="62"/>
      <c r="F141" s="62"/>
      <c r="G141" s="62"/>
      <c r="H141" s="62"/>
      <c r="J141" s="62"/>
      <c r="N141" s="62"/>
      <c r="O141" s="62"/>
    </row>
    <row r="142" spans="2:15">
      <c r="B142" s="270"/>
      <c r="C142" s="62"/>
      <c r="D142" s="62"/>
      <c r="E142" s="62"/>
      <c r="F142" s="62"/>
      <c r="G142" s="62"/>
      <c r="H142" s="62"/>
      <c r="J142" s="62"/>
      <c r="N142" s="62"/>
      <c r="O142" s="62"/>
    </row>
    <row r="143" spans="2:15">
      <c r="B143" s="270"/>
      <c r="C143" s="62"/>
      <c r="D143" s="62"/>
      <c r="E143" s="62"/>
      <c r="F143" s="62"/>
      <c r="G143" s="62"/>
      <c r="H143" s="62"/>
      <c r="J143" s="62"/>
      <c r="N143" s="62"/>
      <c r="O143" s="62"/>
    </row>
    <row r="144" spans="2:15">
      <c r="B144" s="270"/>
      <c r="C144" s="62"/>
      <c r="D144" s="62"/>
      <c r="E144" s="62"/>
      <c r="F144" s="62"/>
      <c r="G144" s="62"/>
      <c r="H144" s="62"/>
      <c r="J144" s="62"/>
      <c r="N144" s="62"/>
      <c r="O144" s="62"/>
    </row>
    <row r="145" spans="2:15">
      <c r="B145" s="270"/>
      <c r="C145" s="62"/>
      <c r="D145" s="62"/>
      <c r="E145" s="62"/>
      <c r="F145" s="62"/>
      <c r="G145" s="62"/>
      <c r="H145" s="62"/>
      <c r="J145" s="62"/>
      <c r="N145" s="62"/>
      <c r="O145" s="62"/>
    </row>
    <row r="146" spans="2:15">
      <c r="B146" s="270"/>
      <c r="C146" s="62"/>
      <c r="D146" s="62"/>
      <c r="E146" s="62"/>
      <c r="F146" s="62"/>
      <c r="G146" s="62"/>
      <c r="H146" s="62"/>
      <c r="J146" s="62"/>
      <c r="N146" s="62"/>
      <c r="O146" s="62"/>
    </row>
    <row r="147" spans="2:15">
      <c r="B147" s="270"/>
      <c r="C147" s="62"/>
      <c r="D147" s="62"/>
      <c r="E147" s="62"/>
      <c r="F147" s="62"/>
      <c r="G147" s="62"/>
      <c r="H147" s="62"/>
      <c r="J147" s="62"/>
      <c r="N147" s="62"/>
      <c r="O147" s="62"/>
    </row>
    <row r="148" spans="2:15">
      <c r="B148" s="270"/>
      <c r="C148" s="62"/>
      <c r="D148" s="62"/>
      <c r="E148" s="62"/>
      <c r="F148" s="62"/>
      <c r="G148" s="62"/>
      <c r="H148" s="62"/>
      <c r="J148" s="62"/>
      <c r="N148" s="62"/>
      <c r="O148" s="62"/>
    </row>
    <row r="149" spans="2:15">
      <c r="B149" s="270"/>
      <c r="C149" s="62"/>
      <c r="D149" s="62"/>
      <c r="E149" s="62"/>
      <c r="F149" s="62"/>
      <c r="G149" s="62"/>
      <c r="H149" s="62"/>
      <c r="J149" s="62"/>
      <c r="N149" s="62"/>
      <c r="O149" s="62"/>
    </row>
    <row r="150" spans="2:15">
      <c r="B150" s="270"/>
      <c r="C150" s="62"/>
      <c r="D150" s="62"/>
      <c r="E150" s="62"/>
      <c r="F150" s="62"/>
      <c r="G150" s="62"/>
      <c r="H150" s="62"/>
      <c r="J150" s="62"/>
      <c r="N150" s="62"/>
      <c r="O150" s="62"/>
    </row>
    <row r="151" spans="2:15">
      <c r="B151" s="270"/>
      <c r="C151" s="62"/>
      <c r="D151" s="62"/>
      <c r="E151" s="62"/>
      <c r="F151" s="62"/>
      <c r="G151" s="62"/>
      <c r="H151" s="62"/>
      <c r="J151" s="62"/>
      <c r="N151" s="62"/>
      <c r="O151" s="62"/>
    </row>
    <row r="152" spans="2:15">
      <c r="B152" s="270"/>
      <c r="C152" s="62"/>
      <c r="D152" s="62"/>
      <c r="E152" s="62"/>
      <c r="F152" s="62"/>
      <c r="G152" s="62"/>
      <c r="H152" s="62"/>
      <c r="J152" s="62"/>
      <c r="N152" s="62"/>
      <c r="O152" s="62"/>
    </row>
    <row r="153" spans="2:15">
      <c r="B153" s="270"/>
      <c r="C153" s="62"/>
      <c r="D153" s="62"/>
      <c r="E153" s="62"/>
      <c r="F153" s="62"/>
      <c r="G153" s="62"/>
      <c r="H153" s="62"/>
      <c r="J153" s="62"/>
      <c r="N153" s="62"/>
      <c r="O153" s="62"/>
    </row>
    <row r="154" spans="2:15">
      <c r="B154" s="270"/>
      <c r="C154" s="62"/>
      <c r="D154" s="62"/>
      <c r="E154" s="62"/>
      <c r="F154" s="62"/>
      <c r="G154" s="62"/>
      <c r="H154" s="62"/>
      <c r="J154" s="62"/>
      <c r="N154" s="62"/>
      <c r="O154" s="62"/>
    </row>
    <row r="155" spans="2:15">
      <c r="B155" s="270"/>
      <c r="C155" s="62"/>
      <c r="D155" s="62"/>
      <c r="E155" s="62"/>
      <c r="F155" s="62"/>
      <c r="G155" s="62"/>
      <c r="H155" s="62"/>
      <c r="J155" s="62"/>
      <c r="N155" s="62"/>
      <c r="O155" s="62"/>
    </row>
    <row r="156" spans="2:15">
      <c r="B156" s="270"/>
      <c r="C156" s="62"/>
      <c r="D156" s="62"/>
      <c r="E156" s="62"/>
      <c r="F156" s="62"/>
      <c r="G156" s="62"/>
      <c r="H156" s="62"/>
      <c r="J156" s="62"/>
      <c r="N156" s="62"/>
      <c r="O156" s="62"/>
    </row>
    <row r="157" spans="2:15">
      <c r="B157" s="270"/>
      <c r="C157" s="62"/>
      <c r="D157" s="62"/>
      <c r="E157" s="62"/>
      <c r="F157" s="62"/>
      <c r="G157" s="62"/>
      <c r="H157" s="62"/>
      <c r="J157" s="62"/>
      <c r="N157" s="62"/>
      <c r="O157" s="62"/>
    </row>
    <row r="158" spans="2:15">
      <c r="B158" s="270"/>
      <c r="C158" s="62"/>
      <c r="D158" s="62"/>
      <c r="E158" s="62"/>
      <c r="F158" s="62"/>
      <c r="G158" s="62"/>
      <c r="H158" s="62"/>
      <c r="J158" s="62"/>
      <c r="N158" s="62"/>
      <c r="O158" s="62"/>
    </row>
    <row r="159" spans="2:15">
      <c r="B159" s="270"/>
      <c r="C159" s="62"/>
      <c r="D159" s="62"/>
      <c r="E159" s="62"/>
      <c r="F159" s="62"/>
      <c r="G159" s="62"/>
      <c r="H159" s="62"/>
      <c r="J159" s="62"/>
      <c r="N159" s="62"/>
      <c r="O159" s="62"/>
    </row>
    <row r="160" spans="2:15">
      <c r="B160" s="270"/>
      <c r="C160" s="62"/>
      <c r="D160" s="62"/>
      <c r="E160" s="62"/>
      <c r="F160" s="62"/>
      <c r="G160" s="62"/>
      <c r="H160" s="62"/>
      <c r="J160" s="62"/>
      <c r="N160" s="62"/>
      <c r="O160" s="62"/>
    </row>
    <row r="161" spans="2:15">
      <c r="B161" s="270"/>
      <c r="C161" s="62"/>
      <c r="D161" s="62"/>
      <c r="E161" s="62"/>
      <c r="F161" s="62"/>
      <c r="G161" s="62"/>
      <c r="H161" s="62"/>
      <c r="J161" s="62"/>
      <c r="N161" s="62"/>
      <c r="O161" s="62"/>
    </row>
    <row r="162" spans="2:15">
      <c r="B162" s="270"/>
      <c r="C162" s="62"/>
      <c r="D162" s="62"/>
      <c r="E162" s="62"/>
      <c r="F162" s="62"/>
      <c r="G162" s="62"/>
      <c r="H162" s="62"/>
      <c r="J162" s="62"/>
      <c r="N162" s="62"/>
      <c r="O162" s="62"/>
    </row>
    <row r="163" spans="2:15">
      <c r="B163" s="270"/>
      <c r="C163" s="62"/>
      <c r="D163" s="62"/>
      <c r="E163" s="62"/>
      <c r="F163" s="62"/>
      <c r="G163" s="62"/>
      <c r="H163" s="62"/>
      <c r="J163" s="62"/>
      <c r="N163" s="62"/>
      <c r="O163" s="62"/>
    </row>
    <row r="164" spans="2:15">
      <c r="B164" s="270"/>
      <c r="C164" s="62"/>
      <c r="D164" s="62"/>
      <c r="E164" s="62"/>
      <c r="F164" s="62"/>
      <c r="G164" s="62"/>
      <c r="H164" s="62"/>
      <c r="J164" s="62"/>
      <c r="N164" s="62"/>
      <c r="O164" s="62"/>
    </row>
    <row r="165" spans="2:15">
      <c r="B165" s="270"/>
      <c r="C165" s="62"/>
      <c r="D165" s="62"/>
      <c r="E165" s="62"/>
      <c r="F165" s="62"/>
      <c r="G165" s="62"/>
      <c r="H165" s="62"/>
      <c r="J165" s="62"/>
      <c r="N165" s="62"/>
      <c r="O165" s="62"/>
    </row>
    <row r="166" spans="2:15">
      <c r="B166" s="270"/>
      <c r="C166" s="62"/>
      <c r="D166" s="62"/>
      <c r="E166" s="62"/>
      <c r="F166" s="62"/>
      <c r="G166" s="62"/>
      <c r="H166" s="62"/>
      <c r="J166" s="62"/>
      <c r="N166" s="62"/>
      <c r="O166" s="62"/>
    </row>
    <row r="167" spans="2:15">
      <c r="B167" s="270"/>
      <c r="C167" s="62"/>
      <c r="D167" s="62"/>
      <c r="E167" s="62"/>
      <c r="F167" s="62"/>
      <c r="G167" s="62"/>
      <c r="H167" s="62"/>
      <c r="J167" s="62"/>
      <c r="N167" s="62"/>
      <c r="O167" s="62"/>
    </row>
    <row r="168" spans="2:15">
      <c r="B168" s="270"/>
      <c r="C168" s="62"/>
      <c r="D168" s="62"/>
      <c r="E168" s="62"/>
      <c r="F168" s="62"/>
      <c r="G168" s="62"/>
      <c r="H168" s="62"/>
      <c r="J168" s="62"/>
      <c r="N168" s="62"/>
      <c r="O168" s="62"/>
    </row>
    <row r="169" spans="2:15">
      <c r="B169" s="270"/>
      <c r="C169" s="62"/>
      <c r="D169" s="62"/>
      <c r="E169" s="62"/>
      <c r="F169" s="62"/>
      <c r="G169" s="62"/>
      <c r="H169" s="62"/>
      <c r="J169" s="62"/>
      <c r="N169" s="62"/>
      <c r="O169" s="62"/>
    </row>
    <row r="170" spans="2:15">
      <c r="B170" s="270"/>
      <c r="C170" s="62"/>
      <c r="D170" s="62"/>
      <c r="E170" s="62"/>
      <c r="F170" s="62"/>
      <c r="G170" s="62"/>
      <c r="H170" s="62"/>
      <c r="J170" s="62"/>
      <c r="N170" s="62"/>
      <c r="O170" s="62"/>
    </row>
    <row r="171" spans="2:15">
      <c r="B171" s="270"/>
      <c r="C171" s="62"/>
      <c r="D171" s="62"/>
      <c r="E171" s="62"/>
      <c r="F171" s="62"/>
      <c r="G171" s="62"/>
      <c r="H171" s="62"/>
      <c r="J171" s="62"/>
      <c r="N171" s="62"/>
      <c r="O171" s="62"/>
    </row>
    <row r="172" spans="2:15">
      <c r="B172" s="270"/>
      <c r="C172" s="62"/>
      <c r="D172" s="62"/>
      <c r="E172" s="62"/>
      <c r="F172" s="62"/>
      <c r="G172" s="62"/>
      <c r="H172" s="62"/>
      <c r="J172" s="62"/>
      <c r="N172" s="62"/>
      <c r="O172" s="62"/>
    </row>
    <row r="173" spans="2:15">
      <c r="B173" s="270"/>
      <c r="C173" s="62"/>
      <c r="D173" s="62"/>
      <c r="E173" s="62"/>
      <c r="F173" s="62"/>
      <c r="G173" s="62"/>
      <c r="H173" s="62"/>
      <c r="J173" s="62"/>
      <c r="N173" s="62"/>
      <c r="O173" s="62"/>
    </row>
    <row r="174" spans="2:15">
      <c r="B174" s="270"/>
      <c r="C174" s="62"/>
      <c r="D174" s="62"/>
      <c r="E174" s="62"/>
      <c r="F174" s="62"/>
      <c r="G174" s="62"/>
      <c r="H174" s="62"/>
      <c r="J174" s="62"/>
      <c r="N174" s="62"/>
      <c r="O174" s="62"/>
    </row>
    <row r="175" spans="2:15">
      <c r="B175" s="270"/>
      <c r="C175" s="62"/>
      <c r="D175" s="62"/>
      <c r="E175" s="62"/>
      <c r="F175" s="62"/>
      <c r="G175" s="62"/>
      <c r="H175" s="62"/>
      <c r="J175" s="62"/>
      <c r="N175" s="62"/>
      <c r="O175" s="62"/>
    </row>
    <row r="176" spans="2:15">
      <c r="B176" s="270"/>
      <c r="C176" s="62"/>
      <c r="D176" s="62"/>
      <c r="E176" s="62"/>
      <c r="F176" s="62"/>
      <c r="G176" s="62"/>
      <c r="H176" s="62"/>
      <c r="J176" s="62"/>
      <c r="N176" s="62"/>
      <c r="O176" s="62"/>
    </row>
    <row r="177" spans="2:15">
      <c r="B177" s="270"/>
      <c r="C177" s="62"/>
      <c r="D177" s="62"/>
      <c r="E177" s="62"/>
      <c r="F177" s="62"/>
      <c r="G177" s="62"/>
      <c r="H177" s="62"/>
      <c r="J177" s="62"/>
      <c r="N177" s="62"/>
      <c r="O177" s="62"/>
    </row>
    <row r="178" spans="2:15">
      <c r="B178" s="270"/>
      <c r="C178" s="62"/>
      <c r="D178" s="62"/>
      <c r="E178" s="62"/>
      <c r="F178" s="62"/>
      <c r="G178" s="62"/>
      <c r="H178" s="62"/>
      <c r="J178" s="62"/>
      <c r="N178" s="62"/>
      <c r="O178" s="62"/>
    </row>
    <row r="179" spans="2:15">
      <c r="B179" s="270"/>
      <c r="C179" s="62"/>
      <c r="D179" s="62"/>
      <c r="E179" s="62"/>
      <c r="F179" s="62"/>
      <c r="G179" s="62"/>
      <c r="H179" s="62"/>
      <c r="J179" s="62"/>
      <c r="N179" s="62"/>
      <c r="O179" s="62"/>
    </row>
    <row r="180" spans="2:15">
      <c r="B180" s="270"/>
      <c r="C180" s="62"/>
      <c r="D180" s="62"/>
      <c r="E180" s="62"/>
      <c r="F180" s="62"/>
      <c r="G180" s="62"/>
      <c r="H180" s="62"/>
      <c r="J180" s="62"/>
      <c r="N180" s="62"/>
      <c r="O180" s="62"/>
    </row>
    <row r="181" spans="2:15">
      <c r="B181" s="270"/>
      <c r="C181" s="62"/>
      <c r="D181" s="62"/>
      <c r="E181" s="62"/>
      <c r="F181" s="62"/>
      <c r="G181" s="62"/>
      <c r="H181" s="62"/>
      <c r="J181" s="62"/>
      <c r="N181" s="62"/>
      <c r="O181" s="62"/>
    </row>
    <row r="182" spans="2:15">
      <c r="B182" s="270"/>
      <c r="C182" s="62"/>
      <c r="D182" s="62"/>
      <c r="E182" s="62"/>
      <c r="F182" s="62"/>
      <c r="G182" s="62"/>
      <c r="H182" s="62"/>
      <c r="J182" s="62"/>
      <c r="N182" s="62"/>
      <c r="O182" s="62"/>
    </row>
    <row r="183" spans="2:15">
      <c r="B183" s="270"/>
      <c r="C183" s="62"/>
      <c r="D183" s="62"/>
      <c r="E183" s="62"/>
      <c r="F183" s="62"/>
      <c r="G183" s="62"/>
      <c r="H183" s="62"/>
      <c r="J183" s="62"/>
      <c r="N183" s="62"/>
      <c r="O183" s="62"/>
    </row>
    <row r="184" spans="2:15">
      <c r="B184" s="270"/>
      <c r="C184" s="62"/>
      <c r="D184" s="62"/>
      <c r="E184" s="62"/>
      <c r="F184" s="62"/>
      <c r="G184" s="62"/>
      <c r="H184" s="62"/>
      <c r="J184" s="62"/>
      <c r="N184" s="62"/>
      <c r="O184" s="62"/>
    </row>
    <row r="185" spans="2:15">
      <c r="B185" s="270"/>
      <c r="C185" s="62"/>
      <c r="D185" s="62"/>
      <c r="E185" s="62"/>
      <c r="F185" s="62"/>
      <c r="G185" s="62"/>
      <c r="H185" s="62"/>
      <c r="J185" s="62"/>
      <c r="N185" s="62"/>
      <c r="O185" s="62"/>
    </row>
    <row r="186" spans="2:15">
      <c r="B186" s="270"/>
      <c r="C186" s="62"/>
      <c r="D186" s="62"/>
      <c r="E186" s="62"/>
      <c r="F186" s="62"/>
      <c r="G186" s="62"/>
      <c r="H186" s="62"/>
      <c r="J186" s="62"/>
      <c r="N186" s="62"/>
      <c r="O186" s="62"/>
    </row>
    <row r="187" spans="2:15">
      <c r="B187" s="270"/>
      <c r="C187" s="62"/>
      <c r="D187" s="62"/>
      <c r="E187" s="62"/>
      <c r="F187" s="62"/>
      <c r="G187" s="62"/>
      <c r="H187" s="62"/>
      <c r="J187" s="62"/>
      <c r="N187" s="62"/>
      <c r="O187" s="62"/>
    </row>
    <row r="188" spans="2:15">
      <c r="B188" s="270"/>
      <c r="C188" s="62"/>
      <c r="D188" s="62"/>
      <c r="E188" s="62"/>
      <c r="F188" s="62"/>
      <c r="G188" s="62"/>
      <c r="H188" s="62"/>
      <c r="J188" s="62"/>
      <c r="N188" s="62"/>
      <c r="O188" s="62"/>
    </row>
    <row r="189" spans="2:15">
      <c r="B189" s="270"/>
      <c r="C189" s="62"/>
      <c r="D189" s="62"/>
      <c r="E189" s="62"/>
      <c r="F189" s="62"/>
      <c r="G189" s="62"/>
      <c r="H189" s="62"/>
      <c r="J189" s="62"/>
      <c r="N189" s="62"/>
      <c r="O189" s="62"/>
    </row>
    <row r="190" spans="2:15">
      <c r="B190" s="270"/>
      <c r="C190" s="62"/>
      <c r="D190" s="62"/>
      <c r="E190" s="62"/>
      <c r="F190" s="62"/>
      <c r="G190" s="62"/>
      <c r="H190" s="62"/>
      <c r="J190" s="62"/>
      <c r="N190" s="62"/>
      <c r="O190" s="62"/>
    </row>
    <row r="191" spans="2:15">
      <c r="B191" s="270"/>
      <c r="C191" s="62"/>
      <c r="D191" s="62"/>
      <c r="E191" s="62"/>
      <c r="F191" s="62"/>
      <c r="G191" s="62"/>
      <c r="H191" s="62"/>
      <c r="J191" s="62"/>
      <c r="N191" s="62"/>
      <c r="O191" s="62"/>
    </row>
    <row r="192" spans="2:15">
      <c r="B192" s="270"/>
      <c r="C192" s="62"/>
      <c r="D192" s="62"/>
      <c r="E192" s="62"/>
      <c r="F192" s="62"/>
      <c r="G192" s="62"/>
      <c r="H192" s="62"/>
      <c r="J192" s="62"/>
      <c r="N192" s="62"/>
      <c r="O192" s="62"/>
    </row>
    <row r="193" spans="2:15">
      <c r="B193" s="270"/>
      <c r="C193" s="62"/>
      <c r="D193" s="62"/>
      <c r="E193" s="62"/>
      <c r="F193" s="62"/>
      <c r="G193" s="62"/>
      <c r="H193" s="62"/>
      <c r="J193" s="62"/>
      <c r="N193" s="62"/>
      <c r="O193" s="62"/>
    </row>
    <row r="194" spans="2:15">
      <c r="B194" s="270"/>
      <c r="C194" s="62"/>
      <c r="D194" s="62"/>
      <c r="E194" s="62"/>
      <c r="F194" s="62"/>
      <c r="G194" s="62"/>
      <c r="H194" s="62"/>
      <c r="J194" s="62"/>
      <c r="N194" s="62"/>
      <c r="O194" s="62"/>
    </row>
    <row r="195" spans="2:15">
      <c r="B195" s="270"/>
      <c r="C195" s="62"/>
      <c r="D195" s="62"/>
      <c r="E195" s="62"/>
      <c r="F195" s="62"/>
      <c r="G195" s="62"/>
      <c r="H195" s="62"/>
      <c r="J195" s="62"/>
      <c r="N195" s="62"/>
      <c r="O195" s="62"/>
    </row>
    <row r="196" spans="2:15">
      <c r="B196" s="270"/>
      <c r="C196" s="62"/>
      <c r="D196" s="62"/>
      <c r="E196" s="62"/>
      <c r="F196" s="62"/>
      <c r="G196" s="62"/>
      <c r="H196" s="62"/>
      <c r="J196" s="62"/>
      <c r="N196" s="62"/>
      <c r="O196" s="62"/>
    </row>
    <row r="197" spans="2:15">
      <c r="B197" s="270"/>
      <c r="C197" s="62"/>
      <c r="D197" s="62"/>
      <c r="E197" s="62"/>
      <c r="F197" s="62"/>
      <c r="G197" s="62"/>
      <c r="H197" s="62"/>
      <c r="J197" s="62"/>
      <c r="N197" s="62"/>
      <c r="O197" s="62"/>
    </row>
    <row r="198" spans="2:15">
      <c r="B198" s="270"/>
      <c r="C198" s="62"/>
      <c r="D198" s="62"/>
      <c r="E198" s="62"/>
      <c r="F198" s="62"/>
      <c r="G198" s="62"/>
      <c r="H198" s="62"/>
      <c r="J198" s="62"/>
      <c r="N198" s="62"/>
      <c r="O198" s="62"/>
    </row>
    <row r="199" spans="2:15">
      <c r="B199" s="270"/>
      <c r="C199" s="62"/>
      <c r="D199" s="62"/>
      <c r="E199" s="62"/>
      <c r="F199" s="62"/>
      <c r="G199" s="62"/>
      <c r="H199" s="62"/>
      <c r="J199" s="62"/>
      <c r="N199" s="62"/>
      <c r="O199" s="62"/>
    </row>
    <row r="200" spans="2:15">
      <c r="B200" s="270"/>
      <c r="C200" s="62"/>
      <c r="D200" s="62"/>
      <c r="E200" s="62"/>
      <c r="F200" s="62"/>
      <c r="G200" s="62"/>
      <c r="H200" s="62"/>
      <c r="J200" s="62"/>
      <c r="N200" s="62"/>
      <c r="O200" s="62"/>
    </row>
    <row r="201" spans="2:15">
      <c r="B201" s="270"/>
      <c r="C201" s="62"/>
      <c r="D201" s="62"/>
      <c r="E201" s="62"/>
      <c r="F201" s="62"/>
      <c r="G201" s="62"/>
      <c r="H201" s="62"/>
      <c r="J201" s="62"/>
      <c r="N201" s="62"/>
      <c r="O201" s="62"/>
    </row>
    <row r="202" spans="2:15">
      <c r="B202" s="270"/>
      <c r="C202" s="62"/>
      <c r="D202" s="62"/>
      <c r="E202" s="62"/>
      <c r="F202" s="62"/>
      <c r="G202" s="62"/>
      <c r="H202" s="62"/>
      <c r="J202" s="62"/>
      <c r="N202" s="62"/>
      <c r="O202" s="62"/>
    </row>
    <row r="203" spans="2:15">
      <c r="B203" s="270"/>
      <c r="C203" s="62"/>
      <c r="D203" s="62"/>
      <c r="E203" s="62"/>
      <c r="F203" s="62"/>
      <c r="G203" s="62"/>
      <c r="H203" s="62"/>
      <c r="J203" s="62"/>
      <c r="N203" s="62"/>
      <c r="O203" s="62"/>
    </row>
    <row r="204" spans="2:15">
      <c r="B204" s="270"/>
      <c r="C204" s="62"/>
      <c r="D204" s="62"/>
      <c r="E204" s="62"/>
      <c r="F204" s="62"/>
      <c r="G204" s="62"/>
      <c r="H204" s="62"/>
      <c r="J204" s="62"/>
      <c r="N204" s="62"/>
      <c r="O204" s="62"/>
    </row>
    <row r="205" spans="2:15">
      <c r="B205" s="270"/>
      <c r="C205" s="62"/>
      <c r="D205" s="62"/>
      <c r="E205" s="62"/>
      <c r="F205" s="62"/>
      <c r="G205" s="62"/>
      <c r="H205" s="62"/>
      <c r="J205" s="62"/>
      <c r="N205" s="62"/>
      <c r="O205" s="62"/>
    </row>
    <row r="206" spans="2:15">
      <c r="B206" s="270"/>
      <c r="C206" s="62"/>
      <c r="D206" s="62"/>
      <c r="E206" s="62"/>
      <c r="F206" s="62"/>
      <c r="G206" s="62"/>
      <c r="H206" s="62"/>
      <c r="J206" s="62"/>
      <c r="N206" s="62"/>
      <c r="O206" s="62"/>
    </row>
    <row r="207" spans="2:15">
      <c r="B207" s="270"/>
      <c r="C207" s="62"/>
      <c r="D207" s="62"/>
      <c r="E207" s="62"/>
      <c r="F207" s="62"/>
      <c r="G207" s="62"/>
      <c r="H207" s="62"/>
      <c r="J207" s="62"/>
      <c r="N207" s="62"/>
      <c r="O207" s="62"/>
    </row>
    <row r="208" spans="2:15">
      <c r="B208" s="270"/>
      <c r="C208" s="62"/>
      <c r="D208" s="62"/>
      <c r="E208" s="62"/>
      <c r="F208" s="62"/>
      <c r="G208" s="62"/>
      <c r="H208" s="62"/>
      <c r="J208" s="62"/>
      <c r="N208" s="62"/>
      <c r="O208" s="62"/>
    </row>
    <row r="209" spans="2:15">
      <c r="B209" s="270"/>
      <c r="C209" s="62"/>
      <c r="D209" s="62"/>
      <c r="E209" s="62"/>
      <c r="F209" s="62"/>
      <c r="G209" s="62"/>
      <c r="H209" s="62"/>
      <c r="J209" s="62"/>
      <c r="N209" s="62"/>
      <c r="O209" s="62"/>
    </row>
    <row r="210" spans="2:15">
      <c r="B210" s="270"/>
      <c r="C210" s="62"/>
      <c r="D210" s="62"/>
      <c r="E210" s="62"/>
      <c r="F210" s="62"/>
      <c r="G210" s="62"/>
      <c r="H210" s="62"/>
      <c r="J210" s="62"/>
      <c r="N210" s="62"/>
      <c r="O210" s="62"/>
    </row>
    <row r="211" spans="2:15">
      <c r="B211" s="270"/>
      <c r="C211" s="62"/>
      <c r="D211" s="62"/>
      <c r="E211" s="62"/>
      <c r="F211" s="62"/>
      <c r="G211" s="62"/>
      <c r="H211" s="62"/>
      <c r="J211" s="62"/>
      <c r="N211" s="62"/>
      <c r="O211" s="62"/>
    </row>
    <row r="212" spans="2:15">
      <c r="B212" s="270"/>
      <c r="C212" s="62"/>
      <c r="D212" s="62"/>
      <c r="E212" s="62"/>
      <c r="F212" s="62"/>
      <c r="G212" s="62"/>
      <c r="H212" s="62"/>
      <c r="J212" s="62"/>
      <c r="N212" s="62"/>
      <c r="O212" s="62"/>
    </row>
    <row r="213" spans="2:15">
      <c r="B213" s="270"/>
      <c r="C213" s="62"/>
      <c r="D213" s="62"/>
      <c r="E213" s="62"/>
      <c r="F213" s="62"/>
      <c r="G213" s="62"/>
      <c r="H213" s="62"/>
      <c r="J213" s="62"/>
      <c r="N213" s="62"/>
      <c r="O213" s="62"/>
    </row>
    <row r="214" spans="2:15">
      <c r="B214" s="270"/>
      <c r="C214" s="62"/>
      <c r="D214" s="62"/>
      <c r="E214" s="62"/>
      <c r="F214" s="62"/>
      <c r="G214" s="62"/>
      <c r="H214" s="62"/>
      <c r="J214" s="62"/>
      <c r="N214" s="62"/>
      <c r="O214" s="62"/>
    </row>
    <row r="215" spans="2:15">
      <c r="B215" s="270"/>
      <c r="C215" s="62"/>
      <c r="D215" s="62"/>
      <c r="E215" s="62"/>
      <c r="F215" s="62"/>
      <c r="G215" s="62"/>
      <c r="H215" s="62"/>
      <c r="J215" s="62"/>
      <c r="N215" s="62"/>
      <c r="O215" s="62"/>
    </row>
    <row r="216" spans="2:15">
      <c r="B216" s="270"/>
      <c r="C216" s="62"/>
      <c r="D216" s="62"/>
      <c r="E216" s="62"/>
      <c r="F216" s="62"/>
      <c r="G216" s="62"/>
      <c r="H216" s="62"/>
      <c r="J216" s="62"/>
      <c r="N216" s="62"/>
      <c r="O216" s="62"/>
    </row>
    <row r="217" spans="2:15">
      <c r="B217" s="270"/>
      <c r="C217" s="62"/>
      <c r="D217" s="62"/>
      <c r="E217" s="62"/>
      <c r="F217" s="62"/>
      <c r="G217" s="62"/>
      <c r="H217" s="62"/>
      <c r="J217" s="62"/>
      <c r="N217" s="62"/>
      <c r="O217" s="62"/>
    </row>
    <row r="218" spans="2:15">
      <c r="B218" s="270"/>
      <c r="C218" s="62"/>
      <c r="D218" s="62"/>
      <c r="E218" s="62"/>
      <c r="F218" s="62"/>
      <c r="G218" s="62"/>
      <c r="H218" s="62"/>
      <c r="J218" s="62"/>
      <c r="N218" s="62"/>
      <c r="O218" s="62"/>
    </row>
    <row r="219" spans="2:15">
      <c r="B219" s="270"/>
      <c r="C219" s="62"/>
      <c r="D219" s="62"/>
      <c r="E219" s="62"/>
      <c r="F219" s="62"/>
      <c r="G219" s="62"/>
      <c r="H219" s="62"/>
      <c r="J219" s="62"/>
      <c r="N219" s="62"/>
      <c r="O219" s="62"/>
    </row>
    <row r="220" spans="2:15">
      <c r="B220" s="270"/>
      <c r="C220" s="62"/>
      <c r="D220" s="62"/>
      <c r="E220" s="62"/>
      <c r="F220" s="62"/>
      <c r="G220" s="62"/>
      <c r="H220" s="62"/>
      <c r="J220" s="62"/>
      <c r="N220" s="62"/>
      <c r="O220" s="62"/>
    </row>
    <row r="221" spans="2:15">
      <c r="B221" s="270"/>
      <c r="C221" s="62"/>
      <c r="D221" s="62"/>
      <c r="E221" s="62"/>
      <c r="F221" s="62"/>
      <c r="G221" s="62"/>
      <c r="H221" s="62"/>
      <c r="J221" s="62"/>
      <c r="N221" s="62"/>
      <c r="O221" s="62"/>
    </row>
    <row r="222" spans="2:15">
      <c r="B222" s="270"/>
      <c r="C222" s="62"/>
      <c r="D222" s="62"/>
      <c r="E222" s="62"/>
      <c r="F222" s="62"/>
      <c r="G222" s="62"/>
      <c r="H222" s="62"/>
      <c r="J222" s="62"/>
      <c r="N222" s="62"/>
      <c r="O222" s="62"/>
    </row>
    <row r="223" spans="2:15">
      <c r="B223" s="270"/>
      <c r="C223" s="62"/>
      <c r="D223" s="62"/>
      <c r="E223" s="62"/>
      <c r="F223" s="62"/>
      <c r="G223" s="62"/>
      <c r="H223" s="62"/>
      <c r="J223" s="62"/>
      <c r="N223" s="62"/>
      <c r="O223" s="62"/>
    </row>
    <row r="224" spans="2:15">
      <c r="B224" s="270"/>
      <c r="C224" s="62"/>
      <c r="D224" s="62"/>
      <c r="E224" s="62"/>
      <c r="F224" s="62"/>
      <c r="G224" s="62"/>
      <c r="H224" s="62"/>
      <c r="J224" s="62"/>
      <c r="N224" s="62"/>
      <c r="O224" s="62"/>
    </row>
    <row r="225" spans="2:15">
      <c r="B225" s="270"/>
      <c r="C225" s="62"/>
      <c r="D225" s="62"/>
      <c r="E225" s="62"/>
      <c r="F225" s="62"/>
      <c r="G225" s="62"/>
      <c r="H225" s="62"/>
      <c r="J225" s="62"/>
      <c r="N225" s="62"/>
      <c r="O225" s="62"/>
    </row>
    <row r="226" spans="2:15">
      <c r="B226" s="270"/>
      <c r="C226" s="62"/>
      <c r="D226" s="62"/>
      <c r="E226" s="62"/>
      <c r="F226" s="62"/>
      <c r="G226" s="62"/>
      <c r="H226" s="62"/>
      <c r="J226" s="62"/>
      <c r="N226" s="62"/>
      <c r="O226" s="62"/>
    </row>
    <row r="227" spans="2:15">
      <c r="B227" s="270"/>
      <c r="C227" s="62"/>
      <c r="D227" s="62"/>
      <c r="E227" s="62"/>
      <c r="F227" s="62"/>
      <c r="G227" s="62"/>
      <c r="H227" s="62"/>
      <c r="J227" s="62"/>
      <c r="N227" s="62"/>
      <c r="O227" s="62"/>
    </row>
    <row r="228" spans="2:15">
      <c r="B228" s="270"/>
      <c r="C228" s="62"/>
      <c r="D228" s="62"/>
      <c r="E228" s="62"/>
      <c r="F228" s="62"/>
      <c r="G228" s="62"/>
      <c r="H228" s="62"/>
      <c r="J228" s="62"/>
      <c r="N228" s="62"/>
      <c r="O228" s="62"/>
    </row>
    <row r="229" spans="2:15">
      <c r="B229" s="270"/>
      <c r="C229" s="62"/>
      <c r="D229" s="62"/>
      <c r="E229" s="62"/>
      <c r="F229" s="62"/>
      <c r="G229" s="62"/>
      <c r="H229" s="62"/>
      <c r="J229" s="62"/>
      <c r="N229" s="62"/>
      <c r="O229" s="62"/>
    </row>
    <row r="230" spans="2:15">
      <c r="B230" s="270"/>
      <c r="C230" s="62"/>
      <c r="D230" s="62"/>
      <c r="E230" s="62"/>
      <c r="F230" s="62"/>
      <c r="G230" s="62"/>
      <c r="H230" s="62"/>
      <c r="J230" s="62"/>
      <c r="N230" s="62"/>
      <c r="O230" s="62"/>
    </row>
    <row r="231" spans="2:15">
      <c r="B231" s="270"/>
      <c r="C231" s="62"/>
      <c r="D231" s="62"/>
      <c r="E231" s="62"/>
      <c r="F231" s="62"/>
      <c r="G231" s="62"/>
      <c r="H231" s="62"/>
      <c r="J231" s="62"/>
      <c r="N231" s="62"/>
      <c r="O231" s="62"/>
    </row>
    <row r="232" spans="2:15">
      <c r="B232" s="270"/>
      <c r="C232" s="62"/>
      <c r="D232" s="62"/>
      <c r="E232" s="62"/>
      <c r="F232" s="62"/>
      <c r="G232" s="62"/>
      <c r="H232" s="62"/>
      <c r="J232" s="62"/>
      <c r="N232" s="62"/>
      <c r="O232" s="62"/>
    </row>
    <row r="233" spans="2:15">
      <c r="B233" s="270"/>
      <c r="C233" s="62"/>
      <c r="D233" s="62"/>
      <c r="E233" s="62"/>
      <c r="F233" s="62"/>
      <c r="G233" s="62"/>
      <c r="H233" s="62"/>
      <c r="J233" s="62"/>
      <c r="N233" s="62"/>
      <c r="O233" s="62"/>
    </row>
    <row r="234" spans="2:15">
      <c r="B234" s="270"/>
      <c r="C234" s="62"/>
      <c r="D234" s="62"/>
      <c r="E234" s="62"/>
      <c r="F234" s="62"/>
      <c r="G234" s="62"/>
      <c r="H234" s="62"/>
      <c r="J234" s="62"/>
      <c r="N234" s="62"/>
      <c r="O234" s="62"/>
    </row>
    <row r="235" spans="2:15">
      <c r="B235" s="270"/>
      <c r="C235" s="62"/>
      <c r="D235" s="62"/>
      <c r="E235" s="62"/>
      <c r="F235" s="62"/>
      <c r="G235" s="62"/>
      <c r="H235" s="62"/>
      <c r="J235" s="62"/>
      <c r="N235" s="62"/>
      <c r="O235" s="62"/>
    </row>
    <row r="236" spans="2:15">
      <c r="B236" s="270"/>
      <c r="C236" s="62"/>
      <c r="D236" s="62"/>
      <c r="E236" s="62"/>
      <c r="F236" s="62"/>
      <c r="G236" s="62"/>
      <c r="H236" s="62"/>
      <c r="J236" s="62"/>
      <c r="N236" s="62"/>
      <c r="O236" s="62"/>
    </row>
    <row r="237" spans="2:15">
      <c r="B237" s="270"/>
      <c r="C237" s="62"/>
      <c r="D237" s="62"/>
      <c r="E237" s="62"/>
      <c r="F237" s="62"/>
      <c r="G237" s="62"/>
      <c r="H237" s="62"/>
      <c r="J237" s="62"/>
      <c r="N237" s="62"/>
      <c r="O237" s="62"/>
    </row>
    <row r="238" spans="2:15">
      <c r="B238" s="270"/>
      <c r="C238" s="62"/>
      <c r="D238" s="62"/>
      <c r="E238" s="62"/>
      <c r="F238" s="62"/>
      <c r="G238" s="62"/>
      <c r="H238" s="62"/>
      <c r="J238" s="62"/>
      <c r="N238" s="62"/>
      <c r="O238" s="62"/>
    </row>
    <row r="239" spans="2:15">
      <c r="B239" s="270"/>
      <c r="C239" s="62"/>
      <c r="D239" s="62"/>
      <c r="E239" s="62"/>
      <c r="F239" s="62"/>
      <c r="G239" s="62"/>
      <c r="H239" s="62"/>
      <c r="J239" s="62"/>
      <c r="N239" s="62"/>
      <c r="O239" s="62"/>
    </row>
    <row r="240" spans="2:15">
      <c r="B240" s="270"/>
      <c r="C240" s="62"/>
      <c r="D240" s="62"/>
      <c r="E240" s="62"/>
      <c r="F240" s="62"/>
      <c r="G240" s="62"/>
      <c r="H240" s="62"/>
      <c r="J240" s="62"/>
      <c r="N240" s="62"/>
      <c r="O240" s="62"/>
    </row>
    <row r="241" spans="2:15">
      <c r="B241" s="270"/>
      <c r="C241" s="62"/>
      <c r="D241" s="62"/>
      <c r="E241" s="62"/>
      <c r="F241" s="62"/>
      <c r="G241" s="62"/>
      <c r="H241" s="62"/>
      <c r="J241" s="62"/>
      <c r="N241" s="62"/>
      <c r="O241" s="62"/>
    </row>
    <row r="242" spans="2:15">
      <c r="B242" s="270"/>
      <c r="C242" s="62"/>
      <c r="D242" s="62"/>
      <c r="E242" s="62"/>
      <c r="F242" s="62"/>
      <c r="G242" s="62"/>
      <c r="H242" s="62"/>
      <c r="J242" s="62"/>
      <c r="N242" s="62"/>
      <c r="O242" s="62"/>
    </row>
    <row r="243" spans="2:15">
      <c r="B243" s="270"/>
      <c r="C243" s="62"/>
      <c r="D243" s="62"/>
      <c r="E243" s="62"/>
      <c r="F243" s="62"/>
      <c r="G243" s="62"/>
      <c r="H243" s="62"/>
      <c r="J243" s="62"/>
      <c r="N243" s="62"/>
      <c r="O243" s="62"/>
    </row>
    <row r="244" spans="2:15">
      <c r="B244" s="270"/>
      <c r="C244" s="62"/>
      <c r="D244" s="62"/>
      <c r="E244" s="62"/>
      <c r="F244" s="62"/>
      <c r="G244" s="62"/>
      <c r="H244" s="62"/>
      <c r="J244" s="62"/>
      <c r="N244" s="62"/>
      <c r="O244" s="62"/>
    </row>
    <row r="245" spans="2:15">
      <c r="B245" s="270"/>
      <c r="C245" s="62"/>
      <c r="D245" s="62"/>
      <c r="E245" s="62"/>
      <c r="F245" s="62"/>
      <c r="G245" s="62"/>
      <c r="H245" s="62"/>
      <c r="J245" s="62"/>
      <c r="N245" s="62"/>
      <c r="O245" s="62"/>
    </row>
    <row r="246" spans="2:15">
      <c r="B246" s="270"/>
      <c r="C246" s="62"/>
      <c r="D246" s="62"/>
      <c r="E246" s="62"/>
      <c r="F246" s="62"/>
      <c r="G246" s="62"/>
      <c r="H246" s="62"/>
      <c r="J246" s="62"/>
      <c r="N246" s="62"/>
      <c r="O246" s="62"/>
    </row>
    <row r="247" spans="2:15">
      <c r="B247" s="270"/>
      <c r="C247" s="62"/>
      <c r="D247" s="62"/>
      <c r="E247" s="62"/>
      <c r="F247" s="62"/>
      <c r="G247" s="62"/>
      <c r="H247" s="62"/>
      <c r="J247" s="62"/>
      <c r="N247" s="62"/>
      <c r="O247" s="62"/>
    </row>
    <row r="248" spans="2:15">
      <c r="B248" s="270"/>
      <c r="C248" s="62"/>
      <c r="D248" s="62"/>
      <c r="E248" s="62"/>
      <c r="F248" s="62"/>
      <c r="G248" s="62"/>
      <c r="H248" s="62"/>
      <c r="J248" s="62"/>
      <c r="N248" s="62"/>
      <c r="O248" s="62"/>
    </row>
    <row r="249" spans="2:15">
      <c r="B249" s="270"/>
      <c r="C249" s="62"/>
      <c r="D249" s="62"/>
      <c r="E249" s="62"/>
      <c r="F249" s="62"/>
      <c r="G249" s="62"/>
      <c r="H249" s="62"/>
      <c r="J249" s="62"/>
      <c r="N249" s="62"/>
      <c r="O249" s="62"/>
    </row>
    <row r="250" spans="2:15">
      <c r="B250" s="270"/>
      <c r="C250" s="62"/>
      <c r="D250" s="62"/>
      <c r="E250" s="62"/>
      <c r="F250" s="62"/>
      <c r="G250" s="62"/>
      <c r="H250" s="62"/>
      <c r="J250" s="62"/>
      <c r="N250" s="62"/>
      <c r="O250" s="62"/>
    </row>
    <row r="251" spans="2:15">
      <c r="B251" s="270"/>
      <c r="C251" s="62"/>
      <c r="D251" s="62"/>
      <c r="E251" s="62"/>
      <c r="F251" s="62"/>
      <c r="G251" s="62"/>
      <c r="H251" s="62"/>
      <c r="J251" s="62"/>
      <c r="N251" s="62"/>
      <c r="O251" s="62"/>
    </row>
    <row r="252" spans="2:15">
      <c r="B252" s="270"/>
      <c r="C252" s="62"/>
      <c r="D252" s="62"/>
      <c r="E252" s="62"/>
      <c r="F252" s="62"/>
      <c r="G252" s="62"/>
      <c r="H252" s="62"/>
      <c r="J252" s="62"/>
      <c r="N252" s="62"/>
      <c r="O252" s="62"/>
    </row>
    <row r="253" spans="2:15">
      <c r="B253" s="270"/>
      <c r="C253" s="62"/>
      <c r="D253" s="62"/>
      <c r="E253" s="62"/>
      <c r="F253" s="62"/>
      <c r="G253" s="62"/>
      <c r="H253" s="62"/>
      <c r="J253" s="62"/>
      <c r="N253" s="62"/>
      <c r="O253" s="62"/>
    </row>
    <row r="254" spans="2:15">
      <c r="B254" s="270"/>
      <c r="C254" s="62"/>
      <c r="D254" s="62"/>
      <c r="E254" s="62"/>
      <c r="F254" s="62"/>
      <c r="G254" s="62"/>
      <c r="H254" s="62"/>
      <c r="J254" s="62"/>
      <c r="N254" s="62"/>
      <c r="O254" s="62"/>
    </row>
    <row r="255" spans="2:15">
      <c r="B255" s="270"/>
      <c r="C255" s="62"/>
      <c r="D255" s="62"/>
      <c r="E255" s="62"/>
      <c r="F255" s="62"/>
      <c r="G255" s="62"/>
      <c r="H255" s="62"/>
      <c r="J255" s="62"/>
      <c r="N255" s="62"/>
      <c r="O255" s="62"/>
    </row>
    <row r="256" spans="2:15">
      <c r="B256" s="270"/>
      <c r="C256" s="62"/>
      <c r="D256" s="62"/>
      <c r="E256" s="62"/>
      <c r="F256" s="62"/>
      <c r="G256" s="62"/>
      <c r="H256" s="62"/>
      <c r="J256" s="62"/>
      <c r="N256" s="62"/>
      <c r="O256" s="62"/>
    </row>
    <row r="257" spans="2:15">
      <c r="B257" s="270"/>
      <c r="C257" s="62"/>
      <c r="D257" s="62"/>
      <c r="E257" s="62"/>
      <c r="F257" s="62"/>
      <c r="G257" s="62"/>
      <c r="H257" s="62"/>
      <c r="J257" s="62"/>
      <c r="N257" s="62"/>
      <c r="O257" s="62"/>
    </row>
    <row r="258" spans="2:15">
      <c r="B258" s="270"/>
      <c r="C258" s="62"/>
      <c r="D258" s="62"/>
      <c r="E258" s="62"/>
      <c r="F258" s="62"/>
      <c r="G258" s="62"/>
      <c r="H258" s="62"/>
      <c r="J258" s="62"/>
      <c r="N258" s="62"/>
      <c r="O258" s="62"/>
    </row>
    <row r="259" spans="2:15">
      <c r="B259" s="270"/>
      <c r="C259" s="62"/>
      <c r="D259" s="62"/>
      <c r="E259" s="62"/>
      <c r="F259" s="62"/>
      <c r="G259" s="62"/>
      <c r="H259" s="62"/>
      <c r="J259" s="62"/>
      <c r="N259" s="62"/>
      <c r="O259" s="62"/>
    </row>
    <row r="260" spans="2:15">
      <c r="B260" s="270"/>
      <c r="C260" s="62"/>
      <c r="D260" s="62"/>
      <c r="E260" s="62"/>
      <c r="F260" s="62"/>
      <c r="G260" s="62"/>
      <c r="H260" s="62"/>
      <c r="J260" s="62"/>
      <c r="N260" s="62"/>
      <c r="O260" s="62"/>
    </row>
    <row r="261" spans="2:15">
      <c r="B261" s="270"/>
      <c r="C261" s="62"/>
      <c r="D261" s="62"/>
      <c r="E261" s="62"/>
      <c r="F261" s="62"/>
      <c r="G261" s="62"/>
      <c r="H261" s="62"/>
      <c r="J261" s="62"/>
      <c r="N261" s="62"/>
      <c r="O261" s="62"/>
    </row>
    <row r="262" spans="2:15">
      <c r="B262" s="270"/>
      <c r="C262" s="62"/>
      <c r="D262" s="62"/>
      <c r="E262" s="62"/>
      <c r="F262" s="62"/>
      <c r="G262" s="62"/>
      <c r="H262" s="62"/>
      <c r="J262" s="62"/>
      <c r="N262" s="62"/>
      <c r="O262" s="62"/>
    </row>
    <row r="263" spans="2:15">
      <c r="B263" s="270"/>
      <c r="C263" s="62"/>
      <c r="D263" s="62"/>
      <c r="E263" s="62"/>
      <c r="F263" s="62"/>
      <c r="G263" s="62"/>
      <c r="H263" s="62"/>
      <c r="J263" s="62"/>
      <c r="N263" s="62"/>
      <c r="O263" s="62"/>
    </row>
    <row r="264" spans="2:15">
      <c r="B264" s="270"/>
      <c r="C264" s="62"/>
      <c r="D264" s="62"/>
      <c r="E264" s="62"/>
      <c r="F264" s="62"/>
      <c r="G264" s="62"/>
      <c r="H264" s="62"/>
      <c r="J264" s="62"/>
      <c r="N264" s="62"/>
      <c r="O264" s="62"/>
    </row>
    <row r="265" spans="2:15">
      <c r="B265" s="270"/>
      <c r="C265" s="62"/>
      <c r="D265" s="62"/>
      <c r="E265" s="62"/>
      <c r="F265" s="62"/>
      <c r="G265" s="62"/>
      <c r="H265" s="62"/>
      <c r="J265" s="62"/>
      <c r="N265" s="62"/>
      <c r="O265" s="62"/>
    </row>
    <row r="266" spans="2:15">
      <c r="B266" s="270"/>
      <c r="C266" s="62"/>
      <c r="D266" s="62"/>
      <c r="E266" s="62"/>
      <c r="F266" s="62"/>
      <c r="G266" s="62"/>
      <c r="H266" s="62"/>
      <c r="J266" s="62"/>
      <c r="N266" s="62"/>
      <c r="O266" s="62"/>
    </row>
    <row r="267" spans="2:15">
      <c r="B267" s="270"/>
      <c r="C267" s="62"/>
      <c r="D267" s="62"/>
      <c r="E267" s="62"/>
      <c r="F267" s="62"/>
      <c r="G267" s="62"/>
      <c r="H267" s="62"/>
      <c r="J267" s="62"/>
      <c r="N267" s="62"/>
      <c r="O267" s="62"/>
    </row>
    <row r="268" spans="2:15">
      <c r="B268" s="270"/>
      <c r="C268" s="62"/>
      <c r="D268" s="62"/>
      <c r="E268" s="62"/>
      <c r="F268" s="62"/>
      <c r="G268" s="62"/>
      <c r="H268" s="62"/>
      <c r="J268" s="62"/>
      <c r="N268" s="62"/>
      <c r="O268" s="62"/>
    </row>
    <row r="269" spans="2:15">
      <c r="B269" s="270"/>
      <c r="C269" s="62"/>
      <c r="D269" s="62"/>
      <c r="E269" s="62"/>
      <c r="F269" s="62"/>
      <c r="G269" s="62"/>
      <c r="H269" s="62"/>
      <c r="J269" s="62"/>
      <c r="N269" s="62"/>
      <c r="O269" s="62"/>
    </row>
    <row r="270" spans="2:15">
      <c r="B270" s="270"/>
      <c r="C270" s="62"/>
      <c r="D270" s="62"/>
      <c r="E270" s="62"/>
      <c r="F270" s="62"/>
      <c r="G270" s="62"/>
      <c r="H270" s="62"/>
      <c r="J270" s="62"/>
      <c r="N270" s="62"/>
      <c r="O270" s="62"/>
    </row>
    <row r="271" spans="2:15">
      <c r="B271" s="270"/>
      <c r="C271" s="62"/>
      <c r="D271" s="62"/>
      <c r="E271" s="62"/>
      <c r="F271" s="62"/>
      <c r="G271" s="62"/>
      <c r="H271" s="62"/>
      <c r="J271" s="62"/>
      <c r="N271" s="62"/>
      <c r="O271" s="62"/>
    </row>
    <row r="272" spans="2:15">
      <c r="B272" s="270"/>
      <c r="C272" s="62"/>
      <c r="D272" s="62"/>
      <c r="E272" s="62"/>
      <c r="F272" s="62"/>
      <c r="G272" s="62"/>
      <c r="H272" s="62"/>
      <c r="J272" s="62"/>
      <c r="N272" s="62"/>
      <c r="O272" s="62"/>
    </row>
    <row r="273" spans="2:15">
      <c r="B273" s="270"/>
      <c r="C273" s="62"/>
      <c r="D273" s="62"/>
      <c r="E273" s="62"/>
      <c r="F273" s="62"/>
      <c r="G273" s="62"/>
      <c r="H273" s="62"/>
      <c r="J273" s="62"/>
      <c r="N273" s="62"/>
      <c r="O273" s="62"/>
    </row>
    <row r="274" spans="2:15">
      <c r="B274" s="270"/>
      <c r="C274" s="62"/>
      <c r="D274" s="62"/>
      <c r="E274" s="62"/>
      <c r="F274" s="62"/>
      <c r="G274" s="62"/>
      <c r="H274" s="62"/>
      <c r="J274" s="62"/>
      <c r="N274" s="62"/>
      <c r="O274" s="62"/>
    </row>
    <row r="275" spans="2:15">
      <c r="B275" s="270"/>
      <c r="C275" s="62"/>
      <c r="D275" s="62"/>
      <c r="E275" s="62"/>
      <c r="F275" s="62"/>
      <c r="G275" s="62"/>
      <c r="H275" s="62"/>
      <c r="J275" s="62"/>
      <c r="N275" s="62"/>
      <c r="O275" s="62"/>
    </row>
    <row r="276" spans="2:15">
      <c r="B276" s="270"/>
      <c r="C276" s="62"/>
      <c r="D276" s="62"/>
      <c r="E276" s="62"/>
      <c r="F276" s="62"/>
      <c r="G276" s="62"/>
      <c r="H276" s="62"/>
      <c r="J276" s="62"/>
      <c r="N276" s="62"/>
      <c r="O276" s="62"/>
    </row>
    <row r="277" spans="2:15">
      <c r="B277" s="270"/>
      <c r="C277" s="62"/>
      <c r="D277" s="62"/>
      <c r="E277" s="62"/>
      <c r="F277" s="62"/>
      <c r="G277" s="62"/>
      <c r="H277" s="62"/>
      <c r="J277" s="62"/>
      <c r="N277" s="62"/>
      <c r="O277" s="62"/>
    </row>
    <row r="278" spans="2:15">
      <c r="B278" s="270"/>
      <c r="C278" s="62"/>
      <c r="D278" s="62"/>
      <c r="E278" s="62"/>
      <c r="F278" s="62"/>
      <c r="G278" s="62"/>
      <c r="H278" s="62"/>
      <c r="J278" s="62"/>
      <c r="N278" s="62"/>
      <c r="O278" s="62"/>
    </row>
    <row r="279" spans="2:15">
      <c r="B279" s="270"/>
      <c r="C279" s="62"/>
      <c r="D279" s="62"/>
      <c r="E279" s="62"/>
      <c r="F279" s="62"/>
      <c r="G279" s="62"/>
      <c r="H279" s="62"/>
      <c r="J279" s="62"/>
      <c r="N279" s="62"/>
      <c r="O279" s="62"/>
    </row>
    <row r="280" spans="2:15">
      <c r="B280" s="270"/>
      <c r="C280" s="62"/>
      <c r="D280" s="62"/>
      <c r="E280" s="62"/>
      <c r="F280" s="62"/>
      <c r="G280" s="62"/>
      <c r="H280" s="62"/>
      <c r="J280" s="62"/>
      <c r="N280" s="62"/>
      <c r="O280" s="62"/>
    </row>
    <row r="281" spans="2:15">
      <c r="B281" s="270"/>
      <c r="C281" s="62"/>
      <c r="D281" s="62"/>
      <c r="E281" s="62"/>
      <c r="F281" s="62"/>
      <c r="G281" s="62"/>
      <c r="H281" s="62"/>
      <c r="J281" s="62"/>
      <c r="N281" s="62"/>
      <c r="O281" s="62"/>
    </row>
    <row r="282" spans="2:15">
      <c r="B282" s="270"/>
      <c r="C282" s="62"/>
      <c r="D282" s="62"/>
      <c r="E282" s="62"/>
      <c r="F282" s="62"/>
      <c r="G282" s="62"/>
      <c r="H282" s="62"/>
      <c r="J282" s="62"/>
      <c r="N282" s="62"/>
      <c r="O282" s="62"/>
    </row>
    <row r="283" spans="2:15">
      <c r="B283" s="270"/>
      <c r="C283" s="62"/>
      <c r="D283" s="62"/>
      <c r="E283" s="62"/>
      <c r="F283" s="62"/>
      <c r="G283" s="62"/>
      <c r="H283" s="62"/>
      <c r="J283" s="62"/>
      <c r="N283" s="62"/>
      <c r="O283" s="62"/>
    </row>
    <row r="284" spans="2:15">
      <c r="B284" s="270"/>
      <c r="C284" s="62"/>
      <c r="D284" s="62"/>
      <c r="E284" s="62"/>
      <c r="F284" s="62"/>
      <c r="G284" s="62"/>
      <c r="H284" s="62"/>
      <c r="J284" s="62"/>
      <c r="N284" s="62"/>
      <c r="O284" s="62"/>
    </row>
    <row r="285" spans="2:15">
      <c r="B285" s="270"/>
      <c r="C285" s="62"/>
      <c r="D285" s="62"/>
      <c r="E285" s="62"/>
      <c r="F285" s="62"/>
      <c r="G285" s="62"/>
      <c r="H285" s="62"/>
      <c r="J285" s="62"/>
      <c r="N285" s="62"/>
      <c r="O285" s="62"/>
    </row>
    <row r="286" spans="2:15">
      <c r="B286" s="270"/>
      <c r="C286" s="62"/>
      <c r="D286" s="62"/>
      <c r="E286" s="62"/>
      <c r="F286" s="62"/>
      <c r="G286" s="62"/>
      <c r="H286" s="62"/>
      <c r="J286" s="62"/>
      <c r="N286" s="62"/>
      <c r="O286" s="62"/>
    </row>
    <row r="287" spans="2:15">
      <c r="B287" s="270"/>
      <c r="C287" s="62"/>
      <c r="D287" s="62"/>
      <c r="E287" s="62"/>
      <c r="F287" s="62"/>
      <c r="G287" s="62"/>
      <c r="H287" s="62"/>
      <c r="J287" s="62"/>
      <c r="N287" s="62"/>
      <c r="O287" s="62"/>
    </row>
    <row r="288" spans="2:15">
      <c r="B288" s="270"/>
      <c r="C288" s="62"/>
      <c r="D288" s="62"/>
      <c r="E288" s="62"/>
      <c r="F288" s="62"/>
      <c r="G288" s="62"/>
      <c r="H288" s="62"/>
      <c r="J288" s="62"/>
      <c r="N288" s="62"/>
      <c r="O288" s="62"/>
    </row>
    <row r="289" spans="2:15">
      <c r="B289" s="270"/>
      <c r="C289" s="62"/>
      <c r="D289" s="62"/>
      <c r="E289" s="62"/>
      <c r="F289" s="62"/>
      <c r="G289" s="62"/>
      <c r="H289" s="62"/>
      <c r="J289" s="62"/>
      <c r="N289" s="62"/>
      <c r="O289" s="62"/>
    </row>
    <row r="290" spans="2:15">
      <c r="B290" s="270"/>
      <c r="C290" s="62"/>
      <c r="D290" s="62"/>
      <c r="E290" s="62"/>
      <c r="F290" s="62"/>
      <c r="G290" s="62"/>
      <c r="H290" s="62"/>
      <c r="J290" s="62"/>
      <c r="N290" s="62"/>
      <c r="O290" s="62"/>
    </row>
    <row r="291" spans="2:15">
      <c r="B291" s="270"/>
      <c r="C291" s="62"/>
      <c r="D291" s="62"/>
      <c r="E291" s="62"/>
      <c r="F291" s="62"/>
      <c r="G291" s="62"/>
      <c r="H291" s="62"/>
      <c r="J291" s="62"/>
      <c r="N291" s="62"/>
      <c r="O291" s="62"/>
    </row>
    <row r="292" spans="2:15">
      <c r="B292" s="270"/>
      <c r="C292" s="62"/>
      <c r="D292" s="62"/>
      <c r="E292" s="62"/>
      <c r="F292" s="62"/>
      <c r="G292" s="62"/>
      <c r="H292" s="62"/>
      <c r="J292" s="62"/>
      <c r="N292" s="62"/>
      <c r="O292" s="62"/>
    </row>
    <row r="293" spans="2:15">
      <c r="B293" s="270"/>
      <c r="C293" s="62"/>
      <c r="D293" s="62"/>
      <c r="E293" s="62"/>
      <c r="F293" s="62"/>
      <c r="G293" s="62"/>
      <c r="H293" s="62"/>
      <c r="J293" s="62"/>
      <c r="N293" s="62"/>
      <c r="O293" s="62"/>
    </row>
    <row r="294" spans="2:15">
      <c r="B294" s="270"/>
      <c r="C294" s="62"/>
      <c r="D294" s="62"/>
      <c r="E294" s="62"/>
      <c r="F294" s="62"/>
      <c r="G294" s="62"/>
      <c r="H294" s="62"/>
      <c r="J294" s="62"/>
      <c r="N294" s="62"/>
      <c r="O294" s="62"/>
    </row>
    <row r="295" spans="2:15">
      <c r="B295" s="270"/>
      <c r="C295" s="62"/>
      <c r="D295" s="62"/>
      <c r="E295" s="62"/>
      <c r="F295" s="62"/>
      <c r="G295" s="62"/>
      <c r="H295" s="62"/>
      <c r="J295" s="62"/>
      <c r="N295" s="62"/>
      <c r="O295" s="62"/>
    </row>
    <row r="296" spans="2:15">
      <c r="B296" s="270"/>
      <c r="C296" s="62"/>
      <c r="D296" s="62"/>
      <c r="E296" s="62"/>
      <c r="F296" s="62"/>
      <c r="G296" s="62"/>
      <c r="H296" s="62"/>
      <c r="J296" s="62"/>
      <c r="N296" s="62"/>
      <c r="O296" s="62"/>
    </row>
    <row r="297" spans="2:15">
      <c r="B297" s="270"/>
      <c r="C297" s="62"/>
      <c r="D297" s="62"/>
      <c r="E297" s="62"/>
      <c r="F297" s="62"/>
      <c r="G297" s="62"/>
      <c r="H297" s="62"/>
      <c r="J297" s="62"/>
      <c r="N297" s="62"/>
      <c r="O297" s="62"/>
    </row>
    <row r="298" spans="2:15">
      <c r="B298" s="270"/>
      <c r="C298" s="62"/>
      <c r="D298" s="62"/>
      <c r="E298" s="62"/>
      <c r="F298" s="62"/>
      <c r="G298" s="62"/>
      <c r="H298" s="62"/>
      <c r="J298" s="62"/>
      <c r="N298" s="62"/>
      <c r="O298" s="62"/>
    </row>
    <row r="299" spans="2:15">
      <c r="B299" s="270"/>
      <c r="C299" s="62"/>
      <c r="D299" s="62"/>
      <c r="E299" s="62"/>
      <c r="F299" s="62"/>
      <c r="G299" s="62"/>
      <c r="H299" s="62"/>
      <c r="J299" s="62"/>
      <c r="N299" s="62"/>
      <c r="O299" s="62"/>
    </row>
    <row r="300" spans="2:15">
      <c r="B300" s="270"/>
      <c r="C300" s="62"/>
      <c r="D300" s="62"/>
      <c r="E300" s="62"/>
      <c r="F300" s="62"/>
      <c r="G300" s="62"/>
      <c r="H300" s="62"/>
      <c r="J300" s="62"/>
      <c r="N300" s="62"/>
      <c r="O300" s="62"/>
    </row>
    <row r="301" spans="2:15">
      <c r="B301" s="270"/>
      <c r="C301" s="62"/>
      <c r="D301" s="62"/>
      <c r="E301" s="62"/>
      <c r="F301" s="62"/>
      <c r="G301" s="62"/>
      <c r="H301" s="62"/>
      <c r="J301" s="62"/>
      <c r="N301" s="62"/>
      <c r="O301" s="62"/>
    </row>
    <row r="302" spans="2:15">
      <c r="B302" s="270"/>
      <c r="C302" s="62"/>
      <c r="D302" s="62"/>
      <c r="E302" s="62"/>
      <c r="F302" s="62"/>
      <c r="G302" s="62"/>
      <c r="H302" s="62"/>
      <c r="J302" s="62"/>
      <c r="N302" s="62"/>
      <c r="O302" s="62"/>
    </row>
    <row r="303" spans="2:15">
      <c r="B303" s="270"/>
      <c r="C303" s="62"/>
      <c r="D303" s="62"/>
      <c r="E303" s="62"/>
      <c r="F303" s="62"/>
      <c r="G303" s="62"/>
      <c r="H303" s="62"/>
      <c r="J303" s="62"/>
      <c r="N303" s="62"/>
      <c r="O303" s="62"/>
    </row>
    <row r="304" spans="2:15">
      <c r="B304" s="270"/>
      <c r="C304" s="62"/>
      <c r="D304" s="62"/>
      <c r="E304" s="62"/>
      <c r="F304" s="62"/>
      <c r="G304" s="62"/>
      <c r="H304" s="62"/>
      <c r="J304" s="62"/>
      <c r="N304" s="62"/>
      <c r="O304" s="62"/>
    </row>
    <row r="305" spans="2:15">
      <c r="B305" s="270"/>
      <c r="C305" s="62"/>
      <c r="D305" s="62"/>
      <c r="E305" s="62"/>
      <c r="F305" s="62"/>
      <c r="G305" s="62"/>
      <c r="H305" s="62"/>
      <c r="J305" s="62"/>
      <c r="N305" s="62"/>
      <c r="O305" s="62"/>
    </row>
    <row r="306" spans="2:15">
      <c r="B306" s="270"/>
      <c r="C306" s="62"/>
      <c r="D306" s="62"/>
      <c r="E306" s="62"/>
      <c r="F306" s="62"/>
      <c r="G306" s="62"/>
      <c r="H306" s="62"/>
      <c r="J306" s="62"/>
      <c r="N306" s="62"/>
      <c r="O306" s="62"/>
    </row>
    <row r="307" spans="2:15">
      <c r="B307" s="270"/>
      <c r="C307" s="62"/>
      <c r="D307" s="62"/>
      <c r="E307" s="62"/>
      <c r="F307" s="62"/>
      <c r="G307" s="62"/>
      <c r="H307" s="62"/>
      <c r="J307" s="62"/>
      <c r="N307" s="62"/>
      <c r="O307" s="62"/>
    </row>
    <row r="308" spans="2:15">
      <c r="B308" s="270"/>
      <c r="C308" s="62"/>
      <c r="D308" s="62"/>
      <c r="E308" s="62"/>
      <c r="F308" s="62"/>
      <c r="G308" s="62"/>
      <c r="H308" s="62"/>
      <c r="J308" s="62"/>
      <c r="N308" s="62"/>
      <c r="O308" s="62"/>
    </row>
    <row r="309" spans="2:15">
      <c r="B309" s="270"/>
      <c r="C309" s="62"/>
      <c r="D309" s="62"/>
      <c r="E309" s="62"/>
      <c r="F309" s="62"/>
      <c r="G309" s="62"/>
      <c r="H309" s="62"/>
      <c r="J309" s="62"/>
      <c r="N309" s="62"/>
      <c r="O309" s="62"/>
    </row>
    <row r="310" spans="2:15">
      <c r="B310" s="270"/>
      <c r="C310" s="62"/>
      <c r="D310" s="62"/>
      <c r="E310" s="62"/>
      <c r="F310" s="62"/>
      <c r="G310" s="62"/>
      <c r="H310" s="62"/>
      <c r="J310" s="62"/>
      <c r="N310" s="62"/>
      <c r="O310" s="62"/>
    </row>
    <row r="311" spans="2:15">
      <c r="B311" s="270"/>
      <c r="C311" s="62"/>
      <c r="D311" s="62"/>
      <c r="E311" s="62"/>
      <c r="F311" s="62"/>
      <c r="G311" s="62"/>
      <c r="H311" s="62"/>
      <c r="J311" s="62"/>
      <c r="N311" s="62"/>
      <c r="O311" s="62"/>
    </row>
    <row r="312" spans="2:15">
      <c r="B312" s="270"/>
      <c r="C312" s="62"/>
      <c r="D312" s="62"/>
      <c r="E312" s="62"/>
      <c r="F312" s="62"/>
      <c r="G312" s="62"/>
      <c r="H312" s="62"/>
      <c r="J312" s="62"/>
      <c r="N312" s="62"/>
      <c r="O312" s="62"/>
    </row>
    <row r="313" spans="2:15">
      <c r="B313" s="270"/>
      <c r="C313" s="62"/>
      <c r="D313" s="62"/>
      <c r="E313" s="62"/>
      <c r="F313" s="62"/>
      <c r="G313" s="62"/>
      <c r="H313" s="62"/>
      <c r="J313" s="62"/>
      <c r="N313" s="62"/>
      <c r="O313" s="62"/>
    </row>
    <row r="314" spans="2:15">
      <c r="B314" s="270"/>
      <c r="C314" s="62"/>
      <c r="D314" s="62"/>
      <c r="E314" s="62"/>
      <c r="F314" s="62"/>
      <c r="G314" s="62"/>
      <c r="H314" s="62"/>
      <c r="J314" s="62"/>
      <c r="N314" s="62"/>
      <c r="O314" s="62"/>
    </row>
    <row r="315" spans="2:15">
      <c r="B315" s="270"/>
      <c r="C315" s="62"/>
      <c r="D315" s="62"/>
      <c r="E315" s="62"/>
      <c r="F315" s="62"/>
      <c r="G315" s="62"/>
      <c r="H315" s="62"/>
      <c r="J315" s="62"/>
      <c r="N315" s="62"/>
      <c r="O315" s="62"/>
    </row>
    <row r="316" spans="2:15">
      <c r="B316" s="270"/>
      <c r="C316" s="62"/>
      <c r="D316" s="62"/>
      <c r="E316" s="62"/>
      <c r="F316" s="62"/>
      <c r="G316" s="62"/>
      <c r="H316" s="62"/>
      <c r="J316" s="62"/>
      <c r="N316" s="62"/>
      <c r="O316" s="62"/>
    </row>
    <row r="317" spans="2:15">
      <c r="B317" s="270"/>
      <c r="C317" s="62"/>
      <c r="D317" s="62"/>
      <c r="E317" s="62"/>
      <c r="F317" s="62"/>
      <c r="G317" s="62"/>
      <c r="H317" s="62"/>
      <c r="J317" s="62"/>
      <c r="N317" s="62"/>
      <c r="O317" s="62"/>
    </row>
    <row r="318" spans="2:15">
      <c r="B318" s="270"/>
      <c r="C318" s="62"/>
      <c r="D318" s="62"/>
      <c r="E318" s="62"/>
      <c r="F318" s="62"/>
      <c r="G318" s="62"/>
      <c r="H318" s="62"/>
      <c r="J318" s="62"/>
      <c r="N318" s="62"/>
      <c r="O318" s="62"/>
    </row>
    <row r="319" spans="2:15">
      <c r="B319" s="270"/>
      <c r="C319" s="62"/>
      <c r="D319" s="62"/>
      <c r="E319" s="62"/>
      <c r="F319" s="62"/>
      <c r="G319" s="62"/>
      <c r="H319" s="62"/>
      <c r="J319" s="62"/>
      <c r="N319" s="62"/>
      <c r="O319" s="62"/>
    </row>
    <row r="320" spans="2:15">
      <c r="B320" s="270"/>
      <c r="C320" s="62"/>
      <c r="D320" s="62"/>
      <c r="E320" s="62"/>
      <c r="F320" s="62"/>
      <c r="G320" s="62"/>
      <c r="H320" s="62"/>
      <c r="J320" s="62"/>
      <c r="N320" s="62"/>
      <c r="O320" s="62"/>
    </row>
    <row r="321" spans="2:15">
      <c r="B321" s="270"/>
      <c r="C321" s="62"/>
      <c r="D321" s="62"/>
      <c r="E321" s="62"/>
      <c r="F321" s="62"/>
      <c r="G321" s="62"/>
      <c r="H321" s="62"/>
      <c r="J321" s="62"/>
      <c r="N321" s="62"/>
      <c r="O321" s="62"/>
    </row>
    <row r="322" spans="2:15">
      <c r="B322" s="270"/>
      <c r="C322" s="62"/>
      <c r="D322" s="62"/>
      <c r="E322" s="62"/>
      <c r="F322" s="62"/>
      <c r="G322" s="62"/>
      <c r="H322" s="62"/>
      <c r="J322" s="62"/>
      <c r="N322" s="62"/>
      <c r="O322" s="62"/>
    </row>
    <row r="323" spans="2:15">
      <c r="B323" s="270"/>
      <c r="C323" s="62"/>
      <c r="D323" s="62"/>
      <c r="E323" s="62"/>
      <c r="F323" s="62"/>
      <c r="G323" s="62"/>
      <c r="H323" s="62"/>
      <c r="J323" s="62"/>
      <c r="N323" s="62"/>
      <c r="O323" s="62"/>
    </row>
    <row r="324" spans="2:15">
      <c r="B324" s="270"/>
      <c r="C324" s="62"/>
      <c r="D324" s="62"/>
      <c r="E324" s="62"/>
      <c r="F324" s="62"/>
      <c r="G324" s="62"/>
      <c r="H324" s="62"/>
      <c r="J324" s="62"/>
      <c r="N324" s="62"/>
      <c r="O324" s="62"/>
    </row>
    <row r="325" spans="2:15">
      <c r="B325" s="270"/>
      <c r="C325" s="62"/>
      <c r="D325" s="62"/>
      <c r="E325" s="62"/>
      <c r="F325" s="62"/>
      <c r="G325" s="62"/>
      <c r="H325" s="62"/>
      <c r="J325" s="62"/>
      <c r="N325" s="62"/>
      <c r="O325" s="62"/>
    </row>
    <row r="326" spans="2:15">
      <c r="B326" s="270"/>
      <c r="C326" s="62"/>
      <c r="D326" s="62"/>
      <c r="E326" s="62"/>
      <c r="F326" s="62"/>
      <c r="G326" s="62"/>
      <c r="H326" s="62"/>
      <c r="J326" s="62"/>
      <c r="N326" s="62"/>
      <c r="O326" s="62"/>
    </row>
    <row r="327" spans="2:15">
      <c r="B327" s="270"/>
      <c r="C327" s="62"/>
      <c r="D327" s="62"/>
      <c r="E327" s="62"/>
      <c r="F327" s="62"/>
      <c r="G327" s="62"/>
      <c r="H327" s="62"/>
      <c r="J327" s="62"/>
      <c r="N327" s="62"/>
      <c r="O327" s="62"/>
    </row>
    <row r="328" spans="2:15">
      <c r="B328" s="270"/>
      <c r="C328" s="62"/>
      <c r="D328" s="62"/>
      <c r="E328" s="62"/>
      <c r="F328" s="62"/>
      <c r="G328" s="62"/>
      <c r="H328" s="62"/>
      <c r="J328" s="62"/>
      <c r="N328" s="62"/>
      <c r="O328" s="62"/>
    </row>
    <row r="329" spans="2:15">
      <c r="B329" s="270"/>
      <c r="C329" s="62"/>
      <c r="D329" s="62"/>
      <c r="E329" s="62"/>
      <c r="F329" s="62"/>
      <c r="G329" s="62"/>
      <c r="H329" s="62"/>
      <c r="J329" s="62"/>
      <c r="N329" s="62"/>
      <c r="O329" s="62"/>
    </row>
    <row r="330" spans="2:15">
      <c r="B330" s="270"/>
      <c r="C330" s="62"/>
      <c r="D330" s="62"/>
      <c r="E330" s="62"/>
      <c r="F330" s="62"/>
      <c r="G330" s="62"/>
      <c r="H330" s="62"/>
      <c r="J330" s="62"/>
      <c r="N330" s="62"/>
      <c r="O330" s="62"/>
    </row>
    <row r="331" spans="2:15">
      <c r="B331" s="270"/>
      <c r="C331" s="62"/>
      <c r="D331" s="62"/>
      <c r="E331" s="62"/>
      <c r="F331" s="62"/>
      <c r="G331" s="62"/>
      <c r="H331" s="62"/>
      <c r="J331" s="62"/>
      <c r="N331" s="62"/>
      <c r="O331" s="62"/>
    </row>
    <row r="332" spans="2:15">
      <c r="B332" s="270"/>
      <c r="C332" s="62"/>
      <c r="D332" s="62"/>
      <c r="E332" s="62"/>
      <c r="F332" s="62"/>
      <c r="G332" s="62"/>
      <c r="H332" s="62"/>
      <c r="J332" s="62"/>
      <c r="N332" s="62"/>
      <c r="O332" s="62"/>
    </row>
    <row r="333" spans="2:15">
      <c r="B333" s="270"/>
      <c r="C333" s="62"/>
      <c r="D333" s="62"/>
      <c r="E333" s="62"/>
      <c r="F333" s="62"/>
      <c r="G333" s="62"/>
      <c r="H333" s="62"/>
      <c r="J333" s="62"/>
      <c r="N333" s="62"/>
      <c r="O333" s="62"/>
    </row>
    <row r="334" spans="2:15">
      <c r="B334" s="270"/>
      <c r="C334" s="62"/>
      <c r="D334" s="62"/>
      <c r="E334" s="62"/>
      <c r="F334" s="62"/>
      <c r="G334" s="62"/>
      <c r="H334" s="62"/>
      <c r="J334" s="62"/>
      <c r="N334" s="62"/>
      <c r="O334" s="62"/>
    </row>
    <row r="335" spans="2:15">
      <c r="B335" s="270"/>
      <c r="C335" s="62"/>
      <c r="D335" s="62"/>
      <c r="E335" s="62"/>
      <c r="F335" s="62"/>
      <c r="G335" s="62"/>
      <c r="H335" s="62"/>
      <c r="J335" s="62"/>
      <c r="N335" s="62"/>
      <c r="O335" s="62"/>
    </row>
    <row r="336" spans="2:15">
      <c r="B336" s="270"/>
      <c r="C336" s="62"/>
      <c r="D336" s="62"/>
      <c r="E336" s="62"/>
      <c r="F336" s="62"/>
      <c r="G336" s="62"/>
      <c r="H336" s="62"/>
      <c r="I336" s="238"/>
      <c r="J336" s="62"/>
      <c r="N336" s="62"/>
      <c r="O336" s="62"/>
    </row>
    <row r="337" spans="2:15">
      <c r="B337" s="270"/>
      <c r="C337" s="62"/>
      <c r="D337" s="62"/>
      <c r="E337" s="62"/>
      <c r="F337" s="62"/>
      <c r="G337" s="62"/>
      <c r="H337" s="62"/>
      <c r="J337" s="62"/>
      <c r="N337" s="62"/>
      <c r="O337" s="62"/>
    </row>
    <row r="338" spans="2:15">
      <c r="B338" s="270"/>
      <c r="C338" s="62"/>
      <c r="D338" s="62"/>
      <c r="E338" s="62"/>
      <c r="F338" s="62"/>
      <c r="G338" s="62"/>
      <c r="H338" s="62"/>
      <c r="J338" s="62"/>
      <c r="N338" s="62"/>
      <c r="O338" s="62"/>
    </row>
    <row r="339" spans="2:15">
      <c r="B339" s="270"/>
      <c r="C339" s="62"/>
      <c r="D339" s="62"/>
      <c r="E339" s="62"/>
      <c r="F339" s="62"/>
      <c r="G339" s="62"/>
      <c r="H339" s="62"/>
      <c r="J339" s="62"/>
      <c r="N339" s="62"/>
      <c r="O339" s="62"/>
    </row>
    <row r="340" spans="2:15">
      <c r="B340" s="270"/>
      <c r="C340" s="62"/>
      <c r="D340" s="62"/>
      <c r="E340" s="62"/>
      <c r="F340" s="62"/>
      <c r="G340" s="62"/>
      <c r="H340" s="62"/>
      <c r="J340" s="62"/>
      <c r="N340" s="62"/>
      <c r="O340" s="62"/>
    </row>
    <row r="341" spans="2:15">
      <c r="B341" s="270"/>
      <c r="C341" s="62"/>
      <c r="D341" s="62"/>
      <c r="E341" s="62"/>
      <c r="F341" s="62"/>
      <c r="G341" s="62"/>
      <c r="H341" s="62"/>
      <c r="I341" s="238"/>
      <c r="J341" s="62"/>
      <c r="N341" s="62"/>
      <c r="O341" s="62"/>
    </row>
    <row r="342" spans="2:15">
      <c r="B342" s="270"/>
      <c r="C342" s="62"/>
      <c r="D342" s="62"/>
      <c r="E342" s="62"/>
      <c r="F342" s="62"/>
      <c r="G342" s="62"/>
      <c r="H342" s="62"/>
      <c r="J342" s="62"/>
      <c r="N342" s="62"/>
      <c r="O342" s="62"/>
    </row>
    <row r="343" spans="2:15">
      <c r="B343" s="270"/>
      <c r="C343" s="62"/>
      <c r="D343" s="62"/>
      <c r="E343" s="62"/>
      <c r="F343" s="62"/>
      <c r="G343" s="62"/>
      <c r="H343" s="62"/>
      <c r="J343" s="62"/>
      <c r="N343" s="62"/>
      <c r="O343" s="62"/>
    </row>
    <row r="344" spans="2:15">
      <c r="B344" s="270"/>
      <c r="C344" s="62"/>
      <c r="D344" s="62"/>
      <c r="E344" s="62"/>
      <c r="F344" s="62"/>
      <c r="G344" s="62"/>
      <c r="H344" s="62"/>
      <c r="I344" s="238"/>
      <c r="J344" s="62"/>
      <c r="N344" s="62"/>
      <c r="O344" s="62"/>
    </row>
    <row r="345" spans="2:15">
      <c r="B345" s="270"/>
      <c r="C345" s="62"/>
      <c r="D345" s="62"/>
      <c r="E345" s="62"/>
      <c r="F345" s="62"/>
      <c r="G345" s="62"/>
      <c r="H345" s="62"/>
      <c r="J345" s="62"/>
      <c r="N345" s="62"/>
      <c r="O345" s="62"/>
    </row>
    <row r="346" spans="2:15">
      <c r="B346" s="270"/>
      <c r="C346" s="62"/>
      <c r="D346" s="62"/>
      <c r="E346" s="62"/>
      <c r="F346" s="62"/>
      <c r="G346" s="62"/>
      <c r="H346" s="62"/>
      <c r="J346" s="62"/>
      <c r="N346" s="62"/>
      <c r="O346" s="62"/>
    </row>
    <row r="347" spans="2:15">
      <c r="B347" s="270"/>
      <c r="C347" s="62"/>
      <c r="D347" s="62"/>
      <c r="E347" s="62"/>
      <c r="F347" s="62"/>
      <c r="G347" s="62"/>
      <c r="H347" s="62"/>
      <c r="I347" s="238"/>
      <c r="J347" s="62"/>
      <c r="N347" s="62"/>
      <c r="O347" s="62"/>
    </row>
    <row r="348" spans="2:15">
      <c r="B348" s="270"/>
      <c r="C348" s="62"/>
      <c r="D348" s="62"/>
      <c r="E348" s="62"/>
      <c r="F348" s="62"/>
      <c r="G348" s="62"/>
      <c r="H348" s="62"/>
      <c r="J348" s="62"/>
      <c r="N348" s="62"/>
      <c r="O348" s="62"/>
    </row>
    <row r="349" spans="2:15">
      <c r="B349" s="270"/>
      <c r="C349" s="62"/>
      <c r="D349" s="62"/>
      <c r="E349" s="62"/>
      <c r="F349" s="62"/>
      <c r="G349" s="62"/>
      <c r="H349" s="62"/>
      <c r="J349" s="62"/>
      <c r="N349" s="62"/>
      <c r="O349" s="62"/>
    </row>
    <row r="350" spans="2:15">
      <c r="B350" s="270"/>
      <c r="C350" s="62"/>
      <c r="D350" s="62"/>
      <c r="E350" s="62"/>
      <c r="F350" s="62"/>
      <c r="G350" s="62"/>
      <c r="H350" s="62"/>
      <c r="J350" s="62"/>
      <c r="N350" s="62"/>
      <c r="O350" s="62"/>
    </row>
    <row r="351" spans="2:15">
      <c r="B351" s="270"/>
      <c r="C351" s="62"/>
      <c r="D351" s="62"/>
      <c r="E351" s="62"/>
      <c r="F351" s="62"/>
      <c r="G351" s="62"/>
      <c r="H351" s="62"/>
      <c r="I351" s="238"/>
      <c r="J351" s="62"/>
      <c r="N351" s="62"/>
      <c r="O351" s="62"/>
    </row>
    <row r="352" spans="2:15">
      <c r="B352" s="270"/>
      <c r="C352" s="62"/>
      <c r="D352" s="62"/>
      <c r="E352" s="62"/>
      <c r="F352" s="62"/>
      <c r="G352" s="62"/>
      <c r="H352" s="62"/>
      <c r="J352" s="62"/>
      <c r="N352" s="62"/>
      <c r="O352" s="62"/>
    </row>
    <row r="353" spans="2:15">
      <c r="B353" s="270"/>
      <c r="C353" s="62"/>
      <c r="D353" s="62"/>
      <c r="E353" s="62"/>
      <c r="F353" s="62"/>
      <c r="G353" s="62"/>
      <c r="H353" s="62"/>
      <c r="J353" s="62"/>
      <c r="N353" s="62"/>
      <c r="O353" s="62"/>
    </row>
    <row r="354" spans="2:15">
      <c r="B354" s="270"/>
      <c r="C354" s="62"/>
      <c r="D354" s="62"/>
      <c r="E354" s="62"/>
      <c r="F354" s="62"/>
      <c r="G354" s="62"/>
      <c r="H354" s="62"/>
      <c r="I354" s="238"/>
      <c r="J354" s="62"/>
      <c r="N354" s="62"/>
      <c r="O354" s="62"/>
    </row>
    <row r="355" spans="2:15">
      <c r="B355" s="270"/>
      <c r="C355" s="62"/>
      <c r="D355" s="62"/>
      <c r="E355" s="62"/>
      <c r="F355" s="62"/>
      <c r="G355" s="62"/>
      <c r="H355" s="62"/>
      <c r="J355" s="62"/>
      <c r="N355" s="62"/>
      <c r="O355" s="62"/>
    </row>
    <row r="356" spans="2:15">
      <c r="B356" s="270"/>
      <c r="C356" s="62"/>
      <c r="D356" s="62"/>
      <c r="E356" s="62"/>
      <c r="F356" s="62"/>
      <c r="G356" s="62"/>
      <c r="H356" s="62"/>
      <c r="J356" s="62"/>
      <c r="N356" s="62"/>
      <c r="O356" s="62"/>
    </row>
    <row r="357" spans="2:15">
      <c r="B357" s="270"/>
      <c r="C357" s="62"/>
      <c r="D357" s="62"/>
      <c r="E357" s="62"/>
      <c r="F357" s="62"/>
      <c r="G357" s="62"/>
      <c r="H357" s="62"/>
      <c r="I357" s="238"/>
      <c r="J357" s="62"/>
      <c r="N357" s="62"/>
      <c r="O357" s="62"/>
    </row>
    <row r="358" spans="2:15">
      <c r="B358" s="270"/>
      <c r="C358" s="62"/>
      <c r="D358" s="62"/>
      <c r="E358" s="62"/>
      <c r="F358" s="62"/>
      <c r="G358" s="62"/>
      <c r="H358" s="62"/>
      <c r="J358" s="62"/>
      <c r="N358" s="62"/>
      <c r="O358" s="62"/>
    </row>
    <row r="359" spans="2:15">
      <c r="B359" s="270"/>
      <c r="C359" s="62"/>
      <c r="D359" s="62"/>
      <c r="E359" s="62"/>
      <c r="F359" s="62"/>
      <c r="G359" s="62"/>
      <c r="H359" s="62"/>
      <c r="J359" s="62"/>
      <c r="N359" s="62"/>
      <c r="O359" s="62"/>
    </row>
    <row r="360" spans="2:15">
      <c r="B360" s="270"/>
      <c r="C360" s="62"/>
      <c r="D360" s="62"/>
      <c r="E360" s="62"/>
      <c r="F360" s="62"/>
      <c r="G360" s="62"/>
      <c r="H360" s="62"/>
      <c r="I360" s="238"/>
      <c r="J360" s="62"/>
      <c r="N360" s="62"/>
      <c r="O360" s="62"/>
    </row>
    <row r="361" spans="2:15">
      <c r="B361" s="270"/>
      <c r="C361" s="62"/>
      <c r="D361" s="62"/>
      <c r="E361" s="62"/>
      <c r="F361" s="62"/>
      <c r="G361" s="62"/>
      <c r="H361" s="62"/>
      <c r="J361" s="62"/>
      <c r="N361" s="62"/>
      <c r="O361" s="62"/>
    </row>
    <row r="362" spans="2:15">
      <c r="B362" s="270"/>
      <c r="C362" s="62"/>
      <c r="D362" s="62"/>
      <c r="E362" s="62"/>
      <c r="F362" s="62"/>
      <c r="G362" s="62"/>
      <c r="H362" s="62"/>
      <c r="J362" s="62"/>
      <c r="N362" s="62"/>
      <c r="O362" s="62"/>
    </row>
    <row r="363" spans="2:15">
      <c r="B363" s="270"/>
      <c r="C363" s="62"/>
      <c r="D363" s="62"/>
      <c r="E363" s="62"/>
      <c r="F363" s="62"/>
      <c r="G363" s="62"/>
      <c r="H363" s="62"/>
      <c r="I363" s="238"/>
      <c r="J363" s="62"/>
      <c r="N363" s="62"/>
      <c r="O363" s="62"/>
    </row>
    <row r="364" spans="2:15">
      <c r="B364" s="270"/>
      <c r="C364" s="62"/>
      <c r="D364" s="62"/>
      <c r="E364" s="62"/>
      <c r="F364" s="62"/>
      <c r="G364" s="62"/>
      <c r="H364" s="62"/>
      <c r="J364" s="62"/>
      <c r="N364" s="62"/>
      <c r="O364" s="62"/>
    </row>
    <row r="365" spans="2:15">
      <c r="B365" s="270"/>
      <c r="C365" s="62"/>
      <c r="D365" s="62"/>
      <c r="E365" s="62"/>
      <c r="F365" s="62"/>
      <c r="G365" s="62"/>
      <c r="H365" s="62"/>
      <c r="J365" s="62"/>
      <c r="N365" s="62"/>
      <c r="O365" s="62"/>
    </row>
    <row r="366" spans="2:15">
      <c r="B366" s="270"/>
      <c r="C366" s="62"/>
      <c r="D366" s="62"/>
      <c r="E366" s="62"/>
      <c r="F366" s="62"/>
      <c r="G366" s="62"/>
      <c r="H366" s="62"/>
      <c r="I366" s="238"/>
      <c r="J366" s="62"/>
      <c r="N366" s="62"/>
      <c r="O366" s="62"/>
    </row>
    <row r="367" spans="2:15">
      <c r="B367" s="270"/>
      <c r="C367" s="62"/>
      <c r="D367" s="62"/>
      <c r="E367" s="62"/>
      <c r="F367" s="62"/>
      <c r="G367" s="62"/>
      <c r="H367" s="62"/>
      <c r="J367" s="62"/>
      <c r="N367" s="62"/>
      <c r="O367" s="62"/>
    </row>
    <row r="368" spans="2:15">
      <c r="B368" s="270"/>
      <c r="C368" s="62"/>
      <c r="D368" s="62"/>
      <c r="E368" s="62"/>
      <c r="F368" s="62"/>
      <c r="G368" s="62"/>
      <c r="H368" s="62"/>
      <c r="I368" s="238"/>
      <c r="J368" s="62"/>
      <c r="N368" s="62"/>
      <c r="O368" s="62"/>
    </row>
    <row r="369" spans="2:15">
      <c r="B369" s="270"/>
      <c r="C369" s="62"/>
      <c r="D369" s="62"/>
      <c r="E369" s="62"/>
      <c r="F369" s="62"/>
      <c r="G369" s="62"/>
      <c r="H369" s="62"/>
      <c r="J369" s="62"/>
      <c r="N369" s="62"/>
      <c r="O369" s="62"/>
    </row>
    <row r="370" spans="2:15">
      <c r="B370" s="270"/>
      <c r="C370" s="62"/>
      <c r="D370" s="62"/>
      <c r="E370" s="62"/>
      <c r="F370" s="62"/>
      <c r="G370" s="62"/>
      <c r="H370" s="62"/>
      <c r="J370" s="62"/>
      <c r="N370" s="62"/>
      <c r="O370" s="62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D363-774B-C444-ADF1-D876A438D6CF}">
  <sheetPr codeName="Feuil7"/>
  <dimension ref="C1:J13"/>
  <sheetViews>
    <sheetView workbookViewId="0">
      <selection activeCell="I13" sqref="I13"/>
    </sheetView>
  </sheetViews>
  <sheetFormatPr baseColWidth="10" defaultRowHeight="16"/>
  <cols>
    <col min="3" max="3" width="8.33203125" bestFit="1" customWidth="1"/>
    <col min="4" max="4" width="15.6640625" bestFit="1" customWidth="1"/>
    <col min="5" max="5" width="16.33203125" bestFit="1" customWidth="1"/>
    <col min="6" max="6" width="17.5" bestFit="1" customWidth="1"/>
    <col min="7" max="7" width="18.6640625" bestFit="1" customWidth="1"/>
    <col min="8" max="8" width="19.1640625" bestFit="1" customWidth="1"/>
    <col min="9" max="9" width="11.1640625" bestFit="1" customWidth="1"/>
    <col min="10" max="10" width="12.33203125" bestFit="1" customWidth="1"/>
  </cols>
  <sheetData>
    <row r="1" spans="3:10" ht="21">
      <c r="C1" s="181" t="s">
        <v>658</v>
      </c>
      <c r="D1" s="181" t="s">
        <v>541</v>
      </c>
      <c r="E1" s="181" t="s">
        <v>542</v>
      </c>
      <c r="F1" s="181" t="s">
        <v>543</v>
      </c>
      <c r="G1" s="181" t="s">
        <v>544</v>
      </c>
      <c r="H1" s="181" t="s">
        <v>105</v>
      </c>
      <c r="I1" s="181" t="s">
        <v>659</v>
      </c>
      <c r="J1" s="181" t="s">
        <v>121</v>
      </c>
    </row>
    <row r="2" spans="3:10">
      <c r="C2" s="59">
        <v>1</v>
      </c>
      <c r="D2" s="59">
        <v>3.5544802867383507</v>
      </c>
      <c r="E2" s="59">
        <v>15.25340501792115</v>
      </c>
      <c r="F2" s="59">
        <v>47.167168871559113</v>
      </c>
      <c r="G2" s="59">
        <v>100</v>
      </c>
      <c r="H2" s="59">
        <v>516.82446837656607</v>
      </c>
      <c r="I2" s="59">
        <v>0.99139784946236664</v>
      </c>
      <c r="J2" s="59">
        <v>1</v>
      </c>
    </row>
    <row r="3" spans="3:10">
      <c r="C3" s="59">
        <v>2</v>
      </c>
      <c r="D3" s="59">
        <v>3.8824372759856622</v>
      </c>
      <c r="E3" s="59">
        <v>17.167741935483861</v>
      </c>
      <c r="F3" s="59">
        <v>42.86283322292114</v>
      </c>
      <c r="G3" s="59">
        <v>100</v>
      </c>
      <c r="H3" s="59">
        <v>730.47922118811266</v>
      </c>
      <c r="I3" s="59">
        <v>0.90878136200716764</v>
      </c>
      <c r="J3" s="59">
        <v>1</v>
      </c>
    </row>
    <row r="4" spans="3:10">
      <c r="C4" s="59">
        <v>3</v>
      </c>
      <c r="D4" s="59">
        <v>6.2548148148148126</v>
      </c>
      <c r="E4" s="59">
        <v>21.205740740740733</v>
      </c>
      <c r="F4" s="59">
        <v>39.725234879462938</v>
      </c>
      <c r="G4" s="59">
        <v>100</v>
      </c>
      <c r="H4" s="59">
        <v>1007.3359187916486</v>
      </c>
      <c r="I4" s="59">
        <v>0.93037037037036985</v>
      </c>
      <c r="J4" s="59">
        <v>1</v>
      </c>
    </row>
    <row r="5" spans="3:10">
      <c r="C5" s="59">
        <v>4</v>
      </c>
      <c r="D5" s="59">
        <v>9.8206093189964125</v>
      </c>
      <c r="E5" s="59">
        <v>25.627956989247309</v>
      </c>
      <c r="F5" s="59">
        <v>38.599700194354895</v>
      </c>
      <c r="G5" s="59">
        <v>100</v>
      </c>
      <c r="H5" s="59">
        <v>1259.8834695833425</v>
      </c>
      <c r="I5" s="59">
        <v>1.005017921146953</v>
      </c>
      <c r="J5" s="59">
        <v>1</v>
      </c>
    </row>
    <row r="6" spans="3:10">
      <c r="C6" s="59">
        <v>5</v>
      </c>
      <c r="D6" s="59">
        <v>14.030370370370367</v>
      </c>
      <c r="E6" s="59">
        <v>29.394629629629648</v>
      </c>
      <c r="F6" s="59">
        <v>40.703938987407433</v>
      </c>
      <c r="G6" s="59">
        <v>100</v>
      </c>
      <c r="H6" s="59">
        <v>1384.4933316805621</v>
      </c>
      <c r="I6" s="59">
        <v>1.3581481481481488</v>
      </c>
      <c r="J6" s="59">
        <v>1</v>
      </c>
    </row>
    <row r="7" spans="3:10">
      <c r="C7" s="59">
        <v>6</v>
      </c>
      <c r="D7" s="59">
        <v>16.244623655913973</v>
      </c>
      <c r="E7" s="59">
        <v>31.828136200716862</v>
      </c>
      <c r="F7" s="59">
        <v>40.532528678189991</v>
      </c>
      <c r="G7" s="59">
        <v>100</v>
      </c>
      <c r="H7" s="59">
        <v>1463.7059215578597</v>
      </c>
      <c r="I7" s="59">
        <v>1.1093189964157704</v>
      </c>
      <c r="J7" s="59">
        <v>1</v>
      </c>
    </row>
    <row r="8" spans="3:10">
      <c r="C8" s="59">
        <v>7</v>
      </c>
      <c r="D8" s="59">
        <v>18.774576271186461</v>
      </c>
      <c r="E8" s="59">
        <v>34.804237288135603</v>
      </c>
      <c r="F8" s="59">
        <v>40.275325303203395</v>
      </c>
      <c r="G8" s="59">
        <v>100</v>
      </c>
      <c r="H8" s="59">
        <v>1392.4634258997532</v>
      </c>
      <c r="I8" s="59">
        <v>0.74915254237288076</v>
      </c>
      <c r="J8" s="59">
        <v>1</v>
      </c>
    </row>
    <row r="9" spans="3:10">
      <c r="C9" s="59">
        <v>8</v>
      </c>
      <c r="D9" s="59">
        <v>17.949624060150366</v>
      </c>
      <c r="E9" s="59">
        <v>32.895676691729321</v>
      </c>
      <c r="F9" s="59">
        <v>42.383538809699239</v>
      </c>
      <c r="G9" s="59">
        <v>100</v>
      </c>
      <c r="H9" s="59">
        <v>1241.1464288954501</v>
      </c>
      <c r="I9" s="59">
        <v>1.1349624060150376</v>
      </c>
      <c r="J9" s="59">
        <v>1</v>
      </c>
    </row>
    <row r="10" spans="3:10">
      <c r="C10" s="59">
        <v>9</v>
      </c>
      <c r="D10" s="59">
        <v>14.701358234295416</v>
      </c>
      <c r="E10" s="59">
        <v>29.497962648556868</v>
      </c>
      <c r="F10" s="59">
        <v>41.805033105534797</v>
      </c>
      <c r="G10" s="59">
        <v>100</v>
      </c>
      <c r="H10" s="59">
        <v>1060.8926192695374</v>
      </c>
      <c r="I10" s="59">
        <v>0.96264855687606088</v>
      </c>
      <c r="J10" s="59">
        <v>1</v>
      </c>
    </row>
    <row r="11" spans="3:10">
      <c r="C11" s="59">
        <v>10</v>
      </c>
      <c r="D11" s="59">
        <v>10.646666666666667</v>
      </c>
      <c r="E11" s="59">
        <v>24.654210526315797</v>
      </c>
      <c r="F11" s="59">
        <v>42.780038041456137</v>
      </c>
      <c r="G11" s="59">
        <v>100</v>
      </c>
      <c r="H11" s="59">
        <v>809.26180795758137</v>
      </c>
      <c r="I11" s="59">
        <v>0.67438596491228076</v>
      </c>
      <c r="J11" s="59">
        <v>1</v>
      </c>
    </row>
    <row r="12" spans="3:10">
      <c r="C12" s="59">
        <v>11</v>
      </c>
      <c r="D12" s="59">
        <v>6.1848896434634968</v>
      </c>
      <c r="E12" s="59">
        <v>19.406621392190146</v>
      </c>
      <c r="F12" s="59">
        <v>43.511745904601</v>
      </c>
      <c r="G12" s="59">
        <v>100</v>
      </c>
      <c r="H12" s="59">
        <v>596.55975561216519</v>
      </c>
      <c r="I12" s="59">
        <v>0.86757215619694372</v>
      </c>
      <c r="J12" s="59">
        <v>1</v>
      </c>
    </row>
    <row r="13" spans="3:10">
      <c r="C13" s="59">
        <v>12</v>
      </c>
      <c r="D13" s="59">
        <v>4.6012280701754369</v>
      </c>
      <c r="E13" s="59">
        <v>15.821578947368417</v>
      </c>
      <c r="F13" s="59">
        <v>48.872592777719298</v>
      </c>
      <c r="G13" s="59">
        <v>100</v>
      </c>
      <c r="H13" s="59">
        <v>467.47593111024224</v>
      </c>
      <c r="I13" s="59">
        <v>1.2080701754385974</v>
      </c>
      <c r="J13" s="5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9291-2CB7-204F-AA0C-B23050F272F7}">
  <sheetPr codeName="Feuil8"/>
  <dimension ref="A1:AD122"/>
  <sheetViews>
    <sheetView zoomScale="134" workbookViewId="0">
      <selection activeCell="AD2" sqref="AD2"/>
    </sheetView>
  </sheetViews>
  <sheetFormatPr baseColWidth="10" defaultRowHeight="16"/>
  <cols>
    <col min="5" max="7" width="12.1640625" bestFit="1" customWidth="1"/>
    <col min="26" max="26" width="10.83203125" style="271"/>
  </cols>
  <sheetData>
    <row r="1" spans="1:30" ht="17">
      <c r="Y1" s="290" t="s">
        <v>901</v>
      </c>
      <c r="Z1" s="293" t="s">
        <v>903</v>
      </c>
      <c r="AA1" s="293" t="s">
        <v>902</v>
      </c>
      <c r="AB1" s="291" t="s">
        <v>904</v>
      </c>
      <c r="AC1" s="292" t="s">
        <v>6</v>
      </c>
      <c r="AD1" s="292" t="s">
        <v>905</v>
      </c>
    </row>
    <row r="2" spans="1:30">
      <c r="B2" t="s">
        <v>703</v>
      </c>
      <c r="Y2" s="290"/>
      <c r="Z2" s="290" t="s">
        <v>906</v>
      </c>
      <c r="AA2" s="290" t="s">
        <v>906</v>
      </c>
      <c r="AB2" s="290" t="s">
        <v>907</v>
      </c>
      <c r="AC2" s="290" t="s">
        <v>908</v>
      </c>
      <c r="AD2" s="290" t="s">
        <v>909</v>
      </c>
    </row>
    <row r="3" spans="1:30">
      <c r="Y3" s="290" t="s">
        <v>888</v>
      </c>
      <c r="Z3" s="290">
        <v>0.43</v>
      </c>
      <c r="AA3" s="290">
        <v>4.4999999999999998E-2</v>
      </c>
      <c r="AB3" s="290">
        <v>0.14499999999999999</v>
      </c>
      <c r="AC3" s="290">
        <v>2.68</v>
      </c>
      <c r="AD3" s="290">
        <v>712.8</v>
      </c>
    </row>
    <row r="4" spans="1:30">
      <c r="A4" t="s">
        <v>671</v>
      </c>
      <c r="B4" t="s">
        <v>3</v>
      </c>
      <c r="C4" t="s">
        <v>4</v>
      </c>
      <c r="D4" t="s">
        <v>704</v>
      </c>
      <c r="E4" t="s">
        <v>709</v>
      </c>
      <c r="F4" t="s">
        <v>710</v>
      </c>
      <c r="G4" t="s">
        <v>711</v>
      </c>
      <c r="Y4" s="290" t="s">
        <v>892</v>
      </c>
      <c r="Z4" s="290">
        <v>0.41</v>
      </c>
      <c r="AA4" s="290">
        <v>5.7000000000000002E-2</v>
      </c>
      <c r="AB4" s="290">
        <v>0.124</v>
      </c>
      <c r="AC4" s="290">
        <v>2.2799999999999998</v>
      </c>
      <c r="AD4" s="290">
        <v>350.2</v>
      </c>
    </row>
    <row r="5" spans="1:30">
      <c r="B5">
        <v>0.45900000000000002</v>
      </c>
      <c r="C5">
        <v>9.8000000000000004E-2</v>
      </c>
      <c r="D5">
        <v>0.45900000000000002</v>
      </c>
      <c r="E5" s="214">
        <f>MAX((37.1*(EXP(-20.75*(D5-0.235))-1)),0)</f>
        <v>0</v>
      </c>
      <c r="Y5" s="290" t="s">
        <v>893</v>
      </c>
      <c r="Z5" s="290">
        <v>0.41</v>
      </c>
      <c r="AA5" s="290">
        <v>6.5000000000000002E-2</v>
      </c>
      <c r="AB5" s="290">
        <v>7.4999999999999997E-2</v>
      </c>
      <c r="AC5" s="290">
        <v>1.89</v>
      </c>
      <c r="AD5" s="290">
        <v>106.1</v>
      </c>
    </row>
    <row r="6" spans="1:30">
      <c r="B6" s="214">
        <v>0.45900000000000002</v>
      </c>
      <c r="C6" s="214">
        <v>9.8000000000000004E-2</v>
      </c>
      <c r="D6">
        <f>D5-0.01</f>
        <v>0.44900000000000001</v>
      </c>
      <c r="E6" s="214">
        <f t="shared" ref="E6:E27" si="0">MAX((37.1*(EXP(-20.75*(D6-0.235))-1)),0)</f>
        <v>0</v>
      </c>
      <c r="F6" s="214"/>
      <c r="Y6" s="290" t="s">
        <v>890</v>
      </c>
      <c r="Z6" s="290">
        <v>0.43</v>
      </c>
      <c r="AA6" s="290">
        <v>7.8E-2</v>
      </c>
      <c r="AB6" s="290">
        <v>3.5999999999999997E-2</v>
      </c>
      <c r="AC6" s="290">
        <v>1.56</v>
      </c>
      <c r="AD6" s="290">
        <v>24.96</v>
      </c>
    </row>
    <row r="7" spans="1:30">
      <c r="B7" s="214">
        <v>0.45900000000000002</v>
      </c>
      <c r="C7" s="214">
        <v>9.8000000000000004E-2</v>
      </c>
      <c r="D7" s="214">
        <f t="shared" ref="D7:D27" si="1">D6-0.01</f>
        <v>0.439</v>
      </c>
      <c r="E7" s="214">
        <f t="shared" si="0"/>
        <v>0</v>
      </c>
      <c r="F7" s="214"/>
      <c r="Y7" s="290" t="s">
        <v>894</v>
      </c>
      <c r="Z7" s="290">
        <v>0.46</v>
      </c>
      <c r="AA7" s="290">
        <v>3.4000000000000002E-2</v>
      </c>
      <c r="AB7" s="290">
        <v>1.6E-2</v>
      </c>
      <c r="AC7" s="290">
        <v>1.37</v>
      </c>
      <c r="AD7" s="290">
        <v>6</v>
      </c>
    </row>
    <row r="8" spans="1:30">
      <c r="B8" s="214">
        <v>0.45900000000000002</v>
      </c>
      <c r="C8" s="214">
        <v>9.8000000000000004E-2</v>
      </c>
      <c r="D8" s="214">
        <f t="shared" si="1"/>
        <v>0.42899999999999999</v>
      </c>
      <c r="E8" s="214">
        <f t="shared" si="0"/>
        <v>0</v>
      </c>
      <c r="F8" s="214"/>
      <c r="Y8" s="290" t="s">
        <v>895</v>
      </c>
      <c r="Z8" s="290">
        <v>0.45</v>
      </c>
      <c r="AA8" s="290">
        <v>6.7000000000000004E-2</v>
      </c>
      <c r="AB8" s="290">
        <v>0.02</v>
      </c>
      <c r="AC8" s="290">
        <v>1.41</v>
      </c>
      <c r="AD8" s="290">
        <v>10.8</v>
      </c>
    </row>
    <row r="9" spans="1:30">
      <c r="B9" s="214">
        <v>0.45900000000000002</v>
      </c>
      <c r="C9" s="214">
        <v>9.8000000000000004E-2</v>
      </c>
      <c r="D9" s="214">
        <f t="shared" si="1"/>
        <v>0.41899999999999998</v>
      </c>
      <c r="E9" s="214">
        <f t="shared" si="0"/>
        <v>0</v>
      </c>
      <c r="F9" s="214"/>
      <c r="Y9" s="290" t="s">
        <v>896</v>
      </c>
      <c r="Z9" s="290">
        <v>0.39</v>
      </c>
      <c r="AA9" s="290">
        <v>0.1</v>
      </c>
      <c r="AB9" s="290">
        <v>5.8999999999999997E-2</v>
      </c>
      <c r="AC9" s="290">
        <v>1.48</v>
      </c>
      <c r="AD9" s="290">
        <v>31.44</v>
      </c>
    </row>
    <row r="10" spans="1:30">
      <c r="B10" s="214">
        <v>0.45900000000000002</v>
      </c>
      <c r="C10" s="214">
        <v>9.8000000000000004E-2</v>
      </c>
      <c r="D10" s="214">
        <f t="shared" si="1"/>
        <v>0.40899999999999997</v>
      </c>
      <c r="E10" s="214">
        <f t="shared" si="0"/>
        <v>0</v>
      </c>
      <c r="F10" s="214"/>
      <c r="Y10" s="290" t="s">
        <v>897</v>
      </c>
      <c r="Z10" s="290">
        <v>0.41</v>
      </c>
      <c r="AA10" s="290">
        <v>9.5000000000000001E-2</v>
      </c>
      <c r="AB10" s="290">
        <v>1.9E-2</v>
      </c>
      <c r="AC10" s="290">
        <v>1.31</v>
      </c>
      <c r="AD10" s="290">
        <v>6.24</v>
      </c>
    </row>
    <row r="11" spans="1:30">
      <c r="B11" s="214">
        <v>0.45900000000000002</v>
      </c>
      <c r="C11" s="214">
        <v>9.8000000000000004E-2</v>
      </c>
      <c r="D11" s="214">
        <f t="shared" si="1"/>
        <v>0.39899999999999997</v>
      </c>
      <c r="E11" s="214">
        <f t="shared" si="0"/>
        <v>0</v>
      </c>
      <c r="F11" s="214"/>
      <c r="Y11" s="290" t="s">
        <v>898</v>
      </c>
      <c r="Z11" s="290">
        <v>0.43</v>
      </c>
      <c r="AA11" s="290">
        <v>8.8999999999999996E-2</v>
      </c>
      <c r="AB11" s="290">
        <v>0.01</v>
      </c>
      <c r="AC11" s="290">
        <v>1.23</v>
      </c>
      <c r="AD11" s="290">
        <v>1.68</v>
      </c>
    </row>
    <row r="12" spans="1:30">
      <c r="B12" s="214">
        <v>0.45900000000000002</v>
      </c>
      <c r="C12" s="214">
        <v>9.8000000000000004E-2</v>
      </c>
      <c r="D12" s="214">
        <f t="shared" si="1"/>
        <v>0.38899999999999996</v>
      </c>
      <c r="E12" s="214">
        <f t="shared" si="0"/>
        <v>0</v>
      </c>
      <c r="F12" s="214"/>
      <c r="Y12" s="290" t="s">
        <v>899</v>
      </c>
      <c r="Z12" s="290">
        <v>0.38</v>
      </c>
      <c r="AA12" s="290">
        <v>0.1</v>
      </c>
      <c r="AB12" s="290">
        <v>2.7E-2</v>
      </c>
      <c r="AC12" s="290">
        <v>1.23</v>
      </c>
      <c r="AD12" s="290">
        <v>2.88</v>
      </c>
    </row>
    <row r="13" spans="1:30">
      <c r="B13" s="214">
        <v>0.45900000000000002</v>
      </c>
      <c r="C13" s="214">
        <v>9.8000000000000004E-2</v>
      </c>
      <c r="D13" s="214">
        <f t="shared" si="1"/>
        <v>0.37899999999999995</v>
      </c>
      <c r="E13" s="214">
        <f t="shared" si="0"/>
        <v>0</v>
      </c>
      <c r="F13" s="214"/>
      <c r="Y13" s="290" t="s">
        <v>900</v>
      </c>
      <c r="Z13" s="290">
        <v>0.36</v>
      </c>
      <c r="AA13" s="290">
        <v>7.0000000000000007E-2</v>
      </c>
      <c r="AB13" s="290">
        <v>5.0000000000000001E-3</v>
      </c>
      <c r="AC13" s="290">
        <v>1.0900000000000001</v>
      </c>
      <c r="AD13" s="290">
        <v>0.48</v>
      </c>
    </row>
    <row r="14" spans="1:30">
      <c r="B14" s="214">
        <v>0.45900000000000002</v>
      </c>
      <c r="C14" s="214">
        <v>9.8000000000000004E-2</v>
      </c>
      <c r="D14" s="214">
        <f t="shared" si="1"/>
        <v>0.36899999999999994</v>
      </c>
      <c r="E14" s="214">
        <f t="shared" si="0"/>
        <v>0</v>
      </c>
      <c r="F14" s="214"/>
      <c r="Y14" s="290" t="s">
        <v>889</v>
      </c>
      <c r="Z14" s="290">
        <v>0.38</v>
      </c>
      <c r="AA14" s="290">
        <v>6.8000000000000005E-2</v>
      </c>
      <c r="AB14" s="290">
        <v>8.0000000000000002E-3</v>
      </c>
      <c r="AC14" s="290">
        <v>1.0900000000000001</v>
      </c>
      <c r="AD14" s="290">
        <v>4.8</v>
      </c>
    </row>
    <row r="15" spans="1:30">
      <c r="B15" s="214">
        <v>0.45900000000000002</v>
      </c>
      <c r="C15" s="214">
        <v>9.8000000000000004E-2</v>
      </c>
      <c r="D15" s="214">
        <f t="shared" si="1"/>
        <v>0.35899999999999993</v>
      </c>
      <c r="E15" s="214">
        <f t="shared" si="0"/>
        <v>0</v>
      </c>
      <c r="F15" s="214"/>
    </row>
    <row r="16" spans="1:30">
      <c r="B16" s="214">
        <v>0.45900000000000002</v>
      </c>
      <c r="C16" s="214">
        <v>9.8000000000000004E-2</v>
      </c>
      <c r="D16" s="214">
        <f t="shared" si="1"/>
        <v>0.34899999999999992</v>
      </c>
      <c r="E16" s="214">
        <f t="shared" si="0"/>
        <v>0</v>
      </c>
      <c r="F16" s="214"/>
    </row>
    <row r="17" spans="2:9">
      <c r="B17" s="214">
        <v>0.45900000000000002</v>
      </c>
      <c r="C17" s="214">
        <v>9.8000000000000004E-2</v>
      </c>
      <c r="D17" s="214">
        <f t="shared" si="1"/>
        <v>0.33899999999999991</v>
      </c>
      <c r="E17" s="214">
        <f t="shared" si="0"/>
        <v>0</v>
      </c>
      <c r="F17" s="214"/>
    </row>
    <row r="18" spans="2:9">
      <c r="B18" s="214">
        <v>0.45900000000000002</v>
      </c>
      <c r="C18" s="214">
        <v>9.8000000000000004E-2</v>
      </c>
      <c r="D18" s="214">
        <f t="shared" si="1"/>
        <v>0.3289999999999999</v>
      </c>
      <c r="E18" s="214">
        <f t="shared" si="0"/>
        <v>0</v>
      </c>
      <c r="F18" s="214"/>
    </row>
    <row r="19" spans="2:9">
      <c r="B19" s="214">
        <v>0.45900000000000002</v>
      </c>
      <c r="C19" s="214">
        <v>9.8000000000000004E-2</v>
      </c>
      <c r="D19" s="214">
        <f t="shared" si="1"/>
        <v>0.31899999999999989</v>
      </c>
      <c r="E19" s="214">
        <f t="shared" si="0"/>
        <v>0</v>
      </c>
      <c r="F19" s="214"/>
    </row>
    <row r="20" spans="2:9">
      <c r="B20" s="214">
        <v>0.45900000000000002</v>
      </c>
      <c r="C20" s="214">
        <v>9.8000000000000004E-2</v>
      </c>
      <c r="D20" s="214">
        <f t="shared" si="1"/>
        <v>0.30899999999999989</v>
      </c>
      <c r="E20" s="214">
        <f t="shared" si="0"/>
        <v>0</v>
      </c>
      <c r="F20" s="214"/>
    </row>
    <row r="21" spans="2:9">
      <c r="B21" s="214">
        <v>0.45900000000000002</v>
      </c>
      <c r="C21" s="214">
        <v>9.8000000000000004E-2</v>
      </c>
      <c r="D21" s="214">
        <f t="shared" si="1"/>
        <v>0.29899999999999988</v>
      </c>
      <c r="E21" s="214">
        <f t="shared" si="0"/>
        <v>0</v>
      </c>
      <c r="F21" s="214"/>
    </row>
    <row r="22" spans="2:9">
      <c r="B22" s="214">
        <v>0.45900000000000002</v>
      </c>
      <c r="C22" s="214">
        <v>9.8000000000000004E-2</v>
      </c>
      <c r="D22" s="214">
        <f t="shared" si="1"/>
        <v>0.28899999999999987</v>
      </c>
      <c r="E22" s="214">
        <f t="shared" si="0"/>
        <v>0</v>
      </c>
      <c r="F22" s="214"/>
    </row>
    <row r="23" spans="2:9">
      <c r="B23" s="214">
        <v>0.45900000000000002</v>
      </c>
      <c r="C23" s="214">
        <v>9.8000000000000004E-2</v>
      </c>
      <c r="D23" s="214">
        <f t="shared" si="1"/>
        <v>0.27899999999999986</v>
      </c>
      <c r="E23" s="214">
        <f t="shared" si="0"/>
        <v>0</v>
      </c>
      <c r="F23" s="214"/>
    </row>
    <row r="24" spans="2:9">
      <c r="B24" s="214">
        <v>0.45900000000000002</v>
      </c>
      <c r="C24" s="214">
        <v>9.8000000000000004E-2</v>
      </c>
      <c r="D24" s="214">
        <f t="shared" si="1"/>
        <v>0.26899999999999985</v>
      </c>
      <c r="E24" s="214">
        <f t="shared" si="0"/>
        <v>0</v>
      </c>
      <c r="F24" s="214"/>
    </row>
    <row r="25" spans="2:9">
      <c r="B25" s="214">
        <v>0.45900000000000002</v>
      </c>
      <c r="C25" s="214">
        <v>9.8000000000000004E-2</v>
      </c>
      <c r="D25" s="214">
        <f t="shared" si="1"/>
        <v>0.25899999999999984</v>
      </c>
      <c r="E25" s="214">
        <f t="shared" si="0"/>
        <v>0</v>
      </c>
      <c r="F25" s="214"/>
    </row>
    <row r="26" spans="2:9">
      <c r="B26" s="214">
        <v>0.45900000000000002</v>
      </c>
      <c r="C26" s="214">
        <v>9.8000000000000004E-2</v>
      </c>
      <c r="D26" s="214">
        <f t="shared" si="1"/>
        <v>0.24899999999999983</v>
      </c>
      <c r="E26" s="214">
        <f t="shared" si="0"/>
        <v>0</v>
      </c>
      <c r="F26" s="214"/>
    </row>
    <row r="27" spans="2:9">
      <c r="B27" s="214">
        <v>0.45900000000000002</v>
      </c>
      <c r="C27" s="214">
        <v>9.8000000000000004E-2</v>
      </c>
      <c r="D27" s="214">
        <f t="shared" si="1"/>
        <v>0.23899999999999982</v>
      </c>
      <c r="E27" s="214">
        <f t="shared" si="0"/>
        <v>0</v>
      </c>
      <c r="F27" s="214"/>
    </row>
    <row r="28" spans="2:9">
      <c r="B28" s="214">
        <v>0.45900000000000002</v>
      </c>
      <c r="C28" s="214">
        <v>9.8000000000000004E-2</v>
      </c>
      <c r="D28" s="214">
        <f>D27-0.002</f>
        <v>0.23699999999999982</v>
      </c>
      <c r="E28" s="214">
        <f>MAX((37.1*(EXP(-20.75*(D28-0.235))-1)),0)</f>
        <v>0</v>
      </c>
      <c r="F28" s="214"/>
    </row>
    <row r="29" spans="2:9">
      <c r="B29" s="214">
        <v>0.45900000000000002</v>
      </c>
      <c r="C29" s="214">
        <v>9.8000000000000004E-2</v>
      </c>
      <c r="D29" s="214">
        <f t="shared" ref="D29:D72" si="2">D28-0.002</f>
        <v>0.23499999999999982</v>
      </c>
      <c r="E29" s="214">
        <f t="shared" ref="E29:E94" si="3">MAX((35.23*(EXP(-21.57*(D29-0.232))-1)),0)</f>
        <v>0</v>
      </c>
      <c r="F29" s="214"/>
      <c r="G29" s="214"/>
      <c r="H29" s="214"/>
    </row>
    <row r="30" spans="2:9">
      <c r="B30" s="214">
        <v>0.45900000000000002</v>
      </c>
      <c r="C30" s="214">
        <v>9.8000000000000004E-2</v>
      </c>
      <c r="D30" s="214">
        <f t="shared" si="2"/>
        <v>0.23299999999999982</v>
      </c>
      <c r="E30" s="214">
        <f t="shared" si="3"/>
        <v>0</v>
      </c>
      <c r="F30" s="214"/>
      <c r="G30" s="214"/>
    </row>
    <row r="31" spans="2:9">
      <c r="B31" s="214">
        <v>0.45900000000000002</v>
      </c>
      <c r="C31" s="214">
        <v>9.8000000000000004E-2</v>
      </c>
      <c r="D31" s="214">
        <f t="shared" si="2"/>
        <v>0.23099999999999982</v>
      </c>
      <c r="E31" s="214">
        <f t="shared" si="3"/>
        <v>0.76816598701175842</v>
      </c>
      <c r="F31" s="214">
        <f t="shared" ref="F31:F93" si="4">1/E31*1000</f>
        <v>1301.8019762761155</v>
      </c>
      <c r="G31" s="214">
        <f t="shared" ref="G31:G94" si="5">F31*40</f>
        <v>52072.079051044624</v>
      </c>
      <c r="H31" s="214"/>
      <c r="I31" s="214"/>
    </row>
    <row r="32" spans="2:9">
      <c r="B32" s="214">
        <v>0.45900000000000002</v>
      </c>
      <c r="C32" s="214">
        <v>9.8000000000000004E-2</v>
      </c>
      <c r="D32" s="214">
        <f t="shared" si="2"/>
        <v>0.22899999999999981</v>
      </c>
      <c r="E32" s="214">
        <f t="shared" si="3"/>
        <v>2.3551111662103499</v>
      </c>
      <c r="F32" s="214">
        <f t="shared" si="4"/>
        <v>424.60840674842427</v>
      </c>
      <c r="G32" s="214">
        <f t="shared" si="5"/>
        <v>16984.336269936972</v>
      </c>
      <c r="H32" s="214"/>
      <c r="I32" s="214"/>
    </row>
    <row r="33" spans="2:9">
      <c r="B33" s="214">
        <v>0.45900000000000002</v>
      </c>
      <c r="C33" s="214">
        <v>9.8000000000000004E-2</v>
      </c>
      <c r="D33" s="214">
        <f t="shared" si="2"/>
        <v>0.22699999999999981</v>
      </c>
      <c r="E33" s="214">
        <f t="shared" si="3"/>
        <v>4.0120153261717473</v>
      </c>
      <c r="F33" s="214">
        <f t="shared" si="4"/>
        <v>249.2512911096471</v>
      </c>
      <c r="G33" s="214">
        <f t="shared" si="5"/>
        <v>9970.0516443858833</v>
      </c>
      <c r="H33" s="214"/>
      <c r="I33" s="214"/>
    </row>
    <row r="34" spans="2:9">
      <c r="B34" s="214">
        <v>0.45900000000000002</v>
      </c>
      <c r="C34" s="214">
        <v>9.8000000000000004E-2</v>
      </c>
      <c r="D34" s="214">
        <f t="shared" si="2"/>
        <v>0.22499999999999981</v>
      </c>
      <c r="E34" s="214">
        <f t="shared" si="3"/>
        <v>5.74196254254867</v>
      </c>
      <c r="F34" s="214">
        <f t="shared" si="4"/>
        <v>174.15648266422383</v>
      </c>
      <c r="G34" s="214">
        <f t="shared" si="5"/>
        <v>6966.2593065689534</v>
      </c>
      <c r="H34" s="214"/>
      <c r="I34" s="214"/>
    </row>
    <row r="35" spans="2:9">
      <c r="B35" s="214">
        <v>0.45900000000000002</v>
      </c>
      <c r="C35" s="214">
        <v>9.8000000000000004E-2</v>
      </c>
      <c r="D35" s="214">
        <f t="shared" si="2"/>
        <v>0.22299999999999981</v>
      </c>
      <c r="E35" s="214">
        <f t="shared" si="3"/>
        <v>7.5481728495588261</v>
      </c>
      <c r="F35" s="214">
        <f t="shared" si="4"/>
        <v>132.48239274998159</v>
      </c>
      <c r="G35" s="214">
        <f t="shared" si="5"/>
        <v>5299.2957099992636</v>
      </c>
      <c r="H35" s="214"/>
      <c r="I35" s="214"/>
    </row>
    <row r="36" spans="2:9">
      <c r="B36" s="214">
        <v>0.45900000000000002</v>
      </c>
      <c r="C36" s="214">
        <v>9.8000000000000004E-2</v>
      </c>
      <c r="D36" s="214">
        <f t="shared" si="2"/>
        <v>0.22099999999999981</v>
      </c>
      <c r="E36" s="214">
        <f t="shared" si="3"/>
        <v>9.4340082335899176</v>
      </c>
      <c r="F36" s="214">
        <f t="shared" si="4"/>
        <v>105.99948348990051</v>
      </c>
      <c r="G36" s="214">
        <f t="shared" si="5"/>
        <v>4239.9793395960205</v>
      </c>
      <c r="H36" s="214"/>
      <c r="I36" s="214"/>
    </row>
    <row r="37" spans="2:9">
      <c r="B37" s="214">
        <v>0.45900000000000002</v>
      </c>
      <c r="C37" s="214">
        <v>9.8000000000000004E-2</v>
      </c>
      <c r="D37" s="214">
        <f t="shared" si="2"/>
        <v>0.21899999999999981</v>
      </c>
      <c r="E37" s="214">
        <f t="shared" si="3"/>
        <v>11.402978891027166</v>
      </c>
      <c r="F37" s="214">
        <f t="shared" si="4"/>
        <v>87.696382634443452</v>
      </c>
      <c r="G37" s="214">
        <f t="shared" si="5"/>
        <v>3507.8553053777382</v>
      </c>
      <c r="H37" s="214"/>
      <c r="I37" s="214"/>
    </row>
    <row r="38" spans="2:9">
      <c r="B38" s="214">
        <v>0.45900000000000002</v>
      </c>
      <c r="C38" s="214">
        <v>9.8000000000000004E-2</v>
      </c>
      <c r="D38" s="214">
        <f t="shared" si="2"/>
        <v>0.2169999999999998</v>
      </c>
      <c r="E38" s="214">
        <f t="shared" si="3"/>
        <v>13.458749761951147</v>
      </c>
      <c r="F38" s="214">
        <f t="shared" si="4"/>
        <v>74.301106543125712</v>
      </c>
      <c r="G38" s="214">
        <f t="shared" si="5"/>
        <v>2972.0442617250283</v>
      </c>
      <c r="H38" s="214"/>
      <c r="I38" s="214"/>
    </row>
    <row r="39" spans="2:9">
      <c r="B39" s="214">
        <v>0.45900000000000002</v>
      </c>
      <c r="C39" s="214">
        <v>9.8000000000000004E-2</v>
      </c>
      <c r="D39" s="214">
        <f t="shared" si="2"/>
        <v>0.2149999999999998</v>
      </c>
      <c r="E39" s="214">
        <f t="shared" si="3"/>
        <v>15.605147351867608</v>
      </c>
      <c r="F39" s="214">
        <f t="shared" si="4"/>
        <v>64.081419896385725</v>
      </c>
      <c r="G39" s="214">
        <f t="shared" si="5"/>
        <v>2563.2567958554291</v>
      </c>
      <c r="H39" s="214"/>
      <c r="I39" s="214"/>
    </row>
    <row r="40" spans="2:9">
      <c r="B40" s="214">
        <v>0.45900000000000002</v>
      </c>
      <c r="C40" s="214">
        <v>9.8000000000000004E-2</v>
      </c>
      <c r="D40" s="214">
        <f t="shared" si="2"/>
        <v>0.2129999999999998</v>
      </c>
      <c r="E40" s="214">
        <f t="shared" si="3"/>
        <v>17.846166854166793</v>
      </c>
      <c r="F40" s="214">
        <f t="shared" si="4"/>
        <v>56.034441915268552</v>
      </c>
      <c r="G40" s="214">
        <f t="shared" si="5"/>
        <v>2241.3776766107421</v>
      </c>
      <c r="H40" s="214"/>
      <c r="I40" s="214"/>
    </row>
    <row r="41" spans="2:9">
      <c r="B41" s="214">
        <v>0.45900000000000002</v>
      </c>
      <c r="C41" s="214">
        <v>9.8000000000000004E-2</v>
      </c>
      <c r="D41" s="214">
        <f t="shared" si="2"/>
        <v>0.2109999999999998</v>
      </c>
      <c r="E41" s="214">
        <f t="shared" si="3"/>
        <v>20.185979586569601</v>
      </c>
      <c r="F41" s="214">
        <f t="shared" si="4"/>
        <v>49.539334750211133</v>
      </c>
      <c r="G41" s="214">
        <f t="shared" si="5"/>
        <v>1981.5733900084454</v>
      </c>
      <c r="H41" s="214"/>
      <c r="I41" s="214"/>
    </row>
    <row r="42" spans="2:9">
      <c r="B42" s="214">
        <v>0.45900000000000002</v>
      </c>
      <c r="C42" s="214">
        <v>9.8000000000000004E-2</v>
      </c>
      <c r="D42" s="214">
        <f t="shared" si="2"/>
        <v>0.2089999999999998</v>
      </c>
      <c r="E42" s="214">
        <f t="shared" si="3"/>
        <v>22.628940755402592</v>
      </c>
      <c r="F42" s="214">
        <f t="shared" si="4"/>
        <v>44.19119793582265</v>
      </c>
      <c r="G42" s="214">
        <f t="shared" si="5"/>
        <v>1767.6479174329061</v>
      </c>
      <c r="H42" s="214"/>
      <c r="I42" s="214"/>
    </row>
    <row r="43" spans="2:9">
      <c r="B43" s="214">
        <v>0.45900000000000002</v>
      </c>
      <c r="C43" s="214">
        <v>9.8000000000000004E-2</v>
      </c>
      <c r="D43" s="214">
        <f t="shared" si="2"/>
        <v>0.2069999999999998</v>
      </c>
      <c r="E43" s="214">
        <f t="shared" si="3"/>
        <v>25.179597562153564</v>
      </c>
      <c r="F43" s="214">
        <f t="shared" si="4"/>
        <v>39.714693514524619</v>
      </c>
      <c r="G43" s="214">
        <f t="shared" si="5"/>
        <v>1588.5877405809847</v>
      </c>
      <c r="H43" s="214"/>
      <c r="I43" s="214"/>
    </row>
    <row r="44" spans="2:9">
      <c r="B44" s="214">
        <v>0.45900000000000002</v>
      </c>
      <c r="C44" s="214">
        <v>9.8000000000000004E-2</v>
      </c>
      <c r="D44" s="214">
        <f t="shared" si="2"/>
        <v>0.20499999999999979</v>
      </c>
      <c r="E44" s="214">
        <f t="shared" si="3"/>
        <v>27.84269766739714</v>
      </c>
      <c r="F44" s="214">
        <f t="shared" si="4"/>
        <v>35.916060000571214</v>
      </c>
      <c r="G44" s="214">
        <f t="shared" si="5"/>
        <v>1436.6424000228485</v>
      </c>
      <c r="H44" s="214"/>
      <c r="I44" s="214"/>
    </row>
    <row r="45" spans="2:9">
      <c r="B45" s="214">
        <v>0.45900000000000002</v>
      </c>
      <c r="C45" s="214">
        <v>9.8000000000000004E-2</v>
      </c>
      <c r="D45" s="214">
        <f t="shared" si="2"/>
        <v>0.20299999999999979</v>
      </c>
      <c r="E45" s="214">
        <f t="shared" si="3"/>
        <v>30.623198027844388</v>
      </c>
      <c r="F45" s="214">
        <f t="shared" si="4"/>
        <v>32.654982640635438</v>
      </c>
      <c r="G45" s="214">
        <f t="shared" si="5"/>
        <v>1306.1993056254175</v>
      </c>
      <c r="H45" s="214"/>
      <c r="I45" s="214"/>
    </row>
    <row r="46" spans="2:9">
      <c r="B46" s="214">
        <v>0.45900000000000002</v>
      </c>
      <c r="C46" s="214">
        <v>9.8000000000000004E-2</v>
      </c>
      <c r="D46" s="214">
        <f t="shared" si="2"/>
        <v>0.20099999999999979</v>
      </c>
      <c r="E46" s="214">
        <f t="shared" si="3"/>
        <v>33.526274122965553</v>
      </c>
      <c r="F46" s="214">
        <f t="shared" si="4"/>
        <v>29.827352611037632</v>
      </c>
      <c r="G46" s="214">
        <f t="shared" si="5"/>
        <v>1193.0941044415054</v>
      </c>
      <c r="H46" s="214"/>
      <c r="I46" s="214"/>
    </row>
    <row r="47" spans="2:9">
      <c r="B47" s="214">
        <v>0.45900000000000002</v>
      </c>
      <c r="C47" s="214">
        <v>9.8000000000000004E-2</v>
      </c>
      <c r="D47" s="214">
        <f t="shared" si="2"/>
        <v>0.19899999999999979</v>
      </c>
      <c r="E47" s="214">
        <f t="shared" si="3"/>
        <v>36.557329588359686</v>
      </c>
      <c r="F47" s="214">
        <f t="shared" si="4"/>
        <v>27.354295602554419</v>
      </c>
      <c r="G47" s="214">
        <f t="shared" si="5"/>
        <v>1094.1718241021767</v>
      </c>
      <c r="H47" s="214"/>
      <c r="I47" s="214"/>
    </row>
    <row r="48" spans="2:9">
      <c r="B48" s="214">
        <v>0.45900000000000002</v>
      </c>
      <c r="C48" s="214">
        <v>9.8000000000000004E-2</v>
      </c>
      <c r="D48" s="214">
        <f t="shared" si="2"/>
        <v>0.19699999999999979</v>
      </c>
      <c r="E48" s="214">
        <f t="shared" si="3"/>
        <v>39.722006273802251</v>
      </c>
      <c r="F48" s="214">
        <f t="shared" si="4"/>
        <v>25.174962037592934</v>
      </c>
      <c r="G48" s="214">
        <f t="shared" si="5"/>
        <v>1006.9984815037174</v>
      </c>
      <c r="H48" s="214"/>
      <c r="I48" s="214"/>
    </row>
    <row r="49" spans="2:9">
      <c r="B49" s="214">
        <v>0.45900000000000002</v>
      </c>
      <c r="C49" s="214">
        <v>9.8000000000000004E-2</v>
      </c>
      <c r="D49" s="214">
        <f t="shared" si="2"/>
        <v>0.19499999999999978</v>
      </c>
      <c r="E49" s="214">
        <f t="shared" si="3"/>
        <v>43.026194744692383</v>
      </c>
      <c r="F49" s="214">
        <f t="shared" si="4"/>
        <v>23.241655599194203</v>
      </c>
      <c r="G49" s="214">
        <f t="shared" si="5"/>
        <v>929.66622396776813</v>
      </c>
      <c r="H49" s="214"/>
      <c r="I49" s="214"/>
    </row>
    <row r="50" spans="2:9">
      <c r="B50" s="214">
        <v>0.45900000000000002</v>
      </c>
      <c r="C50" s="214">
        <v>9.8000000000000004E-2</v>
      </c>
      <c r="D50" s="214">
        <f t="shared" si="2"/>
        <v>0.19299999999999978</v>
      </c>
      <c r="E50" s="214">
        <f t="shared" si="3"/>
        <v>46.476045246446354</v>
      </c>
      <c r="F50" s="214">
        <f t="shared" si="4"/>
        <v>21.516460677696365</v>
      </c>
      <c r="G50" s="214">
        <f t="shared" si="5"/>
        <v>860.65842710785455</v>
      </c>
      <c r="H50" s="214"/>
      <c r="I50" s="214"/>
    </row>
    <row r="51" spans="2:9">
      <c r="B51" s="214">
        <v>0.45900000000000002</v>
      </c>
      <c r="C51" s="214">
        <v>9.8000000000000004E-2</v>
      </c>
      <c r="D51" s="214">
        <f t="shared" si="2"/>
        <v>0.19099999999999978</v>
      </c>
      <c r="E51" s="214">
        <f t="shared" si="3"/>
        <v>50.077979152246243</v>
      </c>
      <c r="F51" s="214">
        <f t="shared" si="4"/>
        <v>19.968856909337667</v>
      </c>
      <c r="G51" s="214">
        <f t="shared" si="5"/>
        <v>798.75427637350663</v>
      </c>
      <c r="H51" s="214"/>
      <c r="I51" s="214"/>
    </row>
    <row r="52" spans="2:9">
      <c r="B52" s="214">
        <v>0.45900000000000002</v>
      </c>
      <c r="C52" s="214">
        <v>9.8000000000000004E-2</v>
      </c>
      <c r="D52" s="214">
        <f t="shared" si="2"/>
        <v>0.18899999999999978</v>
      </c>
      <c r="E52" s="214">
        <f t="shared" si="3"/>
        <v>53.838700915451518</v>
      </c>
      <c r="F52" s="214">
        <f t="shared" si="4"/>
        <v>18.573999427854016</v>
      </c>
      <c r="G52" s="214">
        <f t="shared" si="5"/>
        <v>742.95997711416067</v>
      </c>
      <c r="H52" s="214"/>
      <c r="I52" s="214"/>
    </row>
    <row r="53" spans="2:9">
      <c r="B53" s="214">
        <v>0.45900000000000002</v>
      </c>
      <c r="C53" s="214">
        <v>9.8000000000000004E-2</v>
      </c>
      <c r="D53" s="214">
        <f t="shared" si="2"/>
        <v>0.18699999999999978</v>
      </c>
      <c r="E53" s="214">
        <f t="shared" si="3"/>
        <v>57.765210548921608</v>
      </c>
      <c r="F53" s="214">
        <f t="shared" si="4"/>
        <v>17.31145771819001</v>
      </c>
      <c r="G53" s="214">
        <f t="shared" si="5"/>
        <v>692.45830872760041</v>
      </c>
      <c r="H53" s="214"/>
      <c r="I53" s="214"/>
    </row>
    <row r="54" spans="2:9">
      <c r="B54" s="214">
        <v>0.45900000000000002</v>
      </c>
      <c r="C54" s="214">
        <v>9.8000000000000004E-2</v>
      </c>
      <c r="D54" s="214">
        <f t="shared" si="2"/>
        <v>0.18499999999999978</v>
      </c>
      <c r="E54" s="214">
        <f t="shared" si="3"/>
        <v>61.864816654477536</v>
      </c>
      <c r="F54" s="214">
        <f t="shared" si="4"/>
        <v>16.164276467270899</v>
      </c>
      <c r="G54" s="214">
        <f t="shared" si="5"/>
        <v>646.57105869083591</v>
      </c>
      <c r="H54" s="214"/>
      <c r="I54" s="214"/>
    </row>
    <row r="55" spans="2:9">
      <c r="B55" s="214">
        <v>0.45900000000000002</v>
      </c>
      <c r="C55" s="214">
        <v>9.8000000000000004E-2</v>
      </c>
      <c r="D55" s="214">
        <f t="shared" si="2"/>
        <v>0.18299999999999977</v>
      </c>
      <c r="E55" s="214">
        <f t="shared" si="3"/>
        <v>66.145150026755132</v>
      </c>
      <c r="F55" s="214">
        <f t="shared" si="4"/>
        <v>15.118266412511103</v>
      </c>
      <c r="G55" s="214">
        <f t="shared" si="5"/>
        <v>604.73065650044407</v>
      </c>
      <c r="H55" s="214"/>
      <c r="I55" s="214"/>
    </row>
    <row r="56" spans="2:9">
      <c r="B56" s="214">
        <v>0.45900000000000002</v>
      </c>
      <c r="C56" s="214">
        <v>9.8000000000000004E-2</v>
      </c>
      <c r="D56" s="214">
        <f t="shared" si="2"/>
        <v>0.18099999999999977</v>
      </c>
      <c r="E56" s="214">
        <f t="shared" si="3"/>
        <v>70.614177856771178</v>
      </c>
      <c r="F56" s="214">
        <f t="shared" si="4"/>
        <v>14.161462051265818</v>
      </c>
      <c r="G56" s="214">
        <f t="shared" si="5"/>
        <v>566.45848205063271</v>
      </c>
      <c r="H56" s="214"/>
      <c r="I56" s="214"/>
    </row>
    <row r="57" spans="2:9">
      <c r="B57" s="214">
        <v>0.45900000000000002</v>
      </c>
      <c r="C57" s="214">
        <v>9.8000000000000004E-2</v>
      </c>
      <c r="D57" s="214">
        <f t="shared" si="2"/>
        <v>0.17899999999999977</v>
      </c>
      <c r="E57" s="214">
        <f t="shared" si="3"/>
        <v>75.280218561640552</v>
      </c>
      <c r="F57" s="214">
        <f t="shared" si="4"/>
        <v>13.283702134594433</v>
      </c>
      <c r="G57" s="214">
        <f t="shared" si="5"/>
        <v>531.34808538377729</v>
      </c>
      <c r="H57" s="214"/>
      <c r="I57" s="214"/>
    </row>
    <row r="58" spans="2:9">
      <c r="B58" s="214">
        <v>0.45900000000000002</v>
      </c>
      <c r="C58" s="214">
        <v>9.8000000000000004E-2</v>
      </c>
      <c r="D58" s="214">
        <f t="shared" si="2"/>
        <v>0.17699999999999977</v>
      </c>
      <c r="E58" s="214">
        <f t="shared" si="3"/>
        <v>80.151957268047241</v>
      </c>
      <c r="F58" s="214">
        <f t="shared" si="4"/>
        <v>12.476301690996289</v>
      </c>
      <c r="G58" s="214">
        <f t="shared" si="5"/>
        <v>499.05206763985154</v>
      </c>
      <c r="H58" s="214"/>
      <c r="I58" s="214"/>
    </row>
    <row r="59" spans="2:9">
      <c r="B59" s="214">
        <v>0.45900000000000002</v>
      </c>
      <c r="C59" s="214">
        <v>9.8000000000000004E-2</v>
      </c>
      <c r="D59" s="214">
        <f t="shared" si="2"/>
        <v>0.17499999999999977</v>
      </c>
      <c r="E59" s="214">
        <f t="shared" si="3"/>
        <v>85.238461978289706</v>
      </c>
      <c r="F59" s="214">
        <f t="shared" si="4"/>
        <v>11.731793098926406</v>
      </c>
      <c r="G59" s="214">
        <f t="shared" si="5"/>
        <v>469.27172395705622</v>
      </c>
      <c r="H59" s="214"/>
      <c r="I59" s="214"/>
    </row>
    <row r="60" spans="2:9">
      <c r="B60" s="214">
        <v>0.45900000000000002</v>
      </c>
      <c r="C60" s="214">
        <v>9.8000000000000004E-2</v>
      </c>
      <c r="D60" s="214">
        <f t="shared" si="2"/>
        <v>0.17299999999999977</v>
      </c>
      <c r="E60" s="214">
        <f t="shared" si="3"/>
        <v>90.54920044899103</v>
      </c>
      <c r="F60" s="214">
        <f t="shared" si="4"/>
        <v>11.043719823493403</v>
      </c>
      <c r="G60" s="214">
        <f t="shared" si="5"/>
        <v>441.74879293973612</v>
      </c>
      <c r="H60" s="214"/>
      <c r="I60" s="214"/>
    </row>
    <row r="61" spans="2:9">
      <c r="B61" s="214">
        <v>0.45900000000000002</v>
      </c>
      <c r="C61" s="214">
        <v>9.8000000000000004E-2</v>
      </c>
      <c r="D61" s="214">
        <f t="shared" si="2"/>
        <v>0.17099999999999976</v>
      </c>
      <c r="E61" s="214">
        <f t="shared" si="3"/>
        <v>96.094057813891183</v>
      </c>
      <c r="F61" s="214">
        <f t="shared" si="4"/>
        <v>10.406470730341473</v>
      </c>
      <c r="G61" s="214">
        <f t="shared" si="5"/>
        <v>416.25882921365894</v>
      </c>
      <c r="H61" s="214"/>
      <c r="I61" s="214"/>
    </row>
    <row r="62" spans="2:9">
      <c r="B62" s="214">
        <v>0.45900000000000002</v>
      </c>
      <c r="C62" s="214">
        <v>9.8000000000000004E-2</v>
      </c>
      <c r="D62" s="214">
        <f t="shared" si="2"/>
        <v>0.16899999999999976</v>
      </c>
      <c r="E62" s="214">
        <f t="shared" si="3"/>
        <v>101.88335498352322</v>
      </c>
      <c r="F62" s="214">
        <f t="shared" si="4"/>
        <v>9.8151459594329413</v>
      </c>
      <c r="G62" s="214">
        <f t="shared" si="5"/>
        <v>392.60583837731764</v>
      </c>
      <c r="H62" s="214"/>
      <c r="I62" s="214"/>
    </row>
    <row r="63" spans="2:9">
      <c r="B63" s="214">
        <v>0.45900000000000002</v>
      </c>
      <c r="C63" s="214">
        <v>9.8000000000000004E-2</v>
      </c>
      <c r="D63" s="214">
        <f t="shared" si="2"/>
        <v>0.16699999999999976</v>
      </c>
      <c r="E63" s="214">
        <f t="shared" si="3"/>
        <v>107.92786785602217</v>
      </c>
      <c r="F63" s="214">
        <f t="shared" si="4"/>
        <v>9.265447561087921</v>
      </c>
      <c r="G63" s="214">
        <f t="shared" si="5"/>
        <v>370.61790244351687</v>
      </c>
      <c r="H63" s="214"/>
      <c r="I63" s="214"/>
    </row>
    <row r="64" spans="2:9">
      <c r="B64" s="214">
        <v>0.45900000000000002</v>
      </c>
      <c r="C64" s="214">
        <v>9.8000000000000004E-2</v>
      </c>
      <c r="D64" s="214">
        <f t="shared" si="2"/>
        <v>0.16499999999999976</v>
      </c>
      <c r="E64" s="214">
        <f t="shared" si="3"/>
        <v>114.23884737482413</v>
      </c>
      <c r="F64" s="214">
        <f t="shared" si="4"/>
        <v>8.7535897199570236</v>
      </c>
      <c r="G64" s="214">
        <f t="shared" si="5"/>
        <v>350.14358879828092</v>
      </c>
      <c r="H64" s="214"/>
      <c r="I64" s="214"/>
    </row>
    <row r="65" spans="2:9">
      <c r="B65" s="214">
        <v>0.45900000000000002</v>
      </c>
      <c r="C65" s="214">
        <v>9.8000000000000004E-2</v>
      </c>
      <c r="D65" s="214">
        <f t="shared" si="2"/>
        <v>0.16299999999999976</v>
      </c>
      <c r="E65" s="214">
        <f t="shared" si="3"/>
        <v>120.82804047058984</v>
      </c>
      <c r="F65" s="214">
        <f t="shared" si="4"/>
        <v>8.2762245924480187</v>
      </c>
      <c r="G65" s="214">
        <f t="shared" si="5"/>
        <v>331.04898369792073</v>
      </c>
      <c r="H65" s="214"/>
      <c r="I65" s="214"/>
    </row>
    <row r="66" spans="2:9">
      <c r="B66" s="214">
        <v>0.45900000000000002</v>
      </c>
      <c r="C66" s="214">
        <v>9.8000000000000004E-2</v>
      </c>
      <c r="D66" s="214">
        <f t="shared" si="2"/>
        <v>0.16099999999999975</v>
      </c>
      <c r="E66" s="214">
        <f t="shared" si="3"/>
        <v>127.70771192633393</v>
      </c>
      <c r="F66" s="214">
        <f t="shared" si="4"/>
        <v>7.8303806787865193</v>
      </c>
      <c r="G66" s="214">
        <f t="shared" si="5"/>
        <v>313.21522715146079</v>
      </c>
      <c r="H66" s="214"/>
      <c r="I66" s="214"/>
    </row>
    <row r="67" spans="2:9">
      <c r="B67" s="214">
        <v>0.45900000000000002</v>
      </c>
      <c r="C67" s="214">
        <v>9.8000000000000004E-2</v>
      </c>
      <c r="D67" s="214">
        <f t="shared" si="2"/>
        <v>0.15899999999999975</v>
      </c>
      <c r="E67" s="214">
        <f t="shared" si="3"/>
        <v>134.89066720645673</v>
      </c>
      <c r="F67" s="214">
        <f t="shared" si="4"/>
        <v>7.4134113257031444</v>
      </c>
      <c r="G67" s="214">
        <f t="shared" si="5"/>
        <v>296.53645302812578</v>
      </c>
      <c r="H67" s="214"/>
      <c r="I67" s="214"/>
    </row>
    <row r="68" spans="2:9">
      <c r="B68" s="214">
        <v>0.45900000000000002</v>
      </c>
      <c r="C68" s="214">
        <v>9.8000000000000004E-2</v>
      </c>
      <c r="D68" s="214">
        <f t="shared" si="2"/>
        <v>0.15699999999999975</v>
      </c>
      <c r="E68" s="214">
        <f t="shared" si="3"/>
        <v>142.39027629217352</v>
      </c>
      <c r="F68" s="214">
        <f t="shared" si="4"/>
        <v>7.0229514685966308</v>
      </c>
      <c r="G68" s="214">
        <f t="shared" si="5"/>
        <v>280.91805874386523</v>
      </c>
      <c r="H68" s="214"/>
      <c r="I68" s="214"/>
    </row>
    <row r="69" spans="2:9">
      <c r="B69" s="214">
        <v>0.45900000000000002</v>
      </c>
      <c r="C69" s="214">
        <v>9.8000000000000004E-2</v>
      </c>
      <c r="D69" s="214">
        <f t="shared" si="2"/>
        <v>0.15499999999999975</v>
      </c>
      <c r="E69" s="214">
        <f t="shared" si="3"/>
        <v>150.22049856770525</v>
      </c>
      <c r="F69" s="214">
        <f t="shared" si="4"/>
        <v>6.6568811149917346</v>
      </c>
      <c r="G69" s="214">
        <f t="shared" si="5"/>
        <v>266.27524459966941</v>
      </c>
      <c r="H69" s="214"/>
      <c r="I69" s="214"/>
    </row>
    <row r="70" spans="2:9">
      <c r="B70" s="214">
        <v>0.45900000000000002</v>
      </c>
      <c r="C70" s="214">
        <v>9.8000000000000004E-2</v>
      </c>
      <c r="D70" s="214">
        <f t="shared" si="2"/>
        <v>0.15299999999999975</v>
      </c>
      <c r="E70" s="214">
        <f t="shared" si="3"/>
        <v>158.39590880355385</v>
      </c>
      <c r="F70" s="214">
        <f t="shared" si="4"/>
        <v>6.3132943745423526</v>
      </c>
      <c r="G70" s="214">
        <f t="shared" si="5"/>
        <v>252.5317749816941</v>
      </c>
      <c r="H70" s="214"/>
      <c r="I70" s="214"/>
    </row>
    <row r="71" spans="2:9">
      <c r="B71" s="214">
        <v>0.45900000000000002</v>
      </c>
      <c r="C71" s="214">
        <v>9.8000000000000004E-2</v>
      </c>
      <c r="D71" s="214">
        <f t="shared" si="2"/>
        <v>0.15099999999999975</v>
      </c>
      <c r="E71" s="214">
        <f t="shared" si="3"/>
        <v>166.93172428522621</v>
      </c>
      <c r="F71" s="214">
        <f t="shared" si="4"/>
        <v>5.9904730768332577</v>
      </c>
      <c r="G71" s="214">
        <f t="shared" si="5"/>
        <v>239.61892307333031</v>
      </c>
      <c r="H71" s="214"/>
      <c r="I71" s="214"/>
    </row>
    <row r="72" spans="2:9">
      <c r="B72" s="214">
        <v>0.45900000000000002</v>
      </c>
      <c r="C72" s="214">
        <v>9.8000000000000004E-2</v>
      </c>
      <c r="D72" s="214">
        <f t="shared" si="2"/>
        <v>0.14899999999999974</v>
      </c>
      <c r="E72" s="214">
        <f t="shared" si="3"/>
        <v>175.84383313790133</v>
      </c>
      <c r="F72" s="214">
        <f t="shared" si="4"/>
        <v>5.6868642030555252</v>
      </c>
      <c r="G72" s="214">
        <f t="shared" si="5"/>
        <v>227.474568122221</v>
      </c>
      <c r="H72" s="214"/>
      <c r="I72" s="214"/>
    </row>
    <row r="73" spans="2:9">
      <c r="B73" s="214">
        <v>0.45900000000000002</v>
      </c>
      <c r="C73" s="214">
        <v>9.8000000000000004E-2</v>
      </c>
      <c r="D73" s="214">
        <f t="shared" ref="D73:D84" si="6">D72-0.002</f>
        <v>0.14699999999999974</v>
      </c>
      <c r="E73" s="214">
        <f t="shared" si="3"/>
        <v>185.14882389976441</v>
      </c>
      <c r="F73" s="214">
        <f t="shared" si="4"/>
        <v>5.401060503313694</v>
      </c>
      <c r="G73" s="214">
        <f t="shared" si="5"/>
        <v>216.04242013254776</v>
      </c>
    </row>
    <row r="74" spans="2:9">
      <c r="B74" s="214">
        <v>0.45900000000000002</v>
      </c>
      <c r="C74" s="214">
        <v>9.8000000000000004E-2</v>
      </c>
      <c r="D74" s="214">
        <f t="shared" si="6"/>
        <v>0.14499999999999974</v>
      </c>
      <c r="E74" s="214">
        <f t="shared" si="3"/>
        <v>194.8640163990537</v>
      </c>
      <c r="F74" s="214">
        <f t="shared" si="4"/>
        <v>5.1317837868646956</v>
      </c>
      <c r="G74" s="214">
        <f t="shared" si="5"/>
        <v>205.27135147458782</v>
      </c>
    </row>
    <row r="75" spans="2:9">
      <c r="B75" s="214">
        <v>0.45900000000000002</v>
      </c>
      <c r="C75" s="214">
        <v>9.8000000000000004E-2</v>
      </c>
      <c r="D75" s="214">
        <f t="shared" si="6"/>
        <v>0.14299999999999974</v>
      </c>
      <c r="E75" s="214">
        <f t="shared" si="3"/>
        <v>205.00749399229178</v>
      </c>
      <c r="F75" s="214">
        <f t="shared" si="4"/>
        <v>4.8778704647626183</v>
      </c>
      <c r="G75" s="214">
        <f t="shared" si="5"/>
        <v>195.11481859050474</v>
      </c>
    </row>
    <row r="76" spans="2:9">
      <c r="B76" s="214">
        <v>0.45900000000000002</v>
      </c>
      <c r="C76" s="214">
        <v>9.8000000000000004E-2</v>
      </c>
      <c r="D76" s="214">
        <f t="shared" si="6"/>
        <v>0.14099999999999974</v>
      </c>
      <c r="E76" s="214">
        <f t="shared" si="3"/>
        <v>215.59813722371007</v>
      </c>
      <c r="F76" s="214">
        <f t="shared" si="4"/>
        <v>4.638258998325087</v>
      </c>
      <c r="G76" s="214">
        <f t="shared" si="5"/>
        <v>185.53035993300347</v>
      </c>
    </row>
    <row r="77" spans="2:9">
      <c r="B77" s="214">
        <v>0.45900000000000002</v>
      </c>
      <c r="C77" s="214">
        <v>9.8000000000000004E-2</v>
      </c>
      <c r="D77" s="214">
        <f t="shared" si="6"/>
        <v>0.13899999999999973</v>
      </c>
      <c r="E77" s="214">
        <f t="shared" si="3"/>
        <v>226.65565896851641</v>
      </c>
      <c r="F77" s="214">
        <f t="shared" si="4"/>
        <v>4.4119789664678297</v>
      </c>
      <c r="G77" s="214">
        <f t="shared" si="5"/>
        <v>176.47915865871317</v>
      </c>
    </row>
    <row r="78" spans="2:9">
      <c r="B78" s="214">
        <v>0.45900000000000002</v>
      </c>
      <c r="C78" s="214">
        <v>9.8000000000000004E-2</v>
      </c>
      <c r="D78" s="214">
        <f t="shared" si="6"/>
        <v>0.13699999999999973</v>
      </c>
      <c r="E78" s="214">
        <f t="shared" si="3"/>
        <v>238.20064112542084</v>
      </c>
      <c r="F78" s="214">
        <f t="shared" si="4"/>
        <v>4.1981415132861271</v>
      </c>
      <c r="G78" s="214">
        <f t="shared" si="5"/>
        <v>167.92566053144509</v>
      </c>
    </row>
    <row r="79" spans="2:9">
      <c r="B79" s="214">
        <v>0.45900000000000002</v>
      </c>
      <c r="C79" s="214">
        <v>9.8000000000000004E-2</v>
      </c>
      <c r="D79" s="214">
        <f t="shared" si="6"/>
        <v>0.13499999999999973</v>
      </c>
      <c r="E79" s="214">
        <f t="shared" si="3"/>
        <v>250.25457292671658</v>
      </c>
      <c r="F79" s="214">
        <f t="shared" si="4"/>
        <v>3.9959309766252917</v>
      </c>
      <c r="G79" s="214">
        <f t="shared" si="5"/>
        <v>159.83723906501166</v>
      </c>
    </row>
    <row r="80" spans="2:9">
      <c r="B80" s="214">
        <v>0.45900000000000002</v>
      </c>
      <c r="C80" s="214">
        <v>9.8000000000000004E-2</v>
      </c>
      <c r="D80" s="214">
        <f t="shared" si="6"/>
        <v>0.13299999999999973</v>
      </c>
      <c r="E80" s="214">
        <f t="shared" si="3"/>
        <v>262.83989093722533</v>
      </c>
      <c r="F80" s="214">
        <f t="shared" si="4"/>
        <v>3.8045975305888113</v>
      </c>
      <c r="G80" s="214">
        <f t="shared" si="5"/>
        <v>152.18390122355245</v>
      </c>
    </row>
    <row r="81" spans="2:7">
      <c r="B81" s="214">
        <v>0.45900000000000002</v>
      </c>
      <c r="C81" s="214">
        <v>9.8000000000000004E-2</v>
      </c>
      <c r="D81" s="214">
        <f t="shared" si="6"/>
        <v>0.13099999999999973</v>
      </c>
      <c r="E81" s="214">
        <f t="shared" si="3"/>
        <v>275.98002081655721</v>
      </c>
      <c r="F81" s="214">
        <f t="shared" si="4"/>
        <v>3.6234507013994897</v>
      </c>
      <c r="G81" s="214">
        <f t="shared" si="5"/>
        <v>144.9380280559796</v>
      </c>
    </row>
    <row r="82" spans="2:7">
      <c r="B82" s="214">
        <v>0.45900000000000002</v>
      </c>
      <c r="C82" s="214">
        <v>9.8000000000000004E-2</v>
      </c>
      <c r="D82" s="214">
        <f t="shared" si="6"/>
        <v>0.12899999999999973</v>
      </c>
      <c r="E82" s="214">
        <f t="shared" si="3"/>
        <v>289.69942092242133</v>
      </c>
      <c r="F82" s="214">
        <f t="shared" si="4"/>
        <v>3.451853637870371</v>
      </c>
      <c r="G82" s="214">
        <f t="shared" si="5"/>
        <v>138.07414551481483</v>
      </c>
    </row>
    <row r="83" spans="2:7">
      <c r="B83" s="214">
        <v>0.45900000000000002</v>
      </c>
      <c r="C83" s="214">
        <v>9.8000000000000004E-2</v>
      </c>
      <c r="D83" s="214">
        <f t="shared" si="6"/>
        <v>0.12699999999999972</v>
      </c>
      <c r="E83" s="214">
        <f t="shared" si="3"/>
        <v>304.0236278361478</v>
      </c>
      <c r="F83" s="214">
        <f t="shared" si="4"/>
        <v>3.2892180358394563</v>
      </c>
      <c r="G83" s="214">
        <f t="shared" si="5"/>
        <v>131.56872143357825</v>
      </c>
    </row>
    <row r="84" spans="2:7">
      <c r="B84" s="214">
        <v>0.45900000000000002</v>
      </c>
      <c r="C84" s="214">
        <v>9.8000000000000004E-2</v>
      </c>
      <c r="D84" s="214">
        <f t="shared" si="6"/>
        <v>0.12499999999999972</v>
      </c>
      <c r="E84" s="214">
        <f t="shared" si="3"/>
        <v>318.97930389515756</v>
      </c>
      <c r="F84" s="214">
        <f t="shared" si="4"/>
        <v>3.1349996309750585</v>
      </c>
      <c r="G84" s="214">
        <f t="shared" si="5"/>
        <v>125.39998523900235</v>
      </c>
    </row>
    <row r="85" spans="2:7">
      <c r="B85" s="214">
        <v>0.45900000000000002</v>
      </c>
      <c r="C85" s="214">
        <v>9.8000000000000004E-2</v>
      </c>
      <c r="D85" s="214">
        <f t="shared" ref="D85:D98" si="7">D84-0.002</f>
        <v>0.12299999999999972</v>
      </c>
      <c r="E85" s="214">
        <f t="shared" si="3"/>
        <v>334.59428682085763</v>
      </c>
      <c r="F85" s="214">
        <f t="shared" si="4"/>
        <v>2.9886941869255579</v>
      </c>
      <c r="G85" s="214">
        <f t="shared" si="5"/>
        <v>119.54776747702232</v>
      </c>
    </row>
    <row r="86" spans="2:7">
      <c r="B86" s="214">
        <v>0.45900000000000002</v>
      </c>
      <c r="C86" s="214">
        <v>9.8000000000000004E-2</v>
      </c>
      <c r="D86" s="214">
        <f t="shared" si="7"/>
        <v>0.12099999999999972</v>
      </c>
      <c r="E86" s="214">
        <f t="shared" si="3"/>
        <v>350.89764153433583</v>
      </c>
      <c r="F86" s="214">
        <f t="shared" si="4"/>
        <v>2.8498339163164443</v>
      </c>
      <c r="G86" s="214">
        <f t="shared" si="5"/>
        <v>113.99335665265778</v>
      </c>
    </row>
    <row r="87" spans="2:7">
      <c r="B87" s="214">
        <v>0.45900000000000002</v>
      </c>
      <c r="C87" s="214">
        <v>9.8000000000000004E-2</v>
      </c>
      <c r="D87" s="214">
        <f t="shared" si="7"/>
        <v>0.11899999999999972</v>
      </c>
      <c r="E87" s="214">
        <f t="shared" si="3"/>
        <v>367.91971425629964</v>
      </c>
      <c r="F87" s="214">
        <f t="shared" si="4"/>
        <v>2.7179842809493531</v>
      </c>
      <c r="G87" s="214">
        <f t="shared" si="5"/>
        <v>108.71937123797412</v>
      </c>
    </row>
    <row r="88" spans="2:7">
      <c r="B88" s="214">
        <v>0.45900000000000002</v>
      </c>
      <c r="C88" s="214">
        <v>9.8000000000000004E-2</v>
      </c>
      <c r="D88" s="214">
        <f t="shared" si="7"/>
        <v>0.11699999999999972</v>
      </c>
      <c r="E88" s="214">
        <f t="shared" si="3"/>
        <v>385.69218899196119</v>
      </c>
      <c r="F88" s="214">
        <f t="shared" si="4"/>
        <v>2.5927411250240344</v>
      </c>
      <c r="G88" s="214">
        <f t="shared" si="5"/>
        <v>103.70964500096137</v>
      </c>
    </row>
    <row r="89" spans="2:7">
      <c r="B89" s="214">
        <v>0.45900000000000002</v>
      </c>
      <c r="C89" s="214">
        <v>9.8000000000000004E-2</v>
      </c>
      <c r="D89" s="214">
        <f t="shared" si="7"/>
        <v>0.11499999999999971</v>
      </c>
      <c r="E89" s="214">
        <f t="shared" si="3"/>
        <v>404.24814650600575</v>
      </c>
      <c r="F89" s="214">
        <f t="shared" si="4"/>
        <v>2.4737281015217798</v>
      </c>
      <c r="G89" s="214">
        <f t="shared" si="5"/>
        <v>98.949124060871185</v>
      </c>
    </row>
    <row r="90" spans="2:7">
      <c r="B90" s="214">
        <v>0.45900000000000002</v>
      </c>
      <c r="C90" s="214">
        <v>9.8000000000000004E-2</v>
      </c>
      <c r="D90" s="214">
        <f t="shared" si="7"/>
        <v>0.11299999999999971</v>
      </c>
      <c r="E90" s="214">
        <f t="shared" si="3"/>
        <v>423.62212589741347</v>
      </c>
      <c r="F90" s="214">
        <f t="shared" si="4"/>
        <v>2.3605943572507475</v>
      </c>
      <c r="G90" s="214">
        <f t="shared" si="5"/>
        <v>94.423774290029897</v>
      </c>
    </row>
    <row r="91" spans="2:7">
      <c r="B91" s="214">
        <v>0.45900000000000002</v>
      </c>
      <c r="C91" s="214">
        <v>9.8000000000000004E-2</v>
      </c>
      <c r="D91" s="214">
        <f t="shared" si="7"/>
        <v>0.11099999999999971</v>
      </c>
      <c r="E91" s="214">
        <f t="shared" si="3"/>
        <v>443.85018888875163</v>
      </c>
      <c r="F91" s="214">
        <f t="shared" si="4"/>
        <v>2.253012446617757</v>
      </c>
      <c r="G91" s="214">
        <f t="shared" si="5"/>
        <v>90.120497864710273</v>
      </c>
    </row>
    <row r="92" spans="2:7">
      <c r="B92" s="214">
        <v>0.45900000000000002</v>
      </c>
      <c r="C92" s="214">
        <v>9.8000000000000004E-2</v>
      </c>
      <c r="D92" s="214">
        <f t="shared" si="7"/>
        <v>0.10899999999999971</v>
      </c>
      <c r="E92" s="214">
        <f t="shared" si="3"/>
        <v>464.9699869495991</v>
      </c>
      <c r="F92" s="214">
        <f t="shared" si="4"/>
        <v>2.1506764480873817</v>
      </c>
      <c r="G92" s="214">
        <f t="shared" si="5"/>
        <v>86.027057923495263</v>
      </c>
    </row>
    <row r="93" spans="2:7">
      <c r="B93" s="214">
        <v>0.45900000000000002</v>
      </c>
      <c r="C93" s="214">
        <v>9.8000000000000004E-2</v>
      </c>
      <c r="D93" s="214">
        <f t="shared" si="7"/>
        <v>0.10699999999999971</v>
      </c>
      <c r="E93" s="214">
        <f t="shared" si="3"/>
        <v>487.02083137904219</v>
      </c>
      <c r="F93" s="214">
        <f t="shared" si="4"/>
        <v>2.0533002606241961</v>
      </c>
      <c r="G93" s="214">
        <f t="shared" si="5"/>
        <v>82.132010424967845</v>
      </c>
    </row>
    <row r="94" spans="2:7">
      <c r="B94" s="214">
        <v>0.45900000000000002</v>
      </c>
      <c r="C94" s="214">
        <v>9.8000000000000004E-2</v>
      </c>
      <c r="D94" s="214">
        <f t="shared" si="7"/>
        <v>0.1049999999999997</v>
      </c>
      <c r="E94" s="214">
        <f t="shared" si="3"/>
        <v>510.043766477693</v>
      </c>
      <c r="F94" s="214">
        <f t="shared" ref="F94:F122" si="8">1/E94*1000</f>
        <v>1.9606160602763401</v>
      </c>
      <c r="G94" s="214">
        <f t="shared" si="5"/>
        <v>78.424642411053597</v>
      </c>
    </row>
    <row r="95" spans="2:7">
      <c r="B95" s="214">
        <v>0.45900000000000002</v>
      </c>
      <c r="C95" s="214">
        <v>9.8000000000000004E-2</v>
      </c>
      <c r="D95" s="214">
        <f t="shared" si="7"/>
        <v>0.1029999999999997</v>
      </c>
      <c r="E95" s="214">
        <f t="shared" ref="E95:E122" si="9">MAX((35.23*(EXP(-21.57*(D95-0.232))-1)),0)</f>
        <v>534.08164594542586</v>
      </c>
      <c r="F95" s="214">
        <f t="shared" si="8"/>
        <v>1.8723728995214022</v>
      </c>
      <c r="G95" s="214">
        <f t="shared" ref="G95:G122" si="10">F95*40</f>
        <v>74.894915980856084</v>
      </c>
    </row>
    <row r="96" spans="2:7">
      <c r="B96" s="214">
        <v>0.45900000000000002</v>
      </c>
      <c r="C96" s="214">
        <v>9.8000000000000004E-2</v>
      </c>
      <c r="D96" s="214">
        <f t="shared" si="7"/>
        <v>0.1009999999999997</v>
      </c>
      <c r="E96" s="214">
        <f t="shared" si="9"/>
        <v>559.17921264703739</v>
      </c>
      <c r="F96" s="214">
        <f t="shared" si="8"/>
        <v>1.7883354341199653</v>
      </c>
      <c r="G96" s="214">
        <f t="shared" si="10"/>
        <v>71.533417364798609</v>
      </c>
    </row>
    <row r="97" spans="2:7">
      <c r="B97" s="214">
        <v>0.45900000000000002</v>
      </c>
      <c r="C97" s="214">
        <v>9.8000000000000004E-2</v>
      </c>
      <c r="D97" s="214">
        <f t="shared" si="7"/>
        <v>9.8999999999999699E-2</v>
      </c>
      <c r="E97" s="214">
        <f t="shared" si="9"/>
        <v>585.38318189429822</v>
      </c>
      <c r="F97" s="214">
        <f t="shared" si="8"/>
        <v>1.7082827640589247</v>
      </c>
      <c r="G97" s="214">
        <f t="shared" si="10"/>
        <v>68.33131056235699</v>
      </c>
    </row>
    <row r="98" spans="2:7">
      <c r="B98" s="214">
        <v>0.45900000000000002</v>
      </c>
      <c r="C98" s="214">
        <v>9.8000000000000004E-2</v>
      </c>
      <c r="D98" s="214">
        <f t="shared" si="7"/>
        <v>9.6999999999999698E-2</v>
      </c>
      <c r="E98" s="214">
        <f t="shared" si="9"/>
        <v>612.74232839941726</v>
      </c>
      <c r="F98" s="214">
        <f t="shared" si="8"/>
        <v>1.6320073767584538</v>
      </c>
      <c r="G98" s="214">
        <f t="shared" si="10"/>
        <v>65.280295070338155</v>
      </c>
    </row>
    <row r="99" spans="2:7">
      <c r="B99" s="214">
        <v>0.45900000000000002</v>
      </c>
      <c r="C99" s="214">
        <v>9.8000000000000004E-2</v>
      </c>
      <c r="D99" s="214">
        <f t="shared" ref="D99:D121" si="11">D98-0.002</f>
        <v>9.4999999999999696E-2</v>
      </c>
      <c r="E99" s="214">
        <f t="shared" si="9"/>
        <v>641.30757706176735</v>
      </c>
      <c r="F99" s="214">
        <f t="shared" si="8"/>
        <v>1.5593141820990604</v>
      </c>
      <c r="G99" s="214">
        <f t="shared" si="10"/>
        <v>62.372567283962411</v>
      </c>
    </row>
    <row r="100" spans="2:7">
      <c r="B100" s="214">
        <v>0.45900000000000002</v>
      </c>
      <c r="C100" s="214">
        <v>9.8000000000000004E-2</v>
      </c>
      <c r="D100" s="214">
        <f t="shared" si="11"/>
        <v>9.2999999999999694E-2</v>
      </c>
      <c r="E100" s="214">
        <f t="shared" si="9"/>
        <v>671.13209775685607</v>
      </c>
      <c r="F100" s="214">
        <f t="shared" si="8"/>
        <v>1.4900196300286166</v>
      </c>
      <c r="G100" s="214">
        <f t="shared" si="10"/>
        <v>59.60078520114466</v>
      </c>
    </row>
    <row r="101" spans="2:7">
      <c r="B101" s="214">
        <v>0.45900000000000002</v>
      </c>
      <c r="C101" s="214">
        <v>9.8000000000000004E-2</v>
      </c>
      <c r="D101" s="214">
        <f t="shared" si="11"/>
        <v>9.0999999999999692E-2</v>
      </c>
      <c r="E101" s="214">
        <f t="shared" si="9"/>
        <v>702.27140430398083</v>
      </c>
      <c r="F101" s="214">
        <f t="shared" si="8"/>
        <v>1.4239509025589574</v>
      </c>
      <c r="G101" s="214">
        <f t="shared" si="10"/>
        <v>56.958036102358292</v>
      </c>
    </row>
    <row r="102" spans="2:7">
      <c r="B102" s="214">
        <v>0.45900000000000002</v>
      </c>
      <c r="C102" s="214">
        <v>9.8000000000000004E-2</v>
      </c>
      <c r="D102" s="214">
        <f t="shared" si="11"/>
        <v>8.899999999999969E-2</v>
      </c>
      <c r="E102" s="214">
        <f t="shared" si="9"/>
        <v>734.78345779678023</v>
      </c>
      <c r="F102" s="214">
        <f t="shared" si="8"/>
        <v>1.360945172879179</v>
      </c>
      <c r="G102" s="214">
        <f t="shared" si="10"/>
        <v>54.437806915167158</v>
      </c>
    </row>
    <row r="103" spans="2:7">
      <c r="B103" s="214">
        <v>0.45900000000000002</v>
      </c>
      <c r="C103" s="214">
        <v>9.8000000000000004E-2</v>
      </c>
      <c r="D103" s="214">
        <f t="shared" si="11"/>
        <v>8.6999999999999689E-2</v>
      </c>
      <c r="E103" s="214">
        <f t="shared" si="9"/>
        <v>768.72877448901204</v>
      </c>
      <c r="F103" s="214">
        <f t="shared" si="8"/>
        <v>1.3008489251162973</v>
      </c>
      <c r="G103" s="214">
        <f t="shared" si="10"/>
        <v>52.033957004651896</v>
      </c>
    </row>
    <row r="104" spans="2:7">
      <c r="B104" s="214">
        <v>0.45900000000000002</v>
      </c>
      <c r="C104" s="214">
        <v>9.8000000000000004E-2</v>
      </c>
      <c r="D104" s="214">
        <f t="shared" si="11"/>
        <v>8.4999999999999687E-2</v>
      </c>
      <c r="E104" s="214">
        <f t="shared" si="9"/>
        <v>804.170538436377</v>
      </c>
      <c r="F104" s="214">
        <f t="shared" si="8"/>
        <v>1.2435173289789903</v>
      </c>
      <c r="G104" s="214">
        <f t="shared" si="10"/>
        <v>49.740693159159612</v>
      </c>
    </row>
    <row r="105" spans="2:7">
      <c r="B105" s="214">
        <v>0.45900000000000002</v>
      </c>
      <c r="C105" s="214">
        <v>9.8000000000000004E-2</v>
      </c>
      <c r="D105" s="214">
        <f t="shared" si="11"/>
        <v>8.2999999999999685E-2</v>
      </c>
      <c r="E105" s="214">
        <f t="shared" si="9"/>
        <v>841.17471910405141</v>
      </c>
      <c r="F105" s="214">
        <f t="shared" si="8"/>
        <v>1.1888136641399731</v>
      </c>
      <c r="G105" s="214">
        <f t="shared" si="10"/>
        <v>47.552546565598924</v>
      </c>
    </row>
    <row r="106" spans="2:7">
      <c r="B106" s="214">
        <v>0.45900000000000002</v>
      </c>
      <c r="C106" s="214">
        <v>9.8000000000000004E-2</v>
      </c>
      <c r="D106" s="214">
        <f t="shared" si="11"/>
        <v>8.0999999999999683E-2</v>
      </c>
      <c r="E106" s="214">
        <f t="shared" si="9"/>
        <v>879.81019415883293</v>
      </c>
      <c r="F106" s="214">
        <f t="shared" si="8"/>
        <v>1.1366087897584296</v>
      </c>
      <c r="G106" s="214">
        <f t="shared" si="10"/>
        <v>45.464351590337188</v>
      </c>
    </row>
    <row r="107" spans="2:7">
      <c r="B107" s="214">
        <v>0.45900000000000002</v>
      </c>
      <c r="C107" s="214">
        <v>9.8000000000000004E-2</v>
      </c>
      <c r="D107" s="214">
        <f t="shared" si="11"/>
        <v>7.8999999999999682E-2</v>
      </c>
      <c r="E107" s="214">
        <f t="shared" si="9"/>
        <v>920.14887767446589</v>
      </c>
      <c r="F107" s="214">
        <f t="shared" si="8"/>
        <v>1.0867806550254624</v>
      </c>
      <c r="G107" s="214">
        <f t="shared" si="10"/>
        <v>43.471226201018496</v>
      </c>
    </row>
    <row r="108" spans="2:7">
      <c r="B108" s="214">
        <v>0.45900000000000002</v>
      </c>
      <c r="C108" s="214">
        <v>9.8000000000000004E-2</v>
      </c>
      <c r="D108" s="214">
        <f t="shared" si="11"/>
        <v>7.699999999999968E-2</v>
      </c>
      <c r="E108" s="214">
        <f t="shared" si="9"/>
        <v>962.26585398877819</v>
      </c>
      <c r="F108" s="214">
        <f t="shared" si="8"/>
        <v>1.0392138470411336</v>
      </c>
      <c r="G108" s="214">
        <f t="shared" si="10"/>
        <v>41.568553881645343</v>
      </c>
    </row>
    <row r="109" spans="2:7">
      <c r="B109" s="214">
        <v>0.45900000000000002</v>
      </c>
      <c r="C109" s="214">
        <v>9.8000000000000004E-2</v>
      </c>
      <c r="D109" s="214">
        <f t="shared" si="11"/>
        <v>7.4999999999999678E-2</v>
      </c>
      <c r="E109" s="214">
        <f t="shared" si="9"/>
        <v>1006.2395174617791</v>
      </c>
      <c r="F109" s="214">
        <f t="shared" si="8"/>
        <v>0.99379917270838436</v>
      </c>
      <c r="G109" s="214">
        <f t="shared" si="10"/>
        <v>39.751966908335376</v>
      </c>
    </row>
    <row r="110" spans="2:7">
      <c r="B110" s="214">
        <v>0.45900000000000002</v>
      </c>
      <c r="C110" s="214">
        <v>9.8000000000000004E-2</v>
      </c>
      <c r="D110" s="214">
        <f t="shared" si="11"/>
        <v>7.2999999999999676E-2</v>
      </c>
      <c r="E110" s="214">
        <f t="shared" si="9"/>
        <v>1052.1517183948642</v>
      </c>
      <c r="F110" s="214">
        <f t="shared" si="8"/>
        <v>0.95043327166311575</v>
      </c>
      <c r="G110" s="214">
        <f t="shared" si="10"/>
        <v>38.017330866524631</v>
      </c>
    </row>
    <row r="111" spans="2:7">
      <c r="B111" s="214">
        <v>0.45900000000000002</v>
      </c>
      <c r="C111" s="214">
        <v>9.8000000000000004E-2</v>
      </c>
      <c r="D111" s="214">
        <f t="shared" si="11"/>
        <v>7.0999999999999674E-2</v>
      </c>
      <c r="E111" s="214">
        <f t="shared" si="9"/>
        <v>1100.0879153827339</v>
      </c>
      <c r="F111" s="214">
        <f t="shared" si="8"/>
        <v>0.9090182575563408</v>
      </c>
      <c r="G111" s="214">
        <f t="shared" si="10"/>
        <v>36.360730302253629</v>
      </c>
    </row>
    <row r="112" spans="2:7">
      <c r="B112" s="214">
        <v>0.45900000000000002</v>
      </c>
      <c r="C112" s="214">
        <v>9.8000000000000004E-2</v>
      </c>
      <c r="D112" s="214">
        <f t="shared" si="11"/>
        <v>6.8999999999999673E-2</v>
      </c>
      <c r="E112" s="214">
        <f t="shared" si="9"/>
        <v>1150.1373343815928</v>
      </c>
      <c r="F112" s="214">
        <f t="shared" si="8"/>
        <v>0.86946138526811778</v>
      </c>
      <c r="G112" s="214">
        <f t="shared" si="10"/>
        <v>34.77845541072471</v>
      </c>
    </row>
    <row r="113" spans="2:7">
      <c r="B113" s="214">
        <v>0.45900000000000002</v>
      </c>
      <c r="C113" s="214">
        <v>9.8000000000000004E-2</v>
      </c>
      <c r="D113" s="214">
        <f t="shared" si="11"/>
        <v>6.6999999999999671E-2</v>
      </c>
      <c r="E113" s="214">
        <f t="shared" si="9"/>
        <v>1202.3931347897324</v>
      </c>
      <c r="F113" s="214">
        <f t="shared" si="8"/>
        <v>0.83167474186791179</v>
      </c>
      <c r="G113" s="214">
        <f t="shared" si="10"/>
        <v>33.26698967471647</v>
      </c>
    </row>
    <row r="114" spans="2:7">
      <c r="B114" s="214">
        <v>0.45900000000000002</v>
      </c>
      <c r="C114" s="214">
        <v>9.8000000000000004E-2</v>
      </c>
      <c r="D114" s="214">
        <f t="shared" si="11"/>
        <v>6.4999999999999669E-2</v>
      </c>
      <c r="E114" s="214">
        <f t="shared" si="9"/>
        <v>1256.9525828496091</v>
      </c>
      <c r="F114" s="214">
        <f t="shared" si="8"/>
        <v>0.79557495934565992</v>
      </c>
      <c r="G114" s="214">
        <f t="shared" si="10"/>
        <v>31.822998373826398</v>
      </c>
    </row>
    <row r="115" spans="2:7">
      <c r="B115" s="214">
        <v>0.45900000000000002</v>
      </c>
      <c r="C115" s="214">
        <v>9.8000000000000004E-2</v>
      </c>
      <c r="D115" s="214">
        <f t="shared" si="11"/>
        <v>6.2999999999999667E-2</v>
      </c>
      <c r="E115" s="214">
        <f t="shared" si="9"/>
        <v>1313.9172326941998</v>
      </c>
      <c r="F115" s="214">
        <f t="shared" si="8"/>
        <v>0.76108294732499282</v>
      </c>
      <c r="G115" s="214">
        <f t="shared" si="10"/>
        <v>30.443317892999712</v>
      </c>
    </row>
    <row r="116" spans="2:7">
      <c r="B116" s="214">
        <v>0.45900000000000002</v>
      </c>
      <c r="C116" s="214">
        <v>9.8000000000000004E-2</v>
      </c>
      <c r="D116" s="214">
        <f t="shared" si="11"/>
        <v>6.0999999999999666E-2</v>
      </c>
      <c r="E116" s="214">
        <f t="shared" si="9"/>
        <v>1373.3931153746028</v>
      </c>
      <c r="F116" s="214">
        <f t="shared" si="8"/>
        <v>0.7281236441375657</v>
      </c>
      <c r="G116" s="214">
        <f t="shared" si="10"/>
        <v>29.124945765502627</v>
      </c>
    </row>
    <row r="117" spans="2:7">
      <c r="B117" s="214">
        <v>0.45900000000000002</v>
      </c>
      <c r="C117" s="214">
        <v>9.8000000000000004E-2</v>
      </c>
      <c r="D117" s="214">
        <f t="shared" si="11"/>
        <v>5.8999999999999664E-2</v>
      </c>
      <c r="E117" s="214">
        <f t="shared" si="9"/>
        <v>1435.4909362207525</v>
      </c>
      <c r="F117" s="214">
        <f t="shared" si="8"/>
        <v>0.6966257847874131</v>
      </c>
      <c r="G117" s="214">
        <f t="shared" si="10"/>
        <v>27.865031391496522</v>
      </c>
    </row>
    <row r="118" spans="2:7">
      <c r="B118" s="214">
        <v>0.45900000000000002</v>
      </c>
      <c r="C118" s="214">
        <v>9.8000000000000004E-2</v>
      </c>
      <c r="D118" s="214">
        <f t="shared" si="11"/>
        <v>5.6999999999999662E-2</v>
      </c>
      <c r="E118" s="214">
        <f t="shared" si="9"/>
        <v>1500.3262809025919</v>
      </c>
      <c r="F118" s="214">
        <f t="shared" si="8"/>
        <v>0.66652168446879634</v>
      </c>
      <c r="G118" s="214">
        <f t="shared" si="10"/>
        <v>26.660867378751853</v>
      </c>
    </row>
    <row r="119" spans="2:7">
      <c r="B119" s="214">
        <v>0.45900000000000002</v>
      </c>
      <c r="C119" s="214">
        <v>9.8000000000000004E-2</v>
      </c>
      <c r="D119" s="214">
        <f t="shared" si="11"/>
        <v>5.499999999999966E-2</v>
      </c>
      <c r="E119" s="214">
        <f t="shared" si="9"/>
        <v>1568.0198305752533</v>
      </c>
      <c r="F119" s="214">
        <f t="shared" si="8"/>
        <v>0.6377470364218123</v>
      </c>
      <c r="G119" s="214">
        <f t="shared" si="10"/>
        <v>25.509881456872492</v>
      </c>
    </row>
    <row r="120" spans="2:7">
      <c r="B120" s="214">
        <v>0.45900000000000002</v>
      </c>
      <c r="C120" s="214">
        <v>9.8000000000000004E-2</v>
      </c>
      <c r="D120" s="214">
        <f t="shared" si="11"/>
        <v>5.2999999999999658E-2</v>
      </c>
      <c r="E120" s="214">
        <f t="shared" si="9"/>
        <v>1638.697586508717</v>
      </c>
      <c r="F120" s="214">
        <f t="shared" si="8"/>
        <v>0.61024072301865229</v>
      </c>
      <c r="G120" s="214">
        <f t="shared" si="10"/>
        <v>24.409628920746091</v>
      </c>
    </row>
    <row r="121" spans="2:7">
      <c r="B121" s="214">
        <v>0.45900000000000002</v>
      </c>
      <c r="C121" s="214">
        <v>9.8000000000000004E-2</v>
      </c>
      <c r="D121" s="214">
        <f t="shared" si="11"/>
        <v>5.0999999999999657E-2</v>
      </c>
      <c r="E121" s="214">
        <f t="shared" si="9"/>
        <v>1712.4911046200561</v>
      </c>
      <c r="F121" s="214">
        <f t="shared" si="8"/>
        <v>0.58394463907120042</v>
      </c>
      <c r="G121" s="214">
        <f t="shared" si="10"/>
        <v>23.357785562848015</v>
      </c>
    </row>
    <row r="122" spans="2:7">
      <c r="B122" s="214">
        <v>0.45900000000000002</v>
      </c>
      <c r="C122" s="214">
        <v>9.8000000000000004E-2</v>
      </c>
      <c r="D122" s="214">
        <v>0.05</v>
      </c>
      <c r="E122" s="214">
        <f t="shared" si="9"/>
        <v>1750.5989646073112</v>
      </c>
      <c r="F122" s="214">
        <f t="shared" si="8"/>
        <v>0.5712330580661098</v>
      </c>
      <c r="G122" s="214">
        <f t="shared" si="10"/>
        <v>22.84932232264439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C160-5854-CF40-AF16-B3D083D461BC}">
  <dimension ref="A1:T36"/>
  <sheetViews>
    <sheetView topLeftCell="D1" zoomScale="92" workbookViewId="0">
      <selection activeCell="G33" sqref="G33"/>
    </sheetView>
  </sheetViews>
  <sheetFormatPr baseColWidth="10" defaultRowHeight="16"/>
  <cols>
    <col min="2" max="2" width="14" customWidth="1"/>
    <col min="3" max="3" width="14" style="271" customWidth="1"/>
    <col min="7" max="7" width="19.6640625" bestFit="1" customWidth="1"/>
    <col min="8" max="8" width="16" style="271" customWidth="1"/>
    <col min="9" max="9" width="14.5" style="271" bestFit="1" customWidth="1"/>
    <col min="10" max="11" width="17.1640625" bestFit="1" customWidth="1"/>
    <col min="14" max="14" width="12.1640625" bestFit="1" customWidth="1"/>
    <col min="15" max="15" width="14.5" bestFit="1" customWidth="1"/>
    <col min="16" max="16" width="34.6640625" bestFit="1" customWidth="1"/>
    <col min="17" max="17" width="19.5" bestFit="1" customWidth="1"/>
  </cols>
  <sheetData>
    <row r="1" spans="1:18" s="271" customFormat="1">
      <c r="K1" s="271" t="s">
        <v>1045</v>
      </c>
      <c r="M1" s="271" t="s">
        <v>1046</v>
      </c>
      <c r="P1" s="271" t="s">
        <v>1052</v>
      </c>
    </row>
    <row r="2" spans="1:18">
      <c r="F2" s="271" t="s">
        <v>1048</v>
      </c>
      <c r="G2">
        <v>3</v>
      </c>
      <c r="J2" t="s">
        <v>8</v>
      </c>
      <c r="K2">
        <v>4200</v>
      </c>
      <c r="L2" t="s">
        <v>1037</v>
      </c>
      <c r="M2">
        <v>4.0000000000000002E-4</v>
      </c>
      <c r="P2">
        <v>1000</v>
      </c>
    </row>
    <row r="3" spans="1:18" s="271" customFormat="1"/>
    <row r="4" spans="1:18" ht="51">
      <c r="A4" s="271"/>
      <c r="B4" s="370" t="s">
        <v>1047</v>
      </c>
      <c r="C4" s="370" t="s">
        <v>1049</v>
      </c>
      <c r="D4" s="371" t="s">
        <v>1039</v>
      </c>
      <c r="E4" s="371" t="s">
        <v>1038</v>
      </c>
      <c r="F4" s="371" t="s">
        <v>1040</v>
      </c>
      <c r="G4" s="370" t="s">
        <v>1044</v>
      </c>
      <c r="H4" s="371" t="s">
        <v>1043</v>
      </c>
      <c r="I4" s="371" t="s">
        <v>887</v>
      </c>
      <c r="J4" s="371" t="s">
        <v>1041</v>
      </c>
      <c r="K4" s="371" t="s">
        <v>1042</v>
      </c>
      <c r="L4" s="371" t="s">
        <v>1036</v>
      </c>
      <c r="M4" s="371" t="s">
        <v>851</v>
      </c>
      <c r="O4" s="370" t="s">
        <v>1061</v>
      </c>
      <c r="P4" s="371" t="s">
        <v>1059</v>
      </c>
      <c r="Q4" s="371" t="s">
        <v>1060</v>
      </c>
      <c r="R4" s="371" t="s">
        <v>1057</v>
      </c>
    </row>
    <row r="5" spans="1:18">
      <c r="A5" s="271"/>
      <c r="B5">
        <v>1</v>
      </c>
      <c r="C5" s="271">
        <f>B5*$G$2^2</f>
        <v>9</v>
      </c>
      <c r="D5">
        <f>E5</f>
        <v>0.3</v>
      </c>
      <c r="E5">
        <v>0.3</v>
      </c>
      <c r="F5">
        <v>0.4</v>
      </c>
      <c r="G5">
        <v>0.7</v>
      </c>
      <c r="H5" s="271">
        <f>E5*(1-F5)</f>
        <v>0.18</v>
      </c>
      <c r="I5" s="271">
        <f>G5*$K$2</f>
        <v>2940</v>
      </c>
      <c r="J5">
        <f>I5/C5</f>
        <v>326.66666666666669</v>
      </c>
      <c r="K5" s="9">
        <f>J5/H5</f>
        <v>1814.814814814815</v>
      </c>
      <c r="L5" s="271">
        <f>1/SQRT(3.14*K5)</f>
        <v>1.3247045195869984E-2</v>
      </c>
      <c r="M5">
        <f>(2*3.14*J5)/LN(L5/$M$2)</f>
        <v>586.12240544079668</v>
      </c>
      <c r="O5">
        <f>M5*$G$21*$P$2</f>
        <v>990546.86519494629</v>
      </c>
      <c r="P5">
        <f>O5*$Q$21^$H$21</f>
        <v>666724.41915822646</v>
      </c>
      <c r="Q5">
        <f>(1-(1-$Q$21^(1/$I$21))^$I$21)^2</f>
        <v>1.6267016946672014E-5</v>
      </c>
      <c r="R5">
        <f>Q5*P5</f>
        <v>10.845617425206925</v>
      </c>
    </row>
    <row r="6" spans="1:18">
      <c r="A6" s="271"/>
      <c r="B6">
        <v>1</v>
      </c>
      <c r="C6" s="271">
        <f>B6*$G$2^2</f>
        <v>9</v>
      </c>
      <c r="D6">
        <f>E6+D5</f>
        <v>1</v>
      </c>
      <c r="E6">
        <v>0.7</v>
      </c>
      <c r="F6">
        <v>0.8</v>
      </c>
      <c r="G6">
        <v>0.2</v>
      </c>
      <c r="H6" s="271">
        <f>E6*(1-F6)</f>
        <v>0.13999999999999996</v>
      </c>
      <c r="I6" s="271">
        <f>G6*$K$2</f>
        <v>840</v>
      </c>
      <c r="J6" s="271">
        <f>I6/C6</f>
        <v>93.333333333333329</v>
      </c>
      <c r="K6" s="9">
        <f>J6/H6</f>
        <v>666.66666666666686</v>
      </c>
      <c r="L6" s="271">
        <f>1/SQRT(3.14*K6)</f>
        <v>2.18565094735968E-2</v>
      </c>
      <c r="M6" s="271">
        <f>(2*3.14*J6)/LN(L6/$M$2)</f>
        <v>146.50441609173501</v>
      </c>
      <c r="O6" s="271">
        <f>M6*$G$21*$P$2</f>
        <v>247592.46319503218</v>
      </c>
      <c r="P6" s="271">
        <f>O6*$Q$21^$H$21</f>
        <v>166651.31859175014</v>
      </c>
      <c r="Q6" s="271">
        <f>(1-(1-$Q$21^(1/$I$21))^$I$21)^2</f>
        <v>1.6267016946672014E-5</v>
      </c>
      <c r="R6" s="271">
        <f>Q6*P6</f>
        <v>2.7109198237172363</v>
      </c>
    </row>
    <row r="7" spans="1:18">
      <c r="A7" s="271"/>
      <c r="B7">
        <v>1</v>
      </c>
      <c r="C7" s="271">
        <f>B7*$G$2^2</f>
        <v>9</v>
      </c>
      <c r="D7" s="271">
        <f>E7+D6</f>
        <v>4</v>
      </c>
      <c r="E7">
        <v>3</v>
      </c>
      <c r="F7">
        <v>0.9</v>
      </c>
      <c r="G7">
        <v>0.1</v>
      </c>
      <c r="H7" s="271">
        <f>E7*(1-F7)</f>
        <v>0.29999999999999993</v>
      </c>
      <c r="I7" s="271">
        <f>G7*$K$2</f>
        <v>420</v>
      </c>
      <c r="J7" s="271">
        <f>I7/C7</f>
        <v>46.666666666666664</v>
      </c>
      <c r="K7" s="9">
        <f>J7/H7</f>
        <v>155.55555555555557</v>
      </c>
      <c r="L7" s="271">
        <f>1/SQRT(3.14*K7)</f>
        <v>4.5247273305507117E-2</v>
      </c>
      <c r="M7" s="271">
        <f>(2*3.14*J7)/LN(L7/$M$2)</f>
        <v>61.979657506041946</v>
      </c>
      <c r="O7" s="271">
        <f>M7*$G$21*$P$2</f>
        <v>104745.62118521088</v>
      </c>
      <c r="P7" s="271">
        <f>O7*$Q$21^$H$21</f>
        <v>70502.937213710786</v>
      </c>
      <c r="Q7" s="271">
        <f>(1-(1-$Q$21^(1/$I$21))^$I$21)^2</f>
        <v>1.6267016946672014E-5</v>
      </c>
      <c r="R7" s="271">
        <f>Q7*P7</f>
        <v>1.1468724744455863</v>
      </c>
    </row>
    <row r="8" spans="1:18">
      <c r="O8" s="271"/>
    </row>
    <row r="9" spans="1:18">
      <c r="A9" s="271"/>
      <c r="B9">
        <f>AVERAGE(B5:B7)</f>
        <v>1</v>
      </c>
      <c r="C9" s="271">
        <f>B9*$G$2^2</f>
        <v>9</v>
      </c>
      <c r="H9" s="271">
        <f>SUM(H5:H7)</f>
        <v>0.61999999999999988</v>
      </c>
      <c r="I9" s="271">
        <f>SUM(I5:I7)</f>
        <v>4200</v>
      </c>
      <c r="J9">
        <f>I9/C9</f>
        <v>466.66666666666669</v>
      </c>
      <c r="K9">
        <f>J9/H9</f>
        <v>752.68817204301092</v>
      </c>
      <c r="L9" s="271">
        <f>1/SQRT(3.14*K9)</f>
        <v>2.0569684487789463E-2</v>
      </c>
      <c r="M9" s="271">
        <f>(2*3.14*J9)/LN(L9/$M$2)</f>
        <v>743.80343146589348</v>
      </c>
      <c r="O9" s="271">
        <f>M9*$G$21*$P$2</f>
        <v>1257027.7991773598</v>
      </c>
      <c r="P9" s="271">
        <f>O9*$Q$21^$H$21</f>
        <v>846089.32572546881</v>
      </c>
      <c r="Q9" s="271">
        <f>(1-(1-$Q$21^(1/$I$21))^$I$21)^2</f>
        <v>1.6267016946672014E-5</v>
      </c>
      <c r="R9" s="271">
        <f>Q9*P9</f>
        <v>13.763349399974498</v>
      </c>
    </row>
    <row r="19" spans="2:20">
      <c r="Q19" t="s">
        <v>1062</v>
      </c>
      <c r="R19">
        <v>0</v>
      </c>
    </row>
    <row r="20" spans="2:20" ht="19">
      <c r="B20" s="289" t="s">
        <v>884</v>
      </c>
      <c r="C20" s="298" t="s">
        <v>910</v>
      </c>
      <c r="D20" s="299" t="s">
        <v>911</v>
      </c>
      <c r="E20" s="299" t="s">
        <v>885</v>
      </c>
      <c r="F20" s="299" t="s">
        <v>153</v>
      </c>
      <c r="G20" s="300" t="s">
        <v>1050</v>
      </c>
      <c r="H20" s="301" t="s">
        <v>887</v>
      </c>
      <c r="I20" s="299" t="s">
        <v>155</v>
      </c>
      <c r="J20" s="303" t="s">
        <v>912</v>
      </c>
      <c r="K20" s="303" t="s">
        <v>913</v>
      </c>
      <c r="L20" s="302" t="s">
        <v>914</v>
      </c>
      <c r="M20" s="302" t="s">
        <v>916</v>
      </c>
      <c r="N20" s="302" t="s">
        <v>915</v>
      </c>
      <c r="O20" s="302" t="s">
        <v>1056</v>
      </c>
      <c r="P20" s="374" t="s">
        <v>917</v>
      </c>
      <c r="Q20" s="302" t="s">
        <v>1051</v>
      </c>
      <c r="R20" s="339"/>
    </row>
    <row r="21" spans="2:20">
      <c r="B21" s="19" t="s">
        <v>889</v>
      </c>
      <c r="C21" s="294">
        <v>0.45900000000000002</v>
      </c>
      <c r="D21" s="294">
        <v>9.8000000000000004E-2</v>
      </c>
      <c r="E21" s="294">
        <v>1.4999999999999999E-2</v>
      </c>
      <c r="F21" s="294">
        <v>1.2529999999999999</v>
      </c>
      <c r="G21" s="294">
        <v>1.69</v>
      </c>
      <c r="H21" s="294">
        <v>0.5</v>
      </c>
      <c r="I21" s="19">
        <f>1-1/F21</f>
        <v>0.20191540303272137</v>
      </c>
      <c r="J21" s="295">
        <f>D21+(C21-D21)/(1+(E21*0.033*1000)^F21)^(1-1/F21)</f>
        <v>0.43459607283777124</v>
      </c>
      <c r="K21" s="295">
        <f>D21+(C21-D21)/(1+(E21*1.5*1000)^F21)^(1-1/F21)</f>
        <v>0.26154974431586242</v>
      </c>
      <c r="L21" s="296">
        <f>(C21-D21)*Soil_Depth*1000</f>
        <v>149.81499999999997</v>
      </c>
      <c r="M21" s="296">
        <f>(J21-D21)*Soil_Depth*1000</f>
        <v>139.68737022767507</v>
      </c>
      <c r="N21" s="19">
        <f>(J21-D21)/(C21-D21)</f>
        <v>0.93239909373343843</v>
      </c>
      <c r="O21" s="19">
        <f>(K21-D21)/(C21-D21)</f>
        <v>0.45304638314643331</v>
      </c>
      <c r="P21" s="375">
        <f>(J21-K21)*Soil_Depth*1000</f>
        <v>71.814226336592156</v>
      </c>
      <c r="Q21" s="19">
        <f>IF(R19=1,N21,O21)</f>
        <v>0.45304638314643331</v>
      </c>
      <c r="R21" s="339"/>
    </row>
    <row r="22" spans="2:20">
      <c r="Q22" s="339"/>
      <c r="R22" s="339"/>
      <c r="T22" s="271"/>
    </row>
    <row r="23" spans="2:20">
      <c r="Q23" s="339"/>
      <c r="R23" s="339"/>
    </row>
    <row r="24" spans="2:20">
      <c r="B24" s="19" t="s">
        <v>888</v>
      </c>
      <c r="C24" s="294">
        <v>0.375</v>
      </c>
      <c r="D24" s="294">
        <v>5.2999999999999999E-2</v>
      </c>
      <c r="E24" s="294">
        <v>3.5200000000000002E-2</v>
      </c>
      <c r="F24" s="294">
        <v>3.177</v>
      </c>
      <c r="G24" s="294">
        <v>130.80000000000001</v>
      </c>
      <c r="H24" s="294">
        <v>0.5</v>
      </c>
      <c r="I24" s="19">
        <f>1-1/F24</f>
        <v>0.68523764557758893</v>
      </c>
      <c r="J24" s="295">
        <f>D24+(C24-D24)/(1+(E24*0.033*1000)^F24)^(1-1/F24)</f>
        <v>0.21988516311378159</v>
      </c>
      <c r="K24" s="295">
        <f>D24+(C24-D24)/(1+(E24*1.5*1000)^F24)^(1-1/F24)</f>
        <v>5.3057237521603892E-2</v>
      </c>
      <c r="L24" s="296">
        <f>(C24-D24)*Soil_Depth*1000</f>
        <v>133.63</v>
      </c>
      <c r="M24" s="296">
        <f>(J24-D24)*Soil_Depth*1000</f>
        <v>69.257342692219368</v>
      </c>
      <c r="N24" s="19">
        <f>(J24-D24)/(C24-D24)</f>
        <v>0.5182769040800671</v>
      </c>
      <c r="O24" s="19">
        <f>(K24-D24)/(C24-D24)</f>
        <v>1.7775627827296172E-4</v>
      </c>
      <c r="P24" s="375">
        <f>(J24-K24)*Soil_Depth*1000</f>
        <v>69.233589120753734</v>
      </c>
      <c r="Q24" s="19">
        <v>0.4</v>
      </c>
      <c r="R24" s="339"/>
    </row>
    <row r="25" spans="2:20">
      <c r="B25" s="19" t="s">
        <v>889</v>
      </c>
      <c r="C25" s="294">
        <v>0.45900000000000002</v>
      </c>
      <c r="D25" s="294">
        <v>9.8000000000000004E-2</v>
      </c>
      <c r="E25" s="294">
        <v>1.4999999999999999E-2</v>
      </c>
      <c r="F25" s="294">
        <v>1.2529999999999999</v>
      </c>
      <c r="G25" s="294">
        <v>1.69</v>
      </c>
      <c r="H25" s="294">
        <v>0.5</v>
      </c>
      <c r="I25" s="19">
        <f>1-1/F25</f>
        <v>0.20191540303272137</v>
      </c>
      <c r="J25" s="295">
        <f>D25+(C25-D25)/(1+(E25*0.033*1000)^F25)^(1-1/F25)</f>
        <v>0.43459607283777124</v>
      </c>
      <c r="K25" s="295">
        <f>D25+(C25-D25)/(1+(E25*1.5*1000)^F25)^(1-1/F25)</f>
        <v>0.26154974431586242</v>
      </c>
      <c r="L25" s="296">
        <f>(C25-D25)*Soil_Depth*1000</f>
        <v>149.81499999999997</v>
      </c>
      <c r="M25" s="296">
        <f>(J25-D25)*Soil_Depth*1000</f>
        <v>139.68737022767507</v>
      </c>
      <c r="N25" s="19">
        <f>(J25-D25)/(C25-D25)</f>
        <v>0.93239909373343843</v>
      </c>
      <c r="O25" s="19">
        <f>(K25-D25)/(C25-D25)</f>
        <v>0.45304638314643331</v>
      </c>
      <c r="P25" s="375">
        <f>(J25-K25)*Soil_Depth*1000</f>
        <v>71.814226336592156</v>
      </c>
      <c r="Q25" s="19">
        <v>1</v>
      </c>
      <c r="R25" s="339"/>
    </row>
    <row r="26" spans="2:20">
      <c r="B26" s="19" t="s">
        <v>890</v>
      </c>
      <c r="C26" s="297">
        <v>0.39900000000000002</v>
      </c>
      <c r="D26" s="297">
        <v>6.0999999999999999E-2</v>
      </c>
      <c r="E26" s="297">
        <v>1.11E-2</v>
      </c>
      <c r="F26" s="297">
        <v>1.472</v>
      </c>
      <c r="G26" s="297">
        <v>12.7</v>
      </c>
      <c r="H26" s="297">
        <v>0.5</v>
      </c>
      <c r="I26" s="19">
        <f>1-1/F26</f>
        <v>0.32065217391304346</v>
      </c>
      <c r="J26" s="295">
        <f>D26+(C26-D26)/(1+(E26*0.033*1000)^F26)^(1-1/F26)</f>
        <v>0.37745581437094511</v>
      </c>
      <c r="K26" s="295">
        <f>D26+(C26-D26)/(1+(E26*1.5*1000)^F26)^(1-1/F26)</f>
        <v>0.15016799139796325</v>
      </c>
      <c r="L26" s="296">
        <f>(C26-D26)*Soil_Depth*1000</f>
        <v>140.27000000000001</v>
      </c>
      <c r="M26" s="296">
        <f>(J26-D26)*Soil_Depth*1000</f>
        <v>131.3291629639422</v>
      </c>
      <c r="N26" s="19">
        <f>(J26-D26)/(C26-D26)</f>
        <v>0.9362598058311985</v>
      </c>
      <c r="O26" s="19">
        <f>(K26-D26)/(C26-D26)</f>
        <v>0.26381062543776107</v>
      </c>
      <c r="P26" s="375">
        <f>(J26-K26)*Soil_Depth*1000</f>
        <v>94.324446533787466</v>
      </c>
      <c r="Q26" s="19">
        <v>1</v>
      </c>
      <c r="R26" s="339"/>
    </row>
    <row r="27" spans="2:20">
      <c r="B27" s="19" t="s">
        <v>891</v>
      </c>
      <c r="C27" s="297">
        <v>0.39</v>
      </c>
      <c r="D27" s="297">
        <v>4.9000000000000002E-2</v>
      </c>
      <c r="E27" s="297">
        <v>3.4799999999999998E-2</v>
      </c>
      <c r="F27" s="297">
        <v>1.746</v>
      </c>
      <c r="G27" s="297">
        <v>4.383</v>
      </c>
      <c r="H27" s="297">
        <v>0.5</v>
      </c>
      <c r="I27" s="19">
        <f>1-1/F27</f>
        <v>0.42726231386025204</v>
      </c>
      <c r="J27" s="295">
        <f>D27+(C27-D27)/(1+(E27*0.033*1000)^F27)^(1-1/F27)</f>
        <v>0.28908792270404382</v>
      </c>
      <c r="K27" s="295">
        <f>D27+(C27-D27)/(1+(E27*1.5*1000)^F27)^(1-1/F27)</f>
        <v>6.6831435789129423E-2</v>
      </c>
      <c r="L27" s="296">
        <f>(C27-D27)*Soil_Depth*1000</f>
        <v>141.51500000000001</v>
      </c>
      <c r="M27" s="296">
        <f>(J27-D27)*Soil_Depth*1000</f>
        <v>99.636487922178191</v>
      </c>
      <c r="N27" s="19">
        <f>(J27-D27)/(C27-D27)</f>
        <v>0.70407015455731325</v>
      </c>
      <c r="O27" s="19">
        <f>(K27-D27)/(C27-D27)</f>
        <v>5.229160055463173E-2</v>
      </c>
      <c r="P27" s="375">
        <f>(J27-K27)*Soil_Depth*1000</f>
        <v>92.23644206968946</v>
      </c>
      <c r="Q27" s="19">
        <v>1</v>
      </c>
      <c r="R27" s="339"/>
    </row>
    <row r="28" spans="2:20">
      <c r="B28" s="271"/>
      <c r="D28" s="271"/>
      <c r="E28" s="271"/>
      <c r="F28" s="271"/>
      <c r="G28" s="271"/>
      <c r="J28" s="271"/>
      <c r="K28" s="271"/>
      <c r="L28" s="271"/>
      <c r="M28" s="271"/>
      <c r="P28" s="271"/>
      <c r="Q28" s="271"/>
      <c r="R28" s="271"/>
    </row>
    <row r="29" spans="2:20">
      <c r="B29" s="271"/>
      <c r="D29" s="271"/>
      <c r="E29" s="271"/>
      <c r="F29" s="271"/>
      <c r="G29" s="271"/>
      <c r="J29" s="271"/>
      <c r="K29" s="271"/>
      <c r="L29" s="271"/>
      <c r="M29" s="271"/>
      <c r="N29" s="378" t="s">
        <v>1055</v>
      </c>
      <c r="O29" s="379"/>
      <c r="P29" s="271"/>
      <c r="Q29" s="271"/>
      <c r="R29" s="271"/>
    </row>
    <row r="30" spans="2:20">
      <c r="B30" s="271"/>
      <c r="D30" s="271"/>
      <c r="E30" s="271"/>
      <c r="F30" s="271"/>
      <c r="G30" s="271"/>
      <c r="J30" s="271"/>
      <c r="K30" s="271"/>
      <c r="L30" s="271"/>
      <c r="M30" s="271"/>
      <c r="N30" s="372" t="s">
        <v>5</v>
      </c>
      <c r="O30" s="373">
        <v>2.9999999999999997E-4</v>
      </c>
      <c r="P30" s="271"/>
      <c r="Q30" s="271"/>
      <c r="R30" s="271"/>
    </row>
    <row r="31" spans="2:20">
      <c r="B31" s="271"/>
      <c r="D31" s="271"/>
      <c r="E31" s="271"/>
      <c r="F31" s="271"/>
      <c r="G31" s="271"/>
      <c r="J31" s="271"/>
      <c r="K31" s="271"/>
      <c r="L31" s="271"/>
      <c r="M31" s="271"/>
      <c r="N31" s="372" t="s">
        <v>6</v>
      </c>
      <c r="O31" s="372">
        <v>1.7</v>
      </c>
      <c r="P31" s="271"/>
      <c r="Q31" s="271"/>
      <c r="R31" s="271"/>
    </row>
    <row r="32" spans="2:20">
      <c r="B32" s="271"/>
      <c r="D32" s="271"/>
      <c r="E32" s="271"/>
      <c r="F32" s="271"/>
      <c r="G32" s="271"/>
      <c r="J32" s="271"/>
      <c r="K32" s="271"/>
      <c r="L32" s="271"/>
      <c r="M32" s="271"/>
      <c r="N32" s="372" t="s">
        <v>887</v>
      </c>
      <c r="O32" s="372">
        <v>0.5</v>
      </c>
      <c r="P32" s="271"/>
      <c r="Q32" s="271"/>
      <c r="R32" s="271"/>
    </row>
    <row r="33" spans="1:18">
      <c r="B33" s="271"/>
      <c r="D33" s="271"/>
      <c r="E33" s="271"/>
      <c r="F33" s="271"/>
      <c r="G33" s="271"/>
      <c r="J33" s="271"/>
      <c r="K33" s="271"/>
      <c r="L33" s="271"/>
      <c r="M33" s="271"/>
      <c r="N33" s="372" t="s">
        <v>1053</v>
      </c>
      <c r="O33" s="372">
        <v>0.09</v>
      </c>
      <c r="P33" s="271"/>
      <c r="Q33" s="271"/>
      <c r="R33" s="271"/>
    </row>
    <row r="34" spans="1:18">
      <c r="N34" s="372" t="s">
        <v>1054</v>
      </c>
      <c r="O34" s="372">
        <v>0.37</v>
      </c>
    </row>
    <row r="36" spans="1:18">
      <c r="A36" s="377" t="s">
        <v>1058</v>
      </c>
      <c r="B36" s="377"/>
      <c r="C36" s="377"/>
      <c r="D36" s="377"/>
      <c r="E36" s="377"/>
      <c r="F36" s="377"/>
      <c r="G36" s="377"/>
      <c r="H36" s="377"/>
      <c r="I36" s="377"/>
      <c r="J36" s="377"/>
      <c r="K36" s="377"/>
      <c r="L36" s="377"/>
      <c r="M36" s="377"/>
      <c r="N36" s="377"/>
    </row>
  </sheetData>
  <mergeCells count="2">
    <mergeCell ref="A36:N36"/>
    <mergeCell ref="N29:O29"/>
  </mergeCell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FN31"/>
  <sheetViews>
    <sheetView zoomScale="150" workbookViewId="0">
      <selection activeCell="DJ24" sqref="DJ24"/>
    </sheetView>
  </sheetViews>
  <sheetFormatPr baseColWidth="10" defaultRowHeight="16"/>
  <sheetData>
    <row r="1" spans="1:107">
      <c r="A1" s="90"/>
      <c r="J1" s="119"/>
      <c r="BJ1" s="59"/>
      <c r="BK1" s="59"/>
      <c r="BL1" s="59"/>
      <c r="BM1" s="59"/>
    </row>
    <row r="2" spans="1:107" ht="19">
      <c r="A2" s="90"/>
      <c r="B2" s="76" t="s">
        <v>72</v>
      </c>
      <c r="C2" s="23" t="s">
        <v>131</v>
      </c>
      <c r="D2" s="47"/>
      <c r="F2" t="s">
        <v>191</v>
      </c>
      <c r="G2" t="s">
        <v>192</v>
      </c>
      <c r="H2" t="s">
        <v>195</v>
      </c>
      <c r="J2" s="109" t="s">
        <v>171</v>
      </c>
      <c r="K2" s="94">
        <f>CO26*AK26</f>
        <v>3.5</v>
      </c>
      <c r="M2" s="1"/>
      <c r="N2" s="1"/>
      <c r="O2" s="1"/>
      <c r="P2" s="1"/>
      <c r="Q2" s="1"/>
      <c r="R2" s="1"/>
      <c r="S2" s="1"/>
      <c r="U2" s="380"/>
      <c r="V2" s="380"/>
      <c r="W2" s="380"/>
      <c r="X2" s="380"/>
      <c r="Y2" s="380"/>
      <c r="Z2" s="380"/>
      <c r="AA2" s="380"/>
      <c r="AB2" s="380"/>
      <c r="AC2" s="380"/>
      <c r="AD2" s="380"/>
      <c r="AE2" s="380"/>
      <c r="AF2" s="119"/>
      <c r="AG2" s="119"/>
      <c r="AH2" s="119"/>
      <c r="AI2" s="119"/>
      <c r="AJ2" s="119"/>
      <c r="AK2" s="119"/>
      <c r="AL2" s="119"/>
    </row>
    <row r="3" spans="1:107">
      <c r="A3" s="90"/>
      <c r="B3" s="19" t="s">
        <v>16</v>
      </c>
      <c r="C3" s="86">
        <f>AK26</f>
        <v>0.5</v>
      </c>
      <c r="D3" s="46"/>
      <c r="E3" s="15" t="s">
        <v>147</v>
      </c>
      <c r="F3" s="107">
        <f>AO26/1000*(1-AP26)*AK26</f>
        <v>3.7500000000000006E-2</v>
      </c>
      <c r="G3" s="90">
        <f t="shared" ref="G3:G10" si="0">F3*1000000/18</f>
        <v>2083.3333333333339</v>
      </c>
      <c r="H3" s="4">
        <f>F3*1000</f>
        <v>37.500000000000007</v>
      </c>
      <c r="J3" s="109" t="s">
        <v>172</v>
      </c>
      <c r="K3" s="94">
        <f>CK26*AK26</f>
        <v>7.5</v>
      </c>
      <c r="M3" s="1"/>
      <c r="N3" s="1"/>
      <c r="O3" s="1"/>
      <c r="P3" s="1"/>
      <c r="Q3" s="1"/>
      <c r="R3" s="1"/>
      <c r="S3" s="1"/>
      <c r="U3" s="120" t="str">
        <f>IF(B26=1,"First simul Turgor_Ref is used for all following simul","Compute Turgor_Ref for each simul")</f>
        <v>Compute Turgor_Ref for each simul</v>
      </c>
      <c r="V3" s="120"/>
      <c r="W3" s="120"/>
      <c r="X3" s="77"/>
      <c r="Y3" s="77"/>
      <c r="Z3" s="78"/>
      <c r="AA3" s="78"/>
      <c r="AB3" s="78"/>
      <c r="AC3" s="78"/>
      <c r="AD3" s="78"/>
      <c r="AE3" s="79"/>
      <c r="AF3" s="119"/>
      <c r="AG3" s="119"/>
      <c r="AH3" s="119"/>
      <c r="AI3" s="119"/>
      <c r="AJ3" s="119"/>
      <c r="AK3" s="119"/>
      <c r="AL3" s="119"/>
    </row>
    <row r="4" spans="1:107">
      <c r="A4" s="90"/>
      <c r="B4" s="19" t="s">
        <v>102</v>
      </c>
      <c r="C4" s="21">
        <f>BG26</f>
        <v>300</v>
      </c>
      <c r="D4" s="46"/>
      <c r="E4" s="15" t="s">
        <v>148</v>
      </c>
      <c r="F4" s="107">
        <f>AO26/1000*AP26*AK26</f>
        <v>1.2500000000000001E-2</v>
      </c>
      <c r="G4" s="90">
        <f t="shared" si="0"/>
        <v>694.44444444444446</v>
      </c>
      <c r="H4" s="4">
        <f t="shared" ref="H4:H10" si="1">F4*1000</f>
        <v>12.5</v>
      </c>
      <c r="J4" s="109" t="s">
        <v>179</v>
      </c>
      <c r="K4" s="46">
        <f>CP26*F14*AR26</f>
        <v>299.96757864</v>
      </c>
      <c r="L4" s="1">
        <f>10/K4</f>
        <v>3.3336936096021556E-2</v>
      </c>
      <c r="U4" s="381" t="str">
        <f>IF(C26=1,"Transient values are saved in a file", "Transient values are NOT saved")</f>
        <v>Transient values are saved in a file</v>
      </c>
      <c r="V4" s="382"/>
      <c r="W4" s="382"/>
      <c r="X4" s="382"/>
      <c r="Y4" s="382"/>
      <c r="Z4" s="382"/>
      <c r="AA4" s="382"/>
      <c r="AB4" s="382"/>
      <c r="AC4" s="382"/>
      <c r="AD4" s="382"/>
      <c r="AE4" s="382"/>
      <c r="AF4" s="119"/>
      <c r="AG4" s="119"/>
      <c r="AH4" s="119"/>
      <c r="AI4" s="119"/>
      <c r="AJ4" s="119"/>
      <c r="AK4" s="119"/>
      <c r="AL4" s="119"/>
    </row>
    <row r="5" spans="1:107">
      <c r="A5" s="90"/>
      <c r="B5" s="19" t="s">
        <v>103</v>
      </c>
      <c r="C5" s="21">
        <f>BJ26</f>
        <v>2</v>
      </c>
      <c r="D5" s="46"/>
      <c r="E5" s="15" t="s">
        <v>185</v>
      </c>
      <c r="F5" s="85">
        <f>AR26*AS26*AT26*AT26*3.14/4*AV26*1000</f>
        <v>3.4996217507999992E-2</v>
      </c>
      <c r="G5" s="90">
        <f t="shared" si="0"/>
        <v>1944.2343059999996</v>
      </c>
      <c r="H5" s="4">
        <f t="shared" si="1"/>
        <v>34.996217507999994</v>
      </c>
      <c r="J5" s="109" t="s">
        <v>180</v>
      </c>
      <c r="K5" s="46">
        <f>CL26*AR26/AS26*AT26*AT26*3.1416/4</f>
        <v>555.77857104000009</v>
      </c>
      <c r="L5" s="1"/>
      <c r="U5" s="383" t="str">
        <f>IF(EA26=0,"Plants are isolated","Plants are connected")</f>
        <v>Plants are isolated</v>
      </c>
      <c r="V5" s="384"/>
      <c r="W5" s="384"/>
      <c r="X5" s="384"/>
      <c r="Y5" s="384"/>
      <c r="Z5" s="384"/>
      <c r="AA5" s="384"/>
      <c r="AB5" s="384"/>
      <c r="AC5" s="384"/>
      <c r="AD5" s="384"/>
      <c r="AE5" s="384"/>
      <c r="AF5" s="119"/>
      <c r="AG5" s="119"/>
      <c r="AH5" s="119"/>
      <c r="AI5" s="119"/>
      <c r="AJ5" s="119"/>
      <c r="AK5" s="119"/>
      <c r="AL5" s="119"/>
    </row>
    <row r="6" spans="1:107">
      <c r="A6" s="90"/>
      <c r="B6" s="19" t="s">
        <v>74</v>
      </c>
      <c r="C6" s="21">
        <f>BX26*1000</f>
        <v>50</v>
      </c>
      <c r="D6" s="46"/>
      <c r="E6" s="15" t="s">
        <v>186</v>
      </c>
      <c r="F6" s="85">
        <f>AR26*AS26*AT26*AT26*3.14/4*AU26*1000</f>
        <v>1.9997838575999998E-2</v>
      </c>
      <c r="G6" s="90">
        <f t="shared" si="0"/>
        <v>1110.9910319999999</v>
      </c>
      <c r="H6" s="4">
        <f t="shared" si="1"/>
        <v>19.997838575999999</v>
      </c>
      <c r="J6" s="109" t="s">
        <v>173</v>
      </c>
      <c r="K6" s="4">
        <f>F15*CQ26</f>
        <v>10.022879999999999</v>
      </c>
      <c r="L6" s="1">
        <f>10/K6</f>
        <v>0.99771722299379029</v>
      </c>
      <c r="U6" s="383" t="str">
        <f>IF(I26=0,"run until death", "run limited in time")</f>
        <v>run until death</v>
      </c>
      <c r="V6" s="384"/>
      <c r="W6" s="384"/>
      <c r="X6" s="384"/>
      <c r="Y6" s="384"/>
      <c r="Z6" s="384"/>
      <c r="AA6" s="384"/>
      <c r="AB6" s="384"/>
      <c r="AC6" s="384"/>
      <c r="AD6" s="384"/>
      <c r="AE6" s="384"/>
      <c r="AF6" s="119"/>
      <c r="AG6" s="119"/>
      <c r="AH6" s="119"/>
      <c r="AI6" s="119"/>
      <c r="AJ6" s="119"/>
      <c r="AK6" s="119"/>
      <c r="AL6" s="119"/>
    </row>
    <row r="7" spans="1:107">
      <c r="A7" s="90"/>
      <c r="B7" s="19" t="s">
        <v>114</v>
      </c>
      <c r="C7" s="21">
        <f>BX26*AD26*1000</f>
        <v>22.950000000000003</v>
      </c>
      <c r="D7" s="46"/>
      <c r="E7" s="15" t="s">
        <v>187</v>
      </c>
      <c r="F7">
        <f>AX26*AY26*AY26*3.14/4*BA26*1000</f>
        <v>6.9984759599999974E-2</v>
      </c>
      <c r="G7" s="90">
        <f t="shared" si="0"/>
        <v>3888.0421999999985</v>
      </c>
      <c r="H7" s="4">
        <f t="shared" si="1"/>
        <v>69.984759599999975</v>
      </c>
      <c r="J7" s="109" t="s">
        <v>174</v>
      </c>
      <c r="K7" s="46">
        <f>CM26*F11/AX26</f>
        <v>149.96734199999997</v>
      </c>
      <c r="U7" s="383" t="str">
        <f>IF(E26=1,"Transpiration is constant during the day","Transpiration is variable during the day")</f>
        <v>Transpiration is variable during the day</v>
      </c>
      <c r="V7" s="384"/>
      <c r="W7" s="384"/>
      <c r="X7" s="384"/>
      <c r="Y7" s="384"/>
      <c r="Z7" s="384"/>
      <c r="AA7" s="384"/>
      <c r="AB7" s="384"/>
      <c r="AC7" s="384"/>
      <c r="AD7" s="384"/>
      <c r="AE7" s="384"/>
      <c r="AF7" s="119"/>
      <c r="AG7" s="119"/>
      <c r="AH7" s="119"/>
      <c r="AI7" s="119"/>
      <c r="AJ7" s="119"/>
      <c r="AK7" s="119"/>
      <c r="AL7" s="119"/>
    </row>
    <row r="8" spans="1:107">
      <c r="A8" s="90"/>
      <c r="B8" s="19" t="s">
        <v>115</v>
      </c>
      <c r="C8" s="21">
        <f>(AD26-AE26)*BX26*1000</f>
        <v>18.05</v>
      </c>
      <c r="D8" s="46"/>
      <c r="E8" s="15" t="s">
        <v>188</v>
      </c>
      <c r="F8">
        <f>AX26*AY26*AY26*3.14/4*AZ26*1000*(2-BB26)*BB26</f>
        <v>2.9993468399999994E-2</v>
      </c>
      <c r="G8" s="90">
        <f t="shared" si="0"/>
        <v>1666.3037999999997</v>
      </c>
      <c r="H8" s="4">
        <f t="shared" si="1"/>
        <v>29.993468399999994</v>
      </c>
      <c r="J8" s="109" t="s">
        <v>175</v>
      </c>
      <c r="K8" s="4">
        <f>CR26*F16</f>
        <v>10.022880000000001</v>
      </c>
      <c r="U8" s="376"/>
      <c r="V8" s="376"/>
      <c r="W8" s="376"/>
      <c r="X8" s="376"/>
      <c r="Y8" s="376"/>
      <c r="Z8" s="376"/>
      <c r="AA8" s="376"/>
      <c r="AB8" s="376"/>
      <c r="AC8" s="376"/>
      <c r="AD8" s="376"/>
      <c r="AE8" s="376"/>
      <c r="AF8" s="119"/>
      <c r="AG8" s="119"/>
      <c r="AH8" s="119"/>
      <c r="AI8" s="119"/>
      <c r="AJ8" s="119"/>
      <c r="AK8" s="119"/>
      <c r="AL8" s="119"/>
      <c r="BS8" s="53"/>
    </row>
    <row r="9" spans="1:107">
      <c r="A9" s="90"/>
      <c r="B9" s="19" t="s">
        <v>75</v>
      </c>
      <c r="C9" s="21">
        <f>CS26</f>
        <v>-2</v>
      </c>
      <c r="D9" s="46"/>
      <c r="E9" s="15" t="s">
        <v>189</v>
      </c>
      <c r="F9">
        <f>BC26*BD26*BD26*3.14*BF26*3*1000/4</f>
        <v>2.3328253199999999E-2</v>
      </c>
      <c r="G9" s="90">
        <f t="shared" si="0"/>
        <v>1296.0140666666666</v>
      </c>
      <c r="H9" s="4">
        <f t="shared" si="1"/>
        <v>23.328253199999999</v>
      </c>
      <c r="J9" s="109" t="s">
        <v>176</v>
      </c>
      <c r="K9" s="46">
        <f>CN26/BC26*BD26*BD26*3.1416/4*3</f>
        <v>100.02917232000001</v>
      </c>
      <c r="U9" s="119"/>
      <c r="AF9" s="119"/>
      <c r="AG9" s="119"/>
      <c r="AH9" s="119"/>
      <c r="AI9" s="119"/>
      <c r="AJ9" s="119"/>
      <c r="AK9" s="119"/>
      <c r="AL9" s="119"/>
      <c r="BS9" s="53"/>
    </row>
    <row r="10" spans="1:107">
      <c r="A10" s="90"/>
      <c r="B10" s="19" t="s">
        <v>73</v>
      </c>
      <c r="C10" s="21">
        <f>CS26+50/CW26</f>
        <v>-1.75</v>
      </c>
      <c r="D10" s="46"/>
      <c r="E10" s="15" t="s">
        <v>190</v>
      </c>
      <c r="F10">
        <f>BC26*BD26*BD26*3.14*BE26*1000*3/4</f>
        <v>1.3330430400000001E-2</v>
      </c>
      <c r="G10" s="90">
        <f t="shared" si="0"/>
        <v>740.57946666666669</v>
      </c>
      <c r="H10" s="4">
        <f t="shared" si="1"/>
        <v>13.330430400000001</v>
      </c>
      <c r="J10" s="119"/>
      <c r="BS10" s="53"/>
    </row>
    <row r="11" spans="1:107">
      <c r="A11" s="90"/>
      <c r="B11" s="19" t="s">
        <v>129</v>
      </c>
      <c r="C11" s="21">
        <f>C9+25/(CW26)*LN((100-S26)/S26)</f>
        <v>-1.631945127604195</v>
      </c>
      <c r="D11" s="46"/>
      <c r="E11" s="111" t="s">
        <v>194</v>
      </c>
      <c r="F11" s="1">
        <f xml:space="preserve"> 3.14*AY26*AY26*(2-BB26)*BB26/4</f>
        <v>1.4996734199999997E-4</v>
      </c>
      <c r="G11" s="90">
        <f>F11*10000</f>
        <v>1.4996734199999997</v>
      </c>
      <c r="J11" s="109" t="s">
        <v>181</v>
      </c>
      <c r="K11" s="106">
        <f>BT26*F4</f>
        <v>1.25E-4</v>
      </c>
      <c r="L11" s="1">
        <f>K11*1000000/18</f>
        <v>6.9444444444444446</v>
      </c>
      <c r="M11" s="1"/>
      <c r="N11" s="1"/>
      <c r="O11" s="1"/>
      <c r="P11" s="1"/>
      <c r="Q11" s="1"/>
      <c r="R11" s="1"/>
      <c r="S11" s="1"/>
      <c r="BS11" s="53"/>
    </row>
    <row r="12" spans="1:107">
      <c r="A12" s="90"/>
      <c r="B12" s="19" t="s">
        <v>89</v>
      </c>
      <c r="C12" s="21">
        <f>CT26</f>
        <v>-2</v>
      </c>
      <c r="D12" s="46"/>
      <c r="E12" s="15" t="s">
        <v>165</v>
      </c>
      <c r="F12" s="106">
        <f>AR26*AT26*AT26*3.14/4/AK26</f>
        <v>6.6659461920000004E-4</v>
      </c>
      <c r="H12" s="1"/>
      <c r="J12" s="109" t="s">
        <v>182</v>
      </c>
      <c r="K12" s="8">
        <f>BU26*AR26*AS26*AT26*AT26*3.14/4*AU26*1000</f>
        <v>1.9997838576000002E-4</v>
      </c>
      <c r="L12" s="1">
        <f>K12*1000000/18</f>
        <v>11.109910320000001</v>
      </c>
      <c r="M12" s="1"/>
      <c r="N12" s="1"/>
      <c r="O12" s="1"/>
      <c r="P12" s="1"/>
      <c r="Q12" s="1"/>
      <c r="R12" s="1"/>
      <c r="S12" s="1"/>
      <c r="U12" s="24" t="str">
        <f>IF(R26=0,"P12","P_tlp")</f>
        <v>P_tlp</v>
      </c>
      <c r="V12" s="48"/>
      <c r="BS12" s="53"/>
    </row>
    <row r="13" spans="1:107">
      <c r="A13" s="90"/>
      <c r="B13" s="19" t="s">
        <v>90</v>
      </c>
      <c r="C13" s="21">
        <f>CT26+50/CX26</f>
        <v>-1.75</v>
      </c>
      <c r="D13" s="46"/>
      <c r="E13" s="15" t="s">
        <v>170</v>
      </c>
      <c r="F13" s="1">
        <f>AY26*AY26*3.14/4/AK26</f>
        <v>3.9991291199999992E-4</v>
      </c>
      <c r="H13" s="1"/>
      <c r="J13" s="109" t="s">
        <v>183</v>
      </c>
      <c r="K13" s="106">
        <f>BV26*AX26*AY26*AY26*3.14/4*AZ26*1000*(2-BB26)*BB26</f>
        <v>2.99934684E-4</v>
      </c>
      <c r="L13" s="1">
        <f>K13*1000000/18</f>
        <v>16.663038</v>
      </c>
      <c r="M13" s="1"/>
      <c r="N13" s="1"/>
      <c r="O13" s="1"/>
      <c r="P13" s="1"/>
      <c r="Q13" s="1"/>
      <c r="R13" s="1"/>
      <c r="S13" s="1"/>
      <c r="U13" s="24" t="str">
        <f>IF(R27=0,"P12","P_tlp")</f>
        <v>P_tlp</v>
      </c>
      <c r="V13" s="48"/>
      <c r="BS13" s="53"/>
      <c r="DA13" s="61"/>
      <c r="DB13" s="61"/>
      <c r="DC13" s="61"/>
    </row>
    <row r="14" spans="1:107">
      <c r="A14" s="90"/>
      <c r="B14" s="19" t="s">
        <v>44</v>
      </c>
      <c r="C14" s="21">
        <f>CG26*CC26/(CC26+CG26)</f>
        <v>-1.2500771902740253</v>
      </c>
      <c r="D14" s="46"/>
      <c r="E14" s="109" t="s">
        <v>166</v>
      </c>
      <c r="F14" s="106">
        <f>AR26*AS26*AT26*3.14</f>
        <v>6.138072E-2</v>
      </c>
      <c r="H14" s="1"/>
      <c r="J14" s="110" t="s">
        <v>184</v>
      </c>
      <c r="K14" s="108">
        <f>3*BC26*BD26*BD26*3.14/4*BE26*BW26*1000</f>
        <v>1.33304304E-4</v>
      </c>
      <c r="L14" s="1">
        <f>K14*1000000/18</f>
        <v>7.405794666666667</v>
      </c>
      <c r="U14" s="24" t="str">
        <f>IF(R28=0,"P12","P_tlp")</f>
        <v>P_tlp</v>
      </c>
      <c r="V14" s="48"/>
      <c r="DA14" s="61"/>
      <c r="DB14" s="61"/>
      <c r="DC14" s="61"/>
    </row>
    <row r="15" spans="1:107">
      <c r="A15" s="90"/>
      <c r="B15" s="19" t="s">
        <v>83</v>
      </c>
      <c r="C15" s="21">
        <f>-(C4+C5)*C3*$W$24/101.3/C17</f>
        <v>-1.7763450172302053</v>
      </c>
      <c r="D15" s="46"/>
      <c r="E15" s="109" t="s">
        <v>167</v>
      </c>
      <c r="F15" s="106">
        <f>AX26*AY26*3.14</f>
        <v>5.0114399999999996E-2</v>
      </c>
      <c r="U15" s="24" t="str">
        <f>IF(R60=0,"P12","P_tlp")</f>
        <v>P12</v>
      </c>
      <c r="V15" s="48"/>
      <c r="DA15" s="61"/>
      <c r="DB15" s="61"/>
      <c r="DC15" s="61"/>
    </row>
    <row r="16" spans="1:107">
      <c r="A16" s="90"/>
      <c r="B16" s="19" t="s">
        <v>82</v>
      </c>
      <c r="C16" s="21">
        <f>-(C4+C5)*C3*$W$24/101.3/C18</f>
        <v>-0.83172854486378733</v>
      </c>
      <c r="D16" s="46"/>
      <c r="E16" s="109" t="s">
        <v>168</v>
      </c>
      <c r="F16" s="106">
        <f>BC26*BD26*3.14*3</f>
        <v>5.0114400000000003E-2</v>
      </c>
    </row>
    <row r="17" spans="1:170">
      <c r="A17" s="90"/>
      <c r="B17" s="19" t="s">
        <v>81</v>
      </c>
      <c r="C17" s="21">
        <f>1/(1/C18+1/K2)</f>
        <v>1.8612136838358366</v>
      </c>
      <c r="D17" s="46"/>
      <c r="E17" s="5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6"/>
      <c r="DI17" s="8"/>
    </row>
    <row r="18" spans="1:170">
      <c r="A18" s="90"/>
      <c r="B18" s="19" t="s">
        <v>84</v>
      </c>
      <c r="C18" s="21">
        <f>1/(1/K9+1/K8+1/K7+1/K5+1/K3)</f>
        <v>3.9750441098831284</v>
      </c>
      <c r="D18" s="46"/>
      <c r="E18" s="5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BE18" s="1"/>
      <c r="DF18" s="8"/>
      <c r="DI18" s="8"/>
    </row>
    <row r="19" spans="1:170">
      <c r="A19" s="90"/>
      <c r="B19" s="22" t="s">
        <v>76</v>
      </c>
      <c r="C19" s="24" t="str">
        <f>IF(R26=0,"P12","P_tlp")</f>
        <v>P_tlp</v>
      </c>
      <c r="D19" s="48"/>
      <c r="E19" s="5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AG19" s="6"/>
      <c r="BE19" s="1"/>
      <c r="CJ19" s="4"/>
      <c r="DF19" s="8"/>
    </row>
    <row r="20" spans="1:170">
      <c r="A20" s="90"/>
      <c r="B20" s="63"/>
      <c r="D20" s="49"/>
      <c r="E20" s="4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BE20" s="90"/>
      <c r="CG20" s="7">
        <f>C14</f>
        <v>-1.2500771902740253</v>
      </c>
      <c r="CL20" s="8">
        <f>K5</f>
        <v>555.77857104000009</v>
      </c>
      <c r="CM20">
        <f>K7</f>
        <v>149.96734199999997</v>
      </c>
      <c r="CN20">
        <f>K9</f>
        <v>100.02917232000001</v>
      </c>
      <c r="CP20" s="4">
        <f>K4</f>
        <v>299.96757864</v>
      </c>
      <c r="CQ20">
        <f>K6</f>
        <v>10.022879999999999</v>
      </c>
      <c r="CR20">
        <f>K8</f>
        <v>10.022880000000001</v>
      </c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6"/>
      <c r="DR20" s="6"/>
      <c r="DS20" s="6"/>
      <c r="DT20" s="6"/>
      <c r="DU20" s="6"/>
      <c r="DV20" s="6"/>
      <c r="DW20" s="6"/>
      <c r="DX20" s="6"/>
      <c r="DY20" s="6"/>
      <c r="EC20" s="8"/>
      <c r="ED20" s="8"/>
      <c r="EE20" s="8"/>
      <c r="EF20" s="8"/>
      <c r="EG20" s="6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8"/>
      <c r="FH20" s="8"/>
      <c r="FI20" s="8"/>
      <c r="FJ20" s="8"/>
      <c r="FK20" s="8"/>
      <c r="FL20" s="8"/>
      <c r="FM20" s="8"/>
      <c r="FN20" s="8"/>
    </row>
    <row r="21" spans="1:170">
      <c r="A21" s="90"/>
      <c r="B21" s="63"/>
      <c r="D21" s="49"/>
      <c r="E21" s="49"/>
      <c r="F21" s="49"/>
      <c r="G21" s="49"/>
      <c r="BE21" s="1"/>
      <c r="BO21" s="59"/>
      <c r="CM21" s="4"/>
      <c r="DC21" s="8"/>
      <c r="DD21" s="8"/>
      <c r="DE21" s="8"/>
      <c r="DF21" s="8"/>
      <c r="DG21" s="8"/>
      <c r="DH21" s="8"/>
      <c r="DI21" s="8"/>
      <c r="DJ21" s="8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Z21" s="8"/>
      <c r="EA21" s="8"/>
      <c r="EB21" s="8"/>
      <c r="EC21" s="8"/>
      <c r="ED21" s="6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8"/>
      <c r="FE21" s="8"/>
      <c r="FF21" s="8"/>
      <c r="FG21" s="8"/>
      <c r="FH21" s="8"/>
      <c r="FI21" s="8"/>
      <c r="FJ21" s="8"/>
      <c r="FK21" s="8"/>
    </row>
    <row r="22" spans="1:170">
      <c r="A22" s="90"/>
      <c r="B22">
        <v>1</v>
      </c>
      <c r="C22">
        <f>B22+1</f>
        <v>2</v>
      </c>
      <c r="D22">
        <f t="shared" ref="D22:BO22" si="2">C22+1</f>
        <v>3</v>
      </c>
      <c r="E22">
        <f t="shared" si="2"/>
        <v>4</v>
      </c>
      <c r="F22">
        <f t="shared" si="2"/>
        <v>5</v>
      </c>
      <c r="G22">
        <f t="shared" si="2"/>
        <v>6</v>
      </c>
      <c r="H22">
        <f t="shared" si="2"/>
        <v>7</v>
      </c>
      <c r="I22">
        <f t="shared" si="2"/>
        <v>8</v>
      </c>
      <c r="J22">
        <f t="shared" si="2"/>
        <v>9</v>
      </c>
      <c r="K22">
        <f t="shared" si="2"/>
        <v>10</v>
      </c>
      <c r="L22">
        <f t="shared" si="2"/>
        <v>11</v>
      </c>
      <c r="M22">
        <f t="shared" si="2"/>
        <v>12</v>
      </c>
      <c r="N22">
        <f t="shared" si="2"/>
        <v>13</v>
      </c>
      <c r="O22">
        <f t="shared" si="2"/>
        <v>14</v>
      </c>
      <c r="Q22">
        <f>O22+1</f>
        <v>15</v>
      </c>
      <c r="R22">
        <f>Q22+1</f>
        <v>16</v>
      </c>
      <c r="S22">
        <f>R22+1</f>
        <v>17</v>
      </c>
      <c r="T22">
        <f>S22+1</f>
        <v>18</v>
      </c>
      <c r="U22">
        <f t="shared" si="2"/>
        <v>19</v>
      </c>
      <c r="V22">
        <f t="shared" si="2"/>
        <v>20</v>
      </c>
      <c r="W22">
        <f t="shared" si="2"/>
        <v>21</v>
      </c>
      <c r="X22">
        <f t="shared" si="2"/>
        <v>22</v>
      </c>
      <c r="Y22">
        <f t="shared" si="2"/>
        <v>23</v>
      </c>
      <c r="Z22">
        <f t="shared" si="2"/>
        <v>24</v>
      </c>
      <c r="AA22">
        <f t="shared" si="2"/>
        <v>25</v>
      </c>
      <c r="AB22">
        <f t="shared" si="2"/>
        <v>26</v>
      </c>
      <c r="AC22">
        <f t="shared" si="2"/>
        <v>27</v>
      </c>
      <c r="AD22">
        <f t="shared" si="2"/>
        <v>28</v>
      </c>
      <c r="AE22">
        <f t="shared" si="2"/>
        <v>29</v>
      </c>
      <c r="AF22">
        <f t="shared" si="2"/>
        <v>30</v>
      </c>
      <c r="AG22">
        <f t="shared" si="2"/>
        <v>31</v>
      </c>
      <c r="AH22">
        <f t="shared" si="2"/>
        <v>32</v>
      </c>
      <c r="AI22">
        <f t="shared" si="2"/>
        <v>33</v>
      </c>
      <c r="AJ22">
        <f t="shared" si="2"/>
        <v>34</v>
      </c>
      <c r="AK22">
        <f t="shared" si="2"/>
        <v>35</v>
      </c>
      <c r="AL22">
        <f t="shared" si="2"/>
        <v>36</v>
      </c>
      <c r="AM22">
        <f t="shared" si="2"/>
        <v>37</v>
      </c>
      <c r="AN22">
        <f t="shared" si="2"/>
        <v>38</v>
      </c>
      <c r="AO22">
        <f t="shared" si="2"/>
        <v>39</v>
      </c>
      <c r="AP22">
        <f t="shared" si="2"/>
        <v>40</v>
      </c>
      <c r="AQ22">
        <f t="shared" si="2"/>
        <v>41</v>
      </c>
      <c r="AR22">
        <f t="shared" si="2"/>
        <v>42</v>
      </c>
      <c r="AS22">
        <f t="shared" si="2"/>
        <v>43</v>
      </c>
      <c r="AT22">
        <f t="shared" si="2"/>
        <v>44</v>
      </c>
      <c r="AU22">
        <f t="shared" si="2"/>
        <v>45</v>
      </c>
      <c r="AV22">
        <f t="shared" si="2"/>
        <v>46</v>
      </c>
      <c r="AW22">
        <f t="shared" si="2"/>
        <v>47</v>
      </c>
      <c r="AX22">
        <f t="shared" si="2"/>
        <v>48</v>
      </c>
      <c r="AY22">
        <f t="shared" si="2"/>
        <v>49</v>
      </c>
      <c r="AZ22">
        <f t="shared" si="2"/>
        <v>50</v>
      </c>
      <c r="BA22">
        <f t="shared" si="2"/>
        <v>51</v>
      </c>
      <c r="BB22">
        <f t="shared" si="2"/>
        <v>52</v>
      </c>
      <c r="BC22">
        <f t="shared" si="2"/>
        <v>53</v>
      </c>
      <c r="BD22">
        <f t="shared" si="2"/>
        <v>54</v>
      </c>
      <c r="BE22">
        <f t="shared" si="2"/>
        <v>55</v>
      </c>
      <c r="BF22">
        <f t="shared" si="2"/>
        <v>56</v>
      </c>
      <c r="BG22">
        <f t="shared" si="2"/>
        <v>57</v>
      </c>
      <c r="BH22">
        <f t="shared" si="2"/>
        <v>58</v>
      </c>
      <c r="BI22">
        <f t="shared" si="2"/>
        <v>59</v>
      </c>
      <c r="BJ22">
        <f t="shared" si="2"/>
        <v>60</v>
      </c>
      <c r="BK22">
        <f t="shared" si="2"/>
        <v>61</v>
      </c>
      <c r="BL22">
        <f t="shared" si="2"/>
        <v>62</v>
      </c>
      <c r="BM22">
        <f t="shared" si="2"/>
        <v>63</v>
      </c>
      <c r="BN22">
        <f t="shared" si="2"/>
        <v>64</v>
      </c>
      <c r="BO22">
        <f t="shared" si="2"/>
        <v>65</v>
      </c>
      <c r="BP22">
        <f t="shared" ref="BP22:DS22" si="3">BO22+1</f>
        <v>66</v>
      </c>
      <c r="BQ22">
        <f t="shared" si="3"/>
        <v>67</v>
      </c>
      <c r="BR22">
        <f t="shared" si="3"/>
        <v>68</v>
      </c>
      <c r="BS22">
        <f t="shared" si="3"/>
        <v>69</v>
      </c>
      <c r="BT22">
        <f t="shared" si="3"/>
        <v>70</v>
      </c>
      <c r="BU22">
        <f t="shared" si="3"/>
        <v>71</v>
      </c>
      <c r="BV22">
        <f t="shared" si="3"/>
        <v>72</v>
      </c>
      <c r="BW22">
        <f t="shared" si="3"/>
        <v>73</v>
      </c>
      <c r="BX22">
        <f t="shared" si="3"/>
        <v>74</v>
      </c>
      <c r="BY22">
        <f t="shared" si="3"/>
        <v>75</v>
      </c>
      <c r="BZ22">
        <f t="shared" si="3"/>
        <v>76</v>
      </c>
      <c r="CA22">
        <f t="shared" si="3"/>
        <v>77</v>
      </c>
      <c r="CB22">
        <f t="shared" si="3"/>
        <v>78</v>
      </c>
      <c r="CC22">
        <f t="shared" si="3"/>
        <v>79</v>
      </c>
      <c r="CD22">
        <f t="shared" si="3"/>
        <v>80</v>
      </c>
      <c r="CE22">
        <f t="shared" si="3"/>
        <v>81</v>
      </c>
      <c r="CF22">
        <f t="shared" si="3"/>
        <v>82</v>
      </c>
      <c r="CG22">
        <f t="shared" si="3"/>
        <v>83</v>
      </c>
      <c r="CH22">
        <f t="shared" si="3"/>
        <v>84</v>
      </c>
      <c r="CI22">
        <f t="shared" si="3"/>
        <v>85</v>
      </c>
      <c r="CJ22">
        <f t="shared" si="3"/>
        <v>86</v>
      </c>
      <c r="CK22">
        <f t="shared" si="3"/>
        <v>87</v>
      </c>
      <c r="CL22">
        <f t="shared" si="3"/>
        <v>88</v>
      </c>
      <c r="CM22">
        <f t="shared" si="3"/>
        <v>89</v>
      </c>
      <c r="CN22">
        <f t="shared" si="3"/>
        <v>90</v>
      </c>
      <c r="CO22">
        <f t="shared" si="3"/>
        <v>91</v>
      </c>
      <c r="CP22">
        <f t="shared" si="3"/>
        <v>92</v>
      </c>
      <c r="CQ22">
        <f t="shared" si="3"/>
        <v>93</v>
      </c>
      <c r="CR22">
        <f t="shared" si="3"/>
        <v>94</v>
      </c>
      <c r="CS22">
        <f t="shared" si="3"/>
        <v>95</v>
      </c>
      <c r="CT22">
        <f t="shared" si="3"/>
        <v>96</v>
      </c>
      <c r="CU22">
        <f t="shared" si="3"/>
        <v>97</v>
      </c>
      <c r="CV22">
        <f t="shared" si="3"/>
        <v>98</v>
      </c>
      <c r="CW22">
        <f t="shared" si="3"/>
        <v>99</v>
      </c>
      <c r="CX22">
        <f t="shared" si="3"/>
        <v>100</v>
      </c>
      <c r="CY22">
        <f t="shared" si="3"/>
        <v>101</v>
      </c>
      <c r="CZ22">
        <f t="shared" si="3"/>
        <v>102</v>
      </c>
      <c r="DA22">
        <f t="shared" si="3"/>
        <v>103</v>
      </c>
      <c r="DB22">
        <f t="shared" si="3"/>
        <v>104</v>
      </c>
      <c r="DC22">
        <f t="shared" si="3"/>
        <v>105</v>
      </c>
      <c r="DD22">
        <f t="shared" si="3"/>
        <v>106</v>
      </c>
      <c r="DE22">
        <f t="shared" si="3"/>
        <v>107</v>
      </c>
      <c r="DF22">
        <f t="shared" si="3"/>
        <v>108</v>
      </c>
      <c r="DG22">
        <f t="shared" si="3"/>
        <v>109</v>
      </c>
      <c r="DH22">
        <f t="shared" si="3"/>
        <v>110</v>
      </c>
      <c r="DI22">
        <f t="shared" si="3"/>
        <v>111</v>
      </c>
      <c r="DJ22">
        <f t="shared" si="3"/>
        <v>112</v>
      </c>
      <c r="DK22">
        <f t="shared" si="3"/>
        <v>113</v>
      </c>
      <c r="DO22">
        <f>DK22+1</f>
        <v>114</v>
      </c>
      <c r="DP22">
        <f t="shared" si="3"/>
        <v>115</v>
      </c>
      <c r="DQ22">
        <f t="shared" si="3"/>
        <v>116</v>
      </c>
      <c r="DR22">
        <f t="shared" si="3"/>
        <v>117</v>
      </c>
      <c r="DS22">
        <f t="shared" si="3"/>
        <v>118</v>
      </c>
    </row>
    <row r="23" spans="1:170" s="63" customFormat="1" ht="26" customHeight="1">
      <c r="A23" s="94"/>
      <c r="B23" s="20" t="s">
        <v>0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 t="s">
        <v>111</v>
      </c>
      <c r="V23" s="62" t="s">
        <v>109</v>
      </c>
      <c r="W23" s="62" t="s">
        <v>110</v>
      </c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103" t="s">
        <v>145</v>
      </c>
      <c r="AK23" s="65"/>
      <c r="AL23" s="62"/>
      <c r="AM23" s="62"/>
      <c r="AN23" s="62"/>
      <c r="AO23" s="62"/>
      <c r="AP23" s="62"/>
      <c r="AQ23" s="62"/>
      <c r="AR23" s="11" t="s">
        <v>29</v>
      </c>
      <c r="AS23" s="62"/>
      <c r="AT23" s="62"/>
      <c r="AU23" s="62"/>
      <c r="AV23" s="62"/>
      <c r="AW23" s="62"/>
      <c r="AX23" s="104" t="s">
        <v>30</v>
      </c>
      <c r="AY23" s="62"/>
      <c r="AZ23" s="62"/>
      <c r="BA23" s="62"/>
      <c r="BB23" s="62"/>
      <c r="BC23" s="101" t="s">
        <v>169</v>
      </c>
      <c r="BD23" s="62"/>
      <c r="BE23" s="62"/>
      <c r="BF23" s="62"/>
      <c r="BG23" s="62"/>
      <c r="BH23" s="80"/>
      <c r="BI23" s="80"/>
      <c r="BJ23" s="80"/>
      <c r="BK23" s="80"/>
      <c r="BL23" s="80"/>
      <c r="BM23" s="80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4"/>
      <c r="DK23" s="64"/>
      <c r="DL23" s="64"/>
      <c r="DM23" s="64"/>
      <c r="DN23" s="64"/>
      <c r="DO23" s="64"/>
    </row>
    <row r="24" spans="1:170" s="63" customFormat="1">
      <c r="A24" s="94"/>
      <c r="B24" s="28" t="s">
        <v>14</v>
      </c>
      <c r="C24" s="29"/>
      <c r="D24" s="29"/>
      <c r="E24" s="29"/>
      <c r="F24" s="29"/>
      <c r="G24" s="29"/>
      <c r="H24" s="29"/>
      <c r="I24" s="81" t="s">
        <v>37</v>
      </c>
      <c r="J24" s="81" t="s">
        <v>10</v>
      </c>
      <c r="K24" s="81" t="s">
        <v>12</v>
      </c>
      <c r="L24" s="82" t="s">
        <v>113</v>
      </c>
      <c r="M24" s="82"/>
      <c r="N24" s="82"/>
      <c r="O24" s="82"/>
      <c r="P24" s="82"/>
      <c r="Q24" s="82"/>
      <c r="R24" s="30" t="s">
        <v>132</v>
      </c>
      <c r="S24" s="29"/>
      <c r="T24" s="115" t="s">
        <v>91</v>
      </c>
      <c r="U24" s="89">
        <f>V26*V24/100</f>
        <v>950.5594236826305</v>
      </c>
      <c r="V24" s="89">
        <f>611.21*EXP((18.678-U26/234.5)*U26/(257.14+U26))</f>
        <v>3168.5314122754348</v>
      </c>
      <c r="W24" s="82">
        <f>(V24-U24)/1000</f>
        <v>2.2179719885928044</v>
      </c>
      <c r="X24" s="82"/>
      <c r="Y24" s="82"/>
      <c r="Z24" s="82" t="s">
        <v>209</v>
      </c>
      <c r="AA24" s="82"/>
      <c r="AB24" s="82"/>
      <c r="AC24" s="82"/>
      <c r="AD24" s="25" t="s">
        <v>2</v>
      </c>
      <c r="AE24" s="26"/>
      <c r="AF24" s="26"/>
      <c r="AG24" s="26"/>
      <c r="AH24" s="26"/>
      <c r="AI24" s="27"/>
      <c r="AJ24" s="16" t="s">
        <v>146</v>
      </c>
      <c r="AK24" s="16" t="s">
        <v>150</v>
      </c>
      <c r="AL24" s="96" t="s">
        <v>137</v>
      </c>
      <c r="AM24" s="84"/>
      <c r="AN24" s="97"/>
      <c r="AO24" s="16" t="s">
        <v>141</v>
      </c>
      <c r="AP24" s="16" t="s">
        <v>142</v>
      </c>
      <c r="AQ24" s="16" t="s">
        <v>196</v>
      </c>
      <c r="AR24" s="11" t="s">
        <v>152</v>
      </c>
      <c r="AS24" s="11" t="s">
        <v>154</v>
      </c>
      <c r="AT24" s="11" t="s">
        <v>156</v>
      </c>
      <c r="AU24" s="25" t="s">
        <v>158</v>
      </c>
      <c r="AV24" s="25" t="s">
        <v>159</v>
      </c>
      <c r="AW24" s="25" t="s">
        <v>199</v>
      </c>
      <c r="AX24" s="104" t="s">
        <v>154</v>
      </c>
      <c r="AY24" s="104" t="s">
        <v>156</v>
      </c>
      <c r="AZ24" s="105" t="s">
        <v>158</v>
      </c>
      <c r="BA24" s="105" t="s">
        <v>159</v>
      </c>
      <c r="BB24" s="105" t="s">
        <v>193</v>
      </c>
      <c r="BC24" s="101" t="s">
        <v>154</v>
      </c>
      <c r="BD24" s="101" t="s">
        <v>156</v>
      </c>
      <c r="BE24" s="102" t="s">
        <v>158</v>
      </c>
      <c r="BF24" s="102" t="s">
        <v>159</v>
      </c>
      <c r="BG24" s="28" t="s">
        <v>96</v>
      </c>
      <c r="BH24" s="29"/>
      <c r="BI24" s="29"/>
      <c r="BJ24" s="92"/>
      <c r="BK24" s="92"/>
      <c r="BL24" s="92"/>
      <c r="BM24" s="92"/>
      <c r="BN24" s="29"/>
      <c r="BO24" s="29"/>
      <c r="BP24" s="29"/>
      <c r="BQ24" s="29"/>
      <c r="BR24" s="51" t="s">
        <v>116</v>
      </c>
      <c r="BS24" s="51"/>
      <c r="BT24" s="31" t="s">
        <v>204</v>
      </c>
      <c r="BU24" s="32"/>
      <c r="BV24" s="32"/>
      <c r="BW24" s="33"/>
      <c r="BX24" s="25" t="s">
        <v>77</v>
      </c>
      <c r="BY24" s="25" t="s">
        <v>122</v>
      </c>
      <c r="BZ24" s="25"/>
      <c r="CA24" s="25"/>
      <c r="CB24" s="25" t="s">
        <v>126</v>
      </c>
      <c r="CC24" s="34" t="s">
        <v>9</v>
      </c>
      <c r="CD24" s="35"/>
      <c r="CE24" s="35"/>
      <c r="CF24" s="35"/>
      <c r="CG24" s="35" t="s">
        <v>78</v>
      </c>
      <c r="CH24" s="35"/>
      <c r="CI24" s="35"/>
      <c r="CJ24" s="36"/>
      <c r="CK24" s="37" t="s">
        <v>135</v>
      </c>
      <c r="CL24" s="37" t="s">
        <v>163</v>
      </c>
      <c r="CM24" s="38"/>
      <c r="CN24" s="39"/>
      <c r="CO24" s="38" t="s">
        <v>164</v>
      </c>
      <c r="CP24" s="38"/>
      <c r="CQ24" s="38"/>
      <c r="CR24" s="39"/>
      <c r="CS24" s="40" t="s">
        <v>79</v>
      </c>
      <c r="CT24" s="41"/>
      <c r="CU24" s="41"/>
      <c r="CV24" s="42"/>
      <c r="CW24" s="43" t="s">
        <v>80</v>
      </c>
      <c r="CX24" s="44"/>
      <c r="CY24" s="44"/>
      <c r="CZ24" s="45"/>
      <c r="DA24" s="132" t="s">
        <v>218</v>
      </c>
      <c r="DB24" s="133" t="s">
        <v>232</v>
      </c>
      <c r="DC24" s="133"/>
      <c r="DD24" s="133"/>
      <c r="DE24" s="133"/>
      <c r="DF24" s="133"/>
      <c r="DG24" s="133"/>
      <c r="DH24" s="134"/>
      <c r="DI24" s="131"/>
      <c r="DJ24" s="131" t="s">
        <v>155</v>
      </c>
      <c r="DK24" s="131" t="s">
        <v>229</v>
      </c>
    </row>
    <row r="25" spans="1:170" s="63" customFormat="1">
      <c r="A25" s="94"/>
      <c r="B25" s="98" t="s">
        <v>42</v>
      </c>
      <c r="C25" s="98" t="s">
        <v>13</v>
      </c>
      <c r="D25" s="98" t="s">
        <v>120</v>
      </c>
      <c r="E25" s="98" t="s">
        <v>108</v>
      </c>
      <c r="F25" s="99" t="s">
        <v>136</v>
      </c>
      <c r="G25" s="99" t="s">
        <v>107</v>
      </c>
      <c r="H25" s="98" t="s">
        <v>128</v>
      </c>
      <c r="I25" s="10" t="s">
        <v>37</v>
      </c>
      <c r="J25" s="10" t="s">
        <v>1</v>
      </c>
      <c r="K25" s="10" t="s">
        <v>11</v>
      </c>
      <c r="L25" s="100" t="s">
        <v>112</v>
      </c>
      <c r="M25" s="100" t="s">
        <v>119</v>
      </c>
      <c r="N25" s="100" t="s">
        <v>205</v>
      </c>
      <c r="O25" s="100" t="s">
        <v>206</v>
      </c>
      <c r="P25" s="100" t="s">
        <v>207</v>
      </c>
      <c r="Q25" s="100" t="s">
        <v>208</v>
      </c>
      <c r="R25" s="98" t="s">
        <v>45</v>
      </c>
      <c r="S25" s="56" t="s">
        <v>130</v>
      </c>
      <c r="T25" s="50" t="s">
        <v>92</v>
      </c>
      <c r="U25" s="50" t="s">
        <v>93</v>
      </c>
      <c r="V25" s="50" t="s">
        <v>94</v>
      </c>
      <c r="W25" s="50" t="s">
        <v>95</v>
      </c>
      <c r="X25" s="50" t="s">
        <v>105</v>
      </c>
      <c r="Y25" s="50" t="s">
        <v>121</v>
      </c>
      <c r="Z25" s="117" t="s">
        <v>210</v>
      </c>
      <c r="AA25" s="50" t="s">
        <v>211</v>
      </c>
      <c r="AB25" s="50" t="s">
        <v>212</v>
      </c>
      <c r="AC25" s="118" t="s">
        <v>213</v>
      </c>
      <c r="AD25" s="11" t="s">
        <v>3</v>
      </c>
      <c r="AE25" s="11" t="s">
        <v>4</v>
      </c>
      <c r="AF25" s="11" t="s">
        <v>5</v>
      </c>
      <c r="AG25" s="11" t="s">
        <v>6</v>
      </c>
      <c r="AH25" s="11" t="s">
        <v>7</v>
      </c>
      <c r="AI25" s="11" t="s">
        <v>8</v>
      </c>
      <c r="AJ25" s="16" t="s">
        <v>133</v>
      </c>
      <c r="AK25" s="16" t="s">
        <v>151</v>
      </c>
      <c r="AL25" s="112" t="s">
        <v>140</v>
      </c>
      <c r="AM25" s="16" t="s">
        <v>138</v>
      </c>
      <c r="AN25" s="16" t="s">
        <v>139</v>
      </c>
      <c r="AO25" s="16" t="s">
        <v>198</v>
      </c>
      <c r="AP25" s="96" t="s">
        <v>144</v>
      </c>
      <c r="AQ25" s="96" t="s">
        <v>197</v>
      </c>
      <c r="AR25" s="11" t="s">
        <v>153</v>
      </c>
      <c r="AS25" s="11" t="s">
        <v>155</v>
      </c>
      <c r="AT25" s="11" t="s">
        <v>157</v>
      </c>
      <c r="AU25" s="11" t="s">
        <v>143</v>
      </c>
      <c r="AV25" s="11" t="s">
        <v>143</v>
      </c>
      <c r="AW25" s="11" t="s">
        <v>34</v>
      </c>
      <c r="AX25" s="104" t="s">
        <v>155</v>
      </c>
      <c r="AY25" s="104" t="s">
        <v>157</v>
      </c>
      <c r="AZ25" s="104" t="s">
        <v>143</v>
      </c>
      <c r="BA25" s="104" t="s">
        <v>143</v>
      </c>
      <c r="BB25" s="104" t="s">
        <v>143</v>
      </c>
      <c r="BC25" s="101" t="s">
        <v>155</v>
      </c>
      <c r="BD25" s="101" t="s">
        <v>157</v>
      </c>
      <c r="BE25" s="101" t="s">
        <v>143</v>
      </c>
      <c r="BF25" s="101" t="s">
        <v>143</v>
      </c>
      <c r="BG25" s="10" t="s">
        <v>97</v>
      </c>
      <c r="BH25" s="10" t="s">
        <v>104</v>
      </c>
      <c r="BI25" s="10" t="s">
        <v>106</v>
      </c>
      <c r="BJ25" s="93" t="s">
        <v>200</v>
      </c>
      <c r="BK25" s="93" t="s">
        <v>201</v>
      </c>
      <c r="BL25" s="93" t="s">
        <v>202</v>
      </c>
      <c r="BM25" s="93" t="s">
        <v>203</v>
      </c>
      <c r="BN25" s="10" t="s">
        <v>98</v>
      </c>
      <c r="BO25" s="10" t="s">
        <v>99</v>
      </c>
      <c r="BP25" s="10" t="s">
        <v>100</v>
      </c>
      <c r="BQ25" s="10" t="s">
        <v>101</v>
      </c>
      <c r="BR25" s="52" t="s">
        <v>117</v>
      </c>
      <c r="BS25" s="52" t="s">
        <v>118</v>
      </c>
      <c r="BT25" s="12" t="s">
        <v>46</v>
      </c>
      <c r="BU25" s="12" t="s">
        <v>47</v>
      </c>
      <c r="BV25" s="12" t="s">
        <v>48</v>
      </c>
      <c r="BW25" s="12" t="s">
        <v>49</v>
      </c>
      <c r="BX25" s="11" t="s">
        <v>43</v>
      </c>
      <c r="BY25" s="11" t="s">
        <v>124</v>
      </c>
      <c r="BZ25" s="11" t="s">
        <v>123</v>
      </c>
      <c r="CA25" s="11" t="s">
        <v>125</v>
      </c>
      <c r="CB25" s="11" t="s">
        <v>127</v>
      </c>
      <c r="CC25" s="13" t="s">
        <v>50</v>
      </c>
      <c r="CD25" s="13" t="s">
        <v>51</v>
      </c>
      <c r="CE25" s="13" t="s">
        <v>52</v>
      </c>
      <c r="CF25" s="13" t="s">
        <v>53</v>
      </c>
      <c r="CG25" s="14" t="s">
        <v>54</v>
      </c>
      <c r="CH25" s="14" t="s">
        <v>55</v>
      </c>
      <c r="CI25" s="14" t="s">
        <v>56</v>
      </c>
      <c r="CJ25" s="14" t="s">
        <v>57</v>
      </c>
      <c r="CK25" s="15" t="s">
        <v>58</v>
      </c>
      <c r="CL25" s="15" t="s">
        <v>177</v>
      </c>
      <c r="CM25" s="15" t="s">
        <v>59</v>
      </c>
      <c r="CN25" s="15" t="s">
        <v>60</v>
      </c>
      <c r="CO25" s="16" t="s">
        <v>61</v>
      </c>
      <c r="CP25" s="16" t="s">
        <v>178</v>
      </c>
      <c r="CQ25" s="16" t="s">
        <v>62</v>
      </c>
      <c r="CR25" s="16" t="s">
        <v>63</v>
      </c>
      <c r="CS25" s="17" t="s">
        <v>64</v>
      </c>
      <c r="CT25" s="17" t="s">
        <v>65</v>
      </c>
      <c r="CU25" s="17" t="s">
        <v>66</v>
      </c>
      <c r="CV25" s="17" t="s">
        <v>67</v>
      </c>
      <c r="CW25" s="18" t="s">
        <v>68</v>
      </c>
      <c r="CX25" s="18" t="s">
        <v>69</v>
      </c>
      <c r="CY25" s="18" t="s">
        <v>70</v>
      </c>
      <c r="CZ25" s="18" t="s">
        <v>71</v>
      </c>
      <c r="DA25" s="132" t="s">
        <v>231</v>
      </c>
      <c r="DB25" s="167" t="s">
        <v>220</v>
      </c>
      <c r="DC25" s="168" t="s">
        <v>219</v>
      </c>
      <c r="DD25" s="167" t="s">
        <v>221</v>
      </c>
      <c r="DE25" s="167" t="s">
        <v>222</v>
      </c>
      <c r="DF25" s="167" t="s">
        <v>223</v>
      </c>
      <c r="DG25" s="167" t="s">
        <v>224</v>
      </c>
      <c r="DH25" s="167" t="s">
        <v>225</v>
      </c>
      <c r="DI25" s="167" t="s">
        <v>226</v>
      </c>
      <c r="DJ25" s="135" t="s">
        <v>230</v>
      </c>
      <c r="DK25" s="135" t="s">
        <v>228</v>
      </c>
      <c r="DS25" s="65"/>
    </row>
    <row r="26" spans="1:170" s="128" customFormat="1">
      <c r="A26" s="95" t="s">
        <v>215</v>
      </c>
      <c r="B26" s="59">
        <v>0</v>
      </c>
      <c r="C26" s="59">
        <v>1</v>
      </c>
      <c r="D26" s="59">
        <v>1</v>
      </c>
      <c r="E26" s="59">
        <v>0</v>
      </c>
      <c r="F26" s="59">
        <v>0</v>
      </c>
      <c r="G26" s="59">
        <v>0</v>
      </c>
      <c r="H26" s="59">
        <v>1</v>
      </c>
      <c r="I26" s="59">
        <v>0</v>
      </c>
      <c r="J26" s="59">
        <v>0.01</v>
      </c>
      <c r="K26" s="91">
        <v>24</v>
      </c>
      <c r="L26" s="59">
        <v>0</v>
      </c>
      <c r="M26" s="59">
        <v>1</v>
      </c>
      <c r="N26" s="59">
        <v>0</v>
      </c>
      <c r="O26" s="59">
        <v>0</v>
      </c>
      <c r="P26" s="59">
        <v>0</v>
      </c>
      <c r="Q26" s="59">
        <v>0</v>
      </c>
      <c r="R26" s="59">
        <v>2</v>
      </c>
      <c r="S26" s="59">
        <v>5</v>
      </c>
      <c r="T26" s="91">
        <v>15</v>
      </c>
      <c r="U26" s="91">
        <v>25</v>
      </c>
      <c r="V26" s="91">
        <v>30</v>
      </c>
      <c r="W26" s="91">
        <v>80</v>
      </c>
      <c r="X26" s="91">
        <v>1500</v>
      </c>
      <c r="Y26" s="91">
        <v>1</v>
      </c>
      <c r="Z26" s="124">
        <v>0</v>
      </c>
      <c r="AA26" s="91">
        <v>0</v>
      </c>
      <c r="AB26" s="91">
        <v>0</v>
      </c>
      <c r="AC26" s="91">
        <v>15</v>
      </c>
      <c r="AD26" s="59">
        <v>0.45900000000000002</v>
      </c>
      <c r="AE26" s="59">
        <v>9.8000000000000004E-2</v>
      </c>
      <c r="AF26" s="59">
        <v>1.4999999999999999E-2</v>
      </c>
      <c r="AG26" s="59">
        <v>1.2529999999999999</v>
      </c>
      <c r="AH26" s="59">
        <v>1.69</v>
      </c>
      <c r="AI26" s="59">
        <v>0.5</v>
      </c>
      <c r="AJ26" s="59">
        <v>50</v>
      </c>
      <c r="AK26" s="59">
        <v>0.5</v>
      </c>
      <c r="AL26" s="59">
        <v>0</v>
      </c>
      <c r="AM26" s="59">
        <v>-1.5</v>
      </c>
      <c r="AN26" s="59">
        <v>100</v>
      </c>
      <c r="AO26" s="59">
        <v>100</v>
      </c>
      <c r="AP26" s="59">
        <v>0.25</v>
      </c>
      <c r="AQ26" s="91">
        <v>100</v>
      </c>
      <c r="AR26" s="124">
        <v>10</v>
      </c>
      <c r="AS26" s="91">
        <v>0.3</v>
      </c>
      <c r="AT26" s="125">
        <v>6.5160000000000001E-3</v>
      </c>
      <c r="AU26" s="91">
        <v>0.2</v>
      </c>
      <c r="AV26" s="91">
        <v>0.35</v>
      </c>
      <c r="AW26" s="91">
        <v>700</v>
      </c>
      <c r="AX26" s="91">
        <v>1</v>
      </c>
      <c r="AY26" s="125">
        <v>1.5959999999999998E-2</v>
      </c>
      <c r="AZ26" s="91">
        <v>0.2</v>
      </c>
      <c r="BA26" s="91">
        <v>0.35</v>
      </c>
      <c r="BB26" s="91">
        <v>0.5</v>
      </c>
      <c r="BC26" s="91">
        <v>1</v>
      </c>
      <c r="BD26" s="125">
        <v>5.3200000000000001E-3</v>
      </c>
      <c r="BE26" s="91">
        <v>0.2</v>
      </c>
      <c r="BF26" s="91">
        <v>0.35</v>
      </c>
      <c r="BG26" s="91">
        <v>300</v>
      </c>
      <c r="BH26" s="91">
        <v>10</v>
      </c>
      <c r="BI26" s="91">
        <v>4.0000000000000001E-3</v>
      </c>
      <c r="BJ26" s="91">
        <v>2</v>
      </c>
      <c r="BK26" s="91">
        <v>35</v>
      </c>
      <c r="BL26" s="91">
        <v>1.2</v>
      </c>
      <c r="BM26" s="91">
        <f>BL26*4</f>
        <v>4.8</v>
      </c>
      <c r="BN26" s="91">
        <v>1</v>
      </c>
      <c r="BO26" s="91">
        <v>1</v>
      </c>
      <c r="BP26" s="91">
        <v>1</v>
      </c>
      <c r="BQ26" s="91">
        <v>1</v>
      </c>
      <c r="BR26" s="107">
        <v>2.35E-7</v>
      </c>
      <c r="BS26" s="58">
        <v>0.9</v>
      </c>
      <c r="BT26" s="58">
        <v>0.01</v>
      </c>
      <c r="BU26" s="58">
        <v>0.01</v>
      </c>
      <c r="BV26" s="58">
        <v>0.01</v>
      </c>
      <c r="BW26" s="58">
        <v>0.01</v>
      </c>
      <c r="BX26" s="83">
        <v>0.05</v>
      </c>
      <c r="BY26" s="83">
        <v>1</v>
      </c>
      <c r="BZ26" s="83">
        <v>1</v>
      </c>
      <c r="CA26" s="83">
        <v>1</v>
      </c>
      <c r="CB26" s="83">
        <v>4</v>
      </c>
      <c r="CC26" s="83">
        <v>7.55</v>
      </c>
      <c r="CD26" s="83">
        <v>15</v>
      </c>
      <c r="CE26" s="83">
        <v>15</v>
      </c>
      <c r="CF26" s="83">
        <v>15</v>
      </c>
      <c r="CG26" s="122">
        <v>-1.0725</v>
      </c>
      <c r="CH26" s="83">
        <v>-1.5</v>
      </c>
      <c r="CI26" s="83">
        <v>-1.5</v>
      </c>
      <c r="CJ26" s="83">
        <v>-1.5</v>
      </c>
      <c r="CK26" s="83">
        <v>15</v>
      </c>
      <c r="CL26" s="58">
        <v>500000</v>
      </c>
      <c r="CM26" s="58">
        <v>1000000</v>
      </c>
      <c r="CN26" s="58">
        <v>1500000</v>
      </c>
      <c r="CO26" s="83">
        <v>7</v>
      </c>
      <c r="CP26" s="83">
        <v>488.7</v>
      </c>
      <c r="CQ26" s="83">
        <v>200</v>
      </c>
      <c r="CR26" s="83">
        <v>200</v>
      </c>
      <c r="CS26" s="59">
        <v>-2</v>
      </c>
      <c r="CT26" s="59">
        <v>-2</v>
      </c>
      <c r="CU26" s="59">
        <v>-2</v>
      </c>
      <c r="CV26" s="59">
        <v>-2</v>
      </c>
      <c r="CW26" s="59">
        <v>200</v>
      </c>
      <c r="CX26" s="59">
        <v>200</v>
      </c>
      <c r="CY26" s="59">
        <v>200</v>
      </c>
      <c r="CZ26" s="59">
        <v>200</v>
      </c>
      <c r="DA26" s="173">
        <v>1</v>
      </c>
      <c r="DB26" s="174">
        <v>0.01</v>
      </c>
      <c r="DC26" s="174">
        <v>0.01</v>
      </c>
      <c r="DD26" s="174">
        <v>7.55</v>
      </c>
      <c r="DE26" s="175">
        <v>-1.25</v>
      </c>
      <c r="DF26" s="66">
        <v>-2</v>
      </c>
      <c r="DG26" s="66">
        <v>100</v>
      </c>
      <c r="DH26" s="66">
        <v>1</v>
      </c>
      <c r="DI26" s="176">
        <v>0.01</v>
      </c>
      <c r="DJ26" s="136">
        <v>3.0000000000000001E-3</v>
      </c>
      <c r="DK26" s="66">
        <v>0.5</v>
      </c>
      <c r="DL26" s="127"/>
      <c r="DM26" s="127"/>
      <c r="DN26" s="127"/>
      <c r="DX26" s="129"/>
      <c r="DY26" s="130"/>
      <c r="DZ26" s="126"/>
      <c r="EB26" s="126"/>
      <c r="EC26" s="126"/>
      <c r="ED26" s="126"/>
      <c r="EE26" s="126"/>
      <c r="EJ26" s="126"/>
      <c r="EK26" s="126"/>
      <c r="EL26" s="126"/>
      <c r="EM26" s="126"/>
      <c r="EN26" s="126"/>
      <c r="EO26" s="126"/>
      <c r="EP26" s="126"/>
      <c r="EQ26" s="126"/>
      <c r="ER26" s="126"/>
      <c r="ES26" s="126"/>
      <c r="ET26" s="126"/>
      <c r="EU26" s="126"/>
      <c r="EV26" s="126"/>
      <c r="EW26" s="126"/>
      <c r="EX26" s="126"/>
      <c r="EY26" s="126"/>
      <c r="EZ26" s="129"/>
      <c r="FA26" s="129"/>
      <c r="FB26" s="129"/>
      <c r="FC26" s="129"/>
      <c r="FD26" s="129"/>
      <c r="FE26" s="129"/>
      <c r="FF26" s="129"/>
      <c r="FG26" s="127"/>
    </row>
    <row r="27" spans="1:170" s="128" customFormat="1">
      <c r="A27" s="95" t="s">
        <v>216</v>
      </c>
      <c r="B27" s="59">
        <v>0</v>
      </c>
      <c r="C27" s="59">
        <v>1</v>
      </c>
      <c r="D27" s="59">
        <v>1</v>
      </c>
      <c r="E27" s="59">
        <v>0</v>
      </c>
      <c r="F27" s="59">
        <v>0</v>
      </c>
      <c r="G27" s="59">
        <v>0</v>
      </c>
      <c r="H27" s="59">
        <v>1</v>
      </c>
      <c r="I27" s="59">
        <v>0</v>
      </c>
      <c r="J27" s="59">
        <v>0.01</v>
      </c>
      <c r="K27" s="91">
        <v>24</v>
      </c>
      <c r="L27" s="59">
        <v>0</v>
      </c>
      <c r="M27" s="59">
        <v>1</v>
      </c>
      <c r="N27" s="59">
        <v>0</v>
      </c>
      <c r="O27" s="59">
        <v>0</v>
      </c>
      <c r="P27" s="59">
        <v>0</v>
      </c>
      <c r="Q27" s="59">
        <v>0</v>
      </c>
      <c r="R27" s="59">
        <v>2</v>
      </c>
      <c r="S27" s="59">
        <v>5</v>
      </c>
      <c r="T27" s="91">
        <v>15</v>
      </c>
      <c r="U27" s="91">
        <v>25</v>
      </c>
      <c r="V27" s="91">
        <v>30</v>
      </c>
      <c r="W27" s="91">
        <v>80</v>
      </c>
      <c r="X27" s="91">
        <v>1500</v>
      </c>
      <c r="Y27" s="91">
        <v>1</v>
      </c>
      <c r="Z27" s="124">
        <v>0</v>
      </c>
      <c r="AA27" s="91">
        <v>0</v>
      </c>
      <c r="AB27" s="91">
        <v>0</v>
      </c>
      <c r="AC27" s="91">
        <v>15</v>
      </c>
      <c r="AD27" s="59">
        <v>0.45900000000000002</v>
      </c>
      <c r="AE27" s="59">
        <v>9.8000000000000004E-2</v>
      </c>
      <c r="AF27" s="59">
        <v>1.4999999999999999E-2</v>
      </c>
      <c r="AG27" s="59">
        <v>1.2529999999999999</v>
      </c>
      <c r="AH27" s="59">
        <v>1.69</v>
      </c>
      <c r="AI27" s="59">
        <v>0.5</v>
      </c>
      <c r="AJ27" s="59">
        <v>50</v>
      </c>
      <c r="AK27" s="59">
        <v>0.5</v>
      </c>
      <c r="AL27" s="59">
        <v>0</v>
      </c>
      <c r="AM27" s="59">
        <v>-1.5</v>
      </c>
      <c r="AN27" s="59">
        <v>100</v>
      </c>
      <c r="AO27" s="59">
        <v>100</v>
      </c>
      <c r="AP27" s="59">
        <v>0.25</v>
      </c>
      <c r="AQ27" s="91">
        <v>100</v>
      </c>
      <c r="AR27" s="124">
        <v>10</v>
      </c>
      <c r="AS27" s="91">
        <v>0.3</v>
      </c>
      <c r="AT27" s="125">
        <v>6.5160000000000001E-3</v>
      </c>
      <c r="AU27" s="91">
        <v>0.2</v>
      </c>
      <c r="AV27" s="91">
        <v>0.35</v>
      </c>
      <c r="AW27" s="91">
        <v>700</v>
      </c>
      <c r="AX27" s="91">
        <v>1</v>
      </c>
      <c r="AY27" s="125">
        <v>1.5959999999999998E-2</v>
      </c>
      <c r="AZ27" s="91">
        <v>0.2</v>
      </c>
      <c r="BA27" s="91">
        <v>0.35</v>
      </c>
      <c r="BB27" s="91">
        <v>0.5</v>
      </c>
      <c r="BC27" s="91">
        <v>1</v>
      </c>
      <c r="BD27" s="125">
        <v>5.3200000000000001E-3</v>
      </c>
      <c r="BE27" s="91">
        <v>0.2</v>
      </c>
      <c r="BF27" s="91">
        <v>0.35</v>
      </c>
      <c r="BG27" s="116">
        <v>165</v>
      </c>
      <c r="BH27" s="91">
        <v>10</v>
      </c>
      <c r="BI27" s="91">
        <v>4.0000000000000001E-3</v>
      </c>
      <c r="BJ27" s="91">
        <v>2</v>
      </c>
      <c r="BK27" s="91">
        <v>35</v>
      </c>
      <c r="BL27" s="91">
        <v>1.2</v>
      </c>
      <c r="BM27" s="91">
        <f>BL27*4</f>
        <v>4.8</v>
      </c>
      <c r="BN27" s="91">
        <v>1</v>
      </c>
      <c r="BO27" s="91">
        <v>1</v>
      </c>
      <c r="BP27" s="91">
        <v>1</v>
      </c>
      <c r="BQ27" s="91">
        <v>1</v>
      </c>
      <c r="BR27" s="107">
        <v>2.35E-7</v>
      </c>
      <c r="BS27" s="58">
        <v>0.9</v>
      </c>
      <c r="BT27" s="58">
        <v>0.01</v>
      </c>
      <c r="BU27" s="58">
        <v>0.01</v>
      </c>
      <c r="BV27" s="58">
        <v>0.01</v>
      </c>
      <c r="BW27" s="58">
        <v>0.01</v>
      </c>
      <c r="BX27" s="83">
        <v>0.05</v>
      </c>
      <c r="BY27" s="83">
        <v>1</v>
      </c>
      <c r="BZ27" s="83">
        <v>1</v>
      </c>
      <c r="CA27" s="83">
        <v>1</v>
      </c>
      <c r="CB27" s="83">
        <v>4</v>
      </c>
      <c r="CC27" s="83">
        <v>7.55</v>
      </c>
      <c r="CD27" s="83">
        <v>15</v>
      </c>
      <c r="CE27" s="83">
        <v>15</v>
      </c>
      <c r="CF27" s="83">
        <v>15</v>
      </c>
      <c r="CG27" s="122">
        <v>-1.583</v>
      </c>
      <c r="CH27" s="83">
        <v>-1.5</v>
      </c>
      <c r="CI27" s="83">
        <v>-1.5</v>
      </c>
      <c r="CJ27" s="83">
        <v>-1.5</v>
      </c>
      <c r="CK27" s="83">
        <v>15</v>
      </c>
      <c r="CL27" s="58">
        <v>500000</v>
      </c>
      <c r="CM27" s="58">
        <v>1000000</v>
      </c>
      <c r="CN27" s="58">
        <v>1500000</v>
      </c>
      <c r="CO27" s="83">
        <v>7</v>
      </c>
      <c r="CP27" s="83">
        <v>488.7</v>
      </c>
      <c r="CQ27" s="83">
        <v>200</v>
      </c>
      <c r="CR27" s="83">
        <v>200</v>
      </c>
      <c r="CS27" s="2">
        <v>-3</v>
      </c>
      <c r="CT27" s="2">
        <v>-3</v>
      </c>
      <c r="CU27" s="2">
        <v>-3</v>
      </c>
      <c r="CV27" s="2">
        <v>-3</v>
      </c>
      <c r="CW27" s="2">
        <v>100</v>
      </c>
      <c r="CX27" s="2">
        <v>100</v>
      </c>
      <c r="CY27" s="2">
        <v>100</v>
      </c>
      <c r="CZ27" s="2">
        <v>100</v>
      </c>
      <c r="DA27" s="173">
        <v>1</v>
      </c>
      <c r="DB27" s="174">
        <v>0.01</v>
      </c>
      <c r="DC27" s="174">
        <v>0.01</v>
      </c>
      <c r="DD27" s="174">
        <v>7.55</v>
      </c>
      <c r="DE27" s="175">
        <v>-1.25</v>
      </c>
      <c r="DF27" s="66">
        <v>-20</v>
      </c>
      <c r="DG27" s="66">
        <v>100</v>
      </c>
      <c r="DH27" s="66">
        <v>1</v>
      </c>
      <c r="DI27" s="176">
        <v>0.01</v>
      </c>
      <c r="DJ27" s="136">
        <v>3.0000000000000001E-3</v>
      </c>
      <c r="DK27" s="66">
        <v>0.5</v>
      </c>
      <c r="DL27" s="127"/>
      <c r="DM27" s="127"/>
      <c r="DN27" s="127"/>
      <c r="DX27" s="129"/>
      <c r="DY27" s="130"/>
      <c r="DZ27" s="126"/>
      <c r="EB27" s="126"/>
      <c r="EC27" s="126"/>
      <c r="ED27" s="126"/>
      <c r="EE27" s="126"/>
      <c r="EJ27" s="126"/>
      <c r="EK27" s="126"/>
      <c r="EL27" s="126"/>
      <c r="EM27" s="126"/>
      <c r="EN27" s="126"/>
      <c r="EO27" s="126"/>
      <c r="EP27" s="126"/>
      <c r="EQ27" s="126"/>
      <c r="ER27" s="126"/>
      <c r="ES27" s="126"/>
      <c r="ET27" s="126"/>
      <c r="EU27" s="126"/>
      <c r="EV27" s="126"/>
      <c r="EW27" s="126"/>
      <c r="EX27" s="126"/>
      <c r="EY27" s="126"/>
      <c r="EZ27" s="129"/>
      <c r="FA27" s="129"/>
      <c r="FB27" s="129"/>
      <c r="FC27" s="129"/>
      <c r="FD27" s="129"/>
      <c r="FE27" s="129"/>
      <c r="FF27" s="129"/>
      <c r="FG27" s="127"/>
    </row>
    <row r="28" spans="1:170" s="128" customFormat="1">
      <c r="A28" s="95" t="s">
        <v>217</v>
      </c>
      <c r="B28" s="59">
        <v>0</v>
      </c>
      <c r="C28" s="59">
        <v>1</v>
      </c>
      <c r="D28" s="59">
        <v>1</v>
      </c>
      <c r="E28" s="59">
        <v>0</v>
      </c>
      <c r="F28" s="59">
        <v>0</v>
      </c>
      <c r="G28" s="59">
        <v>0</v>
      </c>
      <c r="H28" s="59">
        <v>1</v>
      </c>
      <c r="I28" s="59">
        <v>0</v>
      </c>
      <c r="J28" s="59">
        <v>0.01</v>
      </c>
      <c r="K28" s="91">
        <v>24</v>
      </c>
      <c r="L28" s="59">
        <v>0</v>
      </c>
      <c r="M28" s="59">
        <v>1</v>
      </c>
      <c r="N28" s="59">
        <v>0</v>
      </c>
      <c r="O28" s="59">
        <v>0</v>
      </c>
      <c r="P28" s="59">
        <v>0</v>
      </c>
      <c r="Q28" s="59">
        <v>0</v>
      </c>
      <c r="R28" s="59">
        <v>2</v>
      </c>
      <c r="S28" s="59">
        <v>5</v>
      </c>
      <c r="T28" s="91">
        <v>15</v>
      </c>
      <c r="U28" s="91">
        <v>25</v>
      </c>
      <c r="V28" s="91">
        <v>30</v>
      </c>
      <c r="W28" s="91">
        <v>80</v>
      </c>
      <c r="X28" s="91">
        <v>1500</v>
      </c>
      <c r="Y28" s="91">
        <v>1</v>
      </c>
      <c r="Z28" s="124">
        <v>0</v>
      </c>
      <c r="AA28" s="91">
        <v>0</v>
      </c>
      <c r="AB28" s="91">
        <v>0</v>
      </c>
      <c r="AC28" s="91">
        <v>15</v>
      </c>
      <c r="AD28" s="59">
        <v>0.45900000000000002</v>
      </c>
      <c r="AE28" s="59">
        <v>9.8000000000000004E-2</v>
      </c>
      <c r="AF28" s="59">
        <v>1.4999999999999999E-2</v>
      </c>
      <c r="AG28" s="59">
        <v>1.2529999999999999</v>
      </c>
      <c r="AH28" s="59">
        <v>1.69</v>
      </c>
      <c r="AI28" s="59">
        <v>0.5</v>
      </c>
      <c r="AJ28" s="59">
        <v>50</v>
      </c>
      <c r="AK28" s="59">
        <v>0.5</v>
      </c>
      <c r="AL28" s="59">
        <v>0</v>
      </c>
      <c r="AM28" s="59">
        <v>-1.5</v>
      </c>
      <c r="AN28" s="59">
        <v>100</v>
      </c>
      <c r="AO28" s="59">
        <v>100</v>
      </c>
      <c r="AP28" s="59">
        <v>0.25</v>
      </c>
      <c r="AQ28" s="91">
        <v>100</v>
      </c>
      <c r="AR28" s="124">
        <v>10</v>
      </c>
      <c r="AS28" s="91">
        <v>0.3</v>
      </c>
      <c r="AT28" s="125">
        <v>6.5160000000000001E-3</v>
      </c>
      <c r="AU28" s="91">
        <v>0.2</v>
      </c>
      <c r="AV28" s="91">
        <v>0.35</v>
      </c>
      <c r="AW28" s="91">
        <v>700</v>
      </c>
      <c r="AX28" s="91">
        <v>1</v>
      </c>
      <c r="AY28" s="125">
        <v>1.5959999999999998E-2</v>
      </c>
      <c r="AZ28" s="91">
        <v>0.2</v>
      </c>
      <c r="BA28" s="91">
        <v>0.35</v>
      </c>
      <c r="BB28" s="91">
        <v>0.5</v>
      </c>
      <c r="BC28" s="91">
        <v>1</v>
      </c>
      <c r="BD28" s="125">
        <v>5.3200000000000001E-3</v>
      </c>
      <c r="BE28" s="91">
        <v>0.2</v>
      </c>
      <c r="BF28" s="91">
        <v>0.35</v>
      </c>
      <c r="BG28" s="116">
        <v>156.5</v>
      </c>
      <c r="BH28" s="91">
        <v>10</v>
      </c>
      <c r="BI28" s="91">
        <v>4.0000000000000001E-3</v>
      </c>
      <c r="BJ28" s="91">
        <v>2</v>
      </c>
      <c r="BK28" s="91">
        <v>35</v>
      </c>
      <c r="BL28" s="91">
        <v>1.2</v>
      </c>
      <c r="BM28" s="91">
        <f>BL28*4</f>
        <v>4.8</v>
      </c>
      <c r="BN28" s="91">
        <v>1</v>
      </c>
      <c r="BO28" s="91">
        <v>1</v>
      </c>
      <c r="BP28" s="91">
        <v>1</v>
      </c>
      <c r="BQ28" s="91">
        <v>1</v>
      </c>
      <c r="BR28" s="107">
        <v>2.35E-7</v>
      </c>
      <c r="BS28" s="58">
        <v>0.9</v>
      </c>
      <c r="BT28" s="58">
        <v>0.01</v>
      </c>
      <c r="BU28" s="58">
        <v>0.01</v>
      </c>
      <c r="BV28" s="58">
        <v>0.01</v>
      </c>
      <c r="BW28" s="58">
        <v>0.01</v>
      </c>
      <c r="BX28" s="83">
        <v>0.05</v>
      </c>
      <c r="BY28" s="83">
        <v>1</v>
      </c>
      <c r="BZ28" s="83">
        <v>1</v>
      </c>
      <c r="CA28" s="83">
        <v>1</v>
      </c>
      <c r="CB28" s="83">
        <v>4</v>
      </c>
      <c r="CC28" s="83">
        <v>7.55</v>
      </c>
      <c r="CD28" s="83">
        <v>15</v>
      </c>
      <c r="CE28" s="83">
        <v>15</v>
      </c>
      <c r="CF28" s="83">
        <v>15</v>
      </c>
      <c r="CG28" s="122">
        <v>-2.1469999999999998</v>
      </c>
      <c r="CH28" s="83">
        <v>-1.5</v>
      </c>
      <c r="CI28" s="83">
        <v>-1.5</v>
      </c>
      <c r="CJ28" s="83">
        <v>-1.5</v>
      </c>
      <c r="CK28" s="83">
        <v>15</v>
      </c>
      <c r="CL28" s="58">
        <v>500000</v>
      </c>
      <c r="CM28" s="58">
        <v>1000000</v>
      </c>
      <c r="CN28" s="58">
        <v>1500000</v>
      </c>
      <c r="CO28" s="83">
        <v>7</v>
      </c>
      <c r="CP28" s="83">
        <v>488.7</v>
      </c>
      <c r="CQ28" s="83">
        <v>200</v>
      </c>
      <c r="CR28" s="83">
        <v>200</v>
      </c>
      <c r="CS28" s="2">
        <v>-8</v>
      </c>
      <c r="CT28" s="2">
        <v>-8</v>
      </c>
      <c r="CU28" s="2">
        <v>-8</v>
      </c>
      <c r="CV28" s="2">
        <v>-8</v>
      </c>
      <c r="CW28" s="2">
        <v>25</v>
      </c>
      <c r="CX28" s="2">
        <v>25</v>
      </c>
      <c r="CY28" s="2">
        <v>25</v>
      </c>
      <c r="CZ28" s="2">
        <v>25</v>
      </c>
      <c r="DA28" s="173">
        <v>1</v>
      </c>
      <c r="DB28" s="174">
        <v>0.01</v>
      </c>
      <c r="DC28" s="174">
        <v>0.01</v>
      </c>
      <c r="DD28" s="174">
        <v>7.55</v>
      </c>
      <c r="DE28" s="175">
        <v>-1.25</v>
      </c>
      <c r="DF28" s="66">
        <v>-20</v>
      </c>
      <c r="DG28" s="66">
        <v>100</v>
      </c>
      <c r="DH28" s="66">
        <v>1</v>
      </c>
      <c r="DI28" s="176">
        <v>0.01</v>
      </c>
      <c r="DJ28" s="136">
        <v>3.0000000000000001E-3</v>
      </c>
      <c r="DK28" s="66">
        <v>0.5</v>
      </c>
      <c r="DL28" s="127"/>
      <c r="DM28" s="127"/>
      <c r="DN28" s="127"/>
      <c r="DX28" s="129"/>
      <c r="DY28" s="130"/>
      <c r="DZ28" s="126"/>
      <c r="EB28" s="126"/>
      <c r="EC28" s="126"/>
      <c r="ED28" s="126"/>
      <c r="EE28" s="126"/>
      <c r="EJ28" s="126"/>
      <c r="EK28" s="126"/>
      <c r="EL28" s="126"/>
      <c r="EM28" s="126"/>
      <c r="EN28" s="126"/>
      <c r="EO28" s="126"/>
      <c r="EP28" s="126"/>
      <c r="EQ28" s="126"/>
      <c r="ER28" s="126"/>
      <c r="ES28" s="126"/>
      <c r="ET28" s="126"/>
      <c r="EU28" s="126"/>
      <c r="EV28" s="126"/>
      <c r="EW28" s="126"/>
      <c r="EX28" s="126"/>
      <c r="EY28" s="126"/>
      <c r="EZ28" s="129"/>
      <c r="FA28" s="129"/>
      <c r="FB28" s="129"/>
      <c r="FC28" s="129"/>
      <c r="FD28" s="129"/>
      <c r="FE28" s="129"/>
      <c r="FF28" s="129"/>
      <c r="FG28" s="127"/>
    </row>
    <row r="29" spans="1:170" s="75" customFormat="1">
      <c r="A29" s="95"/>
      <c r="B29"/>
      <c r="C29"/>
      <c r="D29"/>
      <c r="E29"/>
      <c r="F29"/>
      <c r="G29"/>
      <c r="H29"/>
      <c r="I29"/>
      <c r="J29"/>
      <c r="K29" s="6"/>
      <c r="L29"/>
      <c r="M29" s="2"/>
      <c r="N29" s="2"/>
      <c r="O29" s="2"/>
      <c r="P29" s="2"/>
      <c r="Q29" s="2"/>
      <c r="R29"/>
      <c r="S29" s="60"/>
      <c r="T29" s="6"/>
      <c r="U29" s="116"/>
      <c r="V29" s="6"/>
      <c r="W29" s="6"/>
      <c r="X29" s="6"/>
      <c r="Y29" s="6"/>
      <c r="Z29" s="90"/>
      <c r="AA29" s="6"/>
      <c r="AB29" s="6"/>
      <c r="AC29" s="6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s="6"/>
      <c r="AR29" s="90"/>
      <c r="AS29" s="6"/>
      <c r="AT29" s="85"/>
      <c r="AU29" s="6"/>
      <c r="AV29" s="6"/>
      <c r="AW29" s="6"/>
      <c r="AX29" s="6"/>
      <c r="AY29" s="85"/>
      <c r="AZ29" s="6"/>
      <c r="BA29" s="6"/>
      <c r="BB29" s="6"/>
      <c r="BC29" s="6"/>
      <c r="BD29" s="85"/>
      <c r="BE29" s="6"/>
      <c r="BF29" s="6"/>
      <c r="BG29" s="6"/>
      <c r="BH29" s="91"/>
      <c r="BI29" s="6"/>
      <c r="BJ29" s="91"/>
      <c r="BK29" s="91"/>
      <c r="BL29" s="91"/>
      <c r="BM29" s="91"/>
      <c r="BN29" s="6"/>
      <c r="BO29" s="6"/>
      <c r="BP29" s="6"/>
      <c r="BQ29" s="6"/>
      <c r="BR29" s="1"/>
      <c r="BS29" s="8"/>
      <c r="BT29" s="8"/>
      <c r="BU29" s="8"/>
      <c r="BV29" s="8"/>
      <c r="BW29" s="8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83"/>
      <c r="CL29" s="58"/>
      <c r="CM29" s="58"/>
      <c r="CN29" s="58"/>
      <c r="CO29" s="83"/>
      <c r="CP29" s="83"/>
      <c r="CQ29" s="83"/>
      <c r="CR29" s="83"/>
      <c r="CS29" s="59"/>
      <c r="CT29" s="59"/>
      <c r="CU29" s="59"/>
      <c r="CV29" s="59"/>
      <c r="CW29" s="59"/>
      <c r="CX29" s="59"/>
      <c r="CY29" s="59"/>
      <c r="CZ29" s="59"/>
      <c r="DA29" s="173"/>
      <c r="DB29" s="174"/>
      <c r="DC29" s="174"/>
      <c r="DD29" s="174"/>
      <c r="DE29" s="175"/>
      <c r="DF29" s="66"/>
      <c r="DG29" s="66"/>
      <c r="DH29" s="66"/>
      <c r="DI29" s="176"/>
      <c r="DJ29" s="136"/>
      <c r="DK29" s="66"/>
      <c r="DL29" s="66"/>
      <c r="DM29" s="66"/>
      <c r="DN29" s="66"/>
      <c r="DO29" s="66"/>
      <c r="DP29" s="66"/>
      <c r="DQ29" s="66"/>
      <c r="DR29" s="66"/>
      <c r="DS29" s="68"/>
      <c r="DT29" s="69"/>
      <c r="DU29" s="70"/>
      <c r="DV29" s="70"/>
      <c r="DW29" s="70"/>
      <c r="DX29" s="70"/>
      <c r="DY29" s="69"/>
      <c r="DZ29" s="71"/>
      <c r="EA29" s="72"/>
      <c r="EB29" s="71"/>
      <c r="EC29" s="71"/>
      <c r="ED29" s="71"/>
      <c r="EE29" s="71"/>
      <c r="EF29" s="72"/>
      <c r="EG29" s="72"/>
      <c r="EH29" s="72"/>
      <c r="EI29" s="72"/>
      <c r="EJ29" s="67"/>
      <c r="EK29" s="67"/>
      <c r="EL29" s="67"/>
      <c r="EM29" s="67"/>
      <c r="EN29" s="67"/>
      <c r="EO29" s="67"/>
      <c r="EP29" s="67"/>
      <c r="EQ29" s="67"/>
      <c r="ER29" s="67"/>
      <c r="ES29" s="67"/>
      <c r="ET29" s="67"/>
      <c r="EU29" s="67"/>
      <c r="EV29" s="71"/>
      <c r="EW29" s="71"/>
      <c r="EX29" s="71"/>
      <c r="EY29" s="71"/>
      <c r="EZ29" s="70"/>
      <c r="FA29" s="70"/>
      <c r="FB29" s="70"/>
      <c r="FC29" s="70"/>
      <c r="FD29" s="70"/>
      <c r="FE29" s="70"/>
      <c r="FF29" s="73"/>
      <c r="FG29" s="74"/>
    </row>
    <row r="30" spans="1:170">
      <c r="DA30" s="173"/>
      <c r="DB30" s="174"/>
      <c r="DC30" s="174"/>
      <c r="DD30" s="174"/>
      <c r="DE30" s="175"/>
      <c r="DF30" s="66"/>
      <c r="DG30" s="66"/>
      <c r="DH30" s="66"/>
      <c r="DI30" s="176"/>
      <c r="DJ30" s="136"/>
      <c r="DK30" s="66"/>
    </row>
    <row r="31" spans="1:170">
      <c r="DA31" s="173"/>
      <c r="DB31" s="174"/>
      <c r="DC31" s="174"/>
      <c r="DD31" s="174"/>
      <c r="DE31" s="175"/>
      <c r="DF31" s="66"/>
      <c r="DG31" s="66"/>
      <c r="DH31" s="66"/>
      <c r="DI31" s="176"/>
      <c r="DJ31" s="136"/>
      <c r="DK31" s="66"/>
    </row>
  </sheetData>
  <mergeCells count="6">
    <mergeCell ref="U8:AE8"/>
    <mergeCell ref="U2:AE2"/>
    <mergeCell ref="U4:AE4"/>
    <mergeCell ref="U5:AE5"/>
    <mergeCell ref="U6:AE6"/>
    <mergeCell ref="U7:AE7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le2"/>
  <dimension ref="A1:N50"/>
  <sheetViews>
    <sheetView topLeftCell="A34" zoomScale="162" workbookViewId="0">
      <selection activeCell="D13" sqref="D13"/>
    </sheetView>
  </sheetViews>
  <sheetFormatPr baseColWidth="10" defaultRowHeight="16"/>
  <cols>
    <col min="3" max="3" width="39.5" customWidth="1"/>
    <col min="4" max="4" width="11.1640625" bestFit="1" customWidth="1"/>
    <col min="5" max="5" width="14.5" style="4" customWidth="1"/>
    <col min="11" max="11" width="20.33203125" customWidth="1"/>
  </cols>
  <sheetData>
    <row r="1" spans="1:14">
      <c r="D1" t="s">
        <v>34</v>
      </c>
      <c r="E1" s="4" t="s">
        <v>35</v>
      </c>
      <c r="H1" t="s">
        <v>134</v>
      </c>
      <c r="L1" t="s">
        <v>34</v>
      </c>
      <c r="M1" s="4" t="s">
        <v>35</v>
      </c>
    </row>
    <row r="2" spans="1:14">
      <c r="A2" t="s">
        <v>15</v>
      </c>
      <c r="B2" t="s">
        <v>28</v>
      </c>
      <c r="C2" t="s">
        <v>16</v>
      </c>
      <c r="D2" s="3">
        <v>1E-3</v>
      </c>
      <c r="I2" t="s">
        <v>15</v>
      </c>
      <c r="J2" t="s">
        <v>28</v>
      </c>
      <c r="K2" t="s">
        <v>16</v>
      </c>
      <c r="L2" s="3">
        <v>2E-3</v>
      </c>
      <c r="M2" s="4"/>
    </row>
    <row r="3" spans="1:14">
      <c r="C3" t="s">
        <v>27</v>
      </c>
      <c r="D3" s="2">
        <v>0.1</v>
      </c>
      <c r="K3" t="s">
        <v>27</v>
      </c>
      <c r="L3" s="2">
        <v>0.3</v>
      </c>
      <c r="M3" s="4"/>
    </row>
    <row r="4" spans="1:14">
      <c r="C4" t="s">
        <v>26</v>
      </c>
      <c r="D4" s="2">
        <v>0.25</v>
      </c>
      <c r="K4" t="s">
        <v>26</v>
      </c>
      <c r="L4" s="2">
        <v>0.25</v>
      </c>
      <c r="M4" s="4"/>
    </row>
    <row r="5" spans="1:14">
      <c r="C5" s="87" t="s">
        <v>87</v>
      </c>
      <c r="D5" s="3">
        <f>D3*(1-D4)</f>
        <v>7.5000000000000011E-2</v>
      </c>
      <c r="E5" s="4">
        <f>D5*1000</f>
        <v>75.000000000000014</v>
      </c>
      <c r="K5" s="87" t="s">
        <v>87</v>
      </c>
      <c r="L5" s="3">
        <f>L3*(1-L4)</f>
        <v>0.22499999999999998</v>
      </c>
      <c r="M5" s="4">
        <f>L5*1000</f>
        <v>224.99999999999997</v>
      </c>
    </row>
    <row r="6" spans="1:14">
      <c r="C6" s="87" t="s">
        <v>88</v>
      </c>
      <c r="D6" s="3">
        <f>D3*D4</f>
        <v>2.5000000000000001E-2</v>
      </c>
      <c r="E6" s="4">
        <f>D6*1000</f>
        <v>25</v>
      </c>
      <c r="K6" s="87" t="s">
        <v>88</v>
      </c>
      <c r="L6" s="3">
        <f>L3*L4</f>
        <v>7.4999999999999997E-2</v>
      </c>
      <c r="M6" s="4">
        <f>L6*1000</f>
        <v>75</v>
      </c>
    </row>
    <row r="7" spans="1:14">
      <c r="C7" t="s">
        <v>149</v>
      </c>
      <c r="D7" s="2">
        <f>1/1000</f>
        <v>1E-3</v>
      </c>
      <c r="K7" t="s">
        <v>36</v>
      </c>
      <c r="L7" s="2">
        <f>1/1000</f>
        <v>1E-3</v>
      </c>
      <c r="M7" s="4"/>
    </row>
    <row r="8" spans="1:14">
      <c r="C8" s="2" t="s">
        <v>21</v>
      </c>
      <c r="D8" s="1">
        <f>D7*D6</f>
        <v>2.5000000000000001E-5</v>
      </c>
      <c r="F8" s="4">
        <f>D6/D8</f>
        <v>1000</v>
      </c>
      <c r="K8" s="2" t="s">
        <v>21</v>
      </c>
      <c r="L8" s="1">
        <f>L7*L6</f>
        <v>7.4999999999999993E-5</v>
      </c>
      <c r="M8" s="4"/>
      <c r="N8" s="4">
        <f>L6/L8</f>
        <v>1000</v>
      </c>
    </row>
    <row r="9" spans="1:14">
      <c r="C9" s="2" t="s">
        <v>85</v>
      </c>
      <c r="D9" s="1">
        <v>30</v>
      </c>
      <c r="F9" s="4"/>
      <c r="K9" s="2" t="s">
        <v>85</v>
      </c>
      <c r="L9" s="1">
        <v>30</v>
      </c>
      <c r="M9" s="4"/>
      <c r="N9" s="4"/>
    </row>
    <row r="10" spans="1:14">
      <c r="C10" s="2" t="s">
        <v>86</v>
      </c>
      <c r="D10" s="1">
        <v>30</v>
      </c>
      <c r="F10" s="4"/>
      <c r="K10" s="2" t="s">
        <v>86</v>
      </c>
      <c r="L10" s="1">
        <v>30</v>
      </c>
      <c r="M10" s="4"/>
      <c r="N10" s="4"/>
    </row>
    <row r="11" spans="1:14">
      <c r="B11" t="s">
        <v>29</v>
      </c>
      <c r="C11" t="s">
        <v>33</v>
      </c>
      <c r="D11" s="2">
        <v>1</v>
      </c>
      <c r="J11" t="s">
        <v>29</v>
      </c>
      <c r="K11" t="s">
        <v>33</v>
      </c>
      <c r="L11" s="2">
        <v>0.01</v>
      </c>
      <c r="M11" s="4"/>
    </row>
    <row r="12" spans="1:14">
      <c r="B12" t="s">
        <v>161</v>
      </c>
      <c r="C12" t="s">
        <v>17</v>
      </c>
      <c r="D12" s="3">
        <v>1E-4</v>
      </c>
      <c r="J12" t="s">
        <v>38</v>
      </c>
      <c r="K12" t="s">
        <v>17</v>
      </c>
      <c r="L12" s="3">
        <v>1E-4</v>
      </c>
      <c r="M12" s="4"/>
    </row>
    <row r="13" spans="1:14">
      <c r="C13" t="s">
        <v>32</v>
      </c>
      <c r="D13" s="1">
        <f>D12*D2</f>
        <v>1.0000000000000001E-7</v>
      </c>
      <c r="K13" t="s">
        <v>32</v>
      </c>
      <c r="L13" s="1">
        <f>L12*L2</f>
        <v>2.0000000000000002E-7</v>
      </c>
      <c r="M13" s="4"/>
    </row>
    <row r="14" spans="1:14">
      <c r="C14" t="s">
        <v>160</v>
      </c>
      <c r="D14" s="1">
        <v>0.01</v>
      </c>
      <c r="E14" s="7"/>
      <c r="K14" t="s">
        <v>40</v>
      </c>
      <c r="L14" s="1">
        <f>SQRT(L13/3.1416)</f>
        <v>2.5231295719346385E-4</v>
      </c>
      <c r="M14" s="4"/>
    </row>
    <row r="15" spans="1:14">
      <c r="C15" t="s">
        <v>41</v>
      </c>
      <c r="D15" s="1">
        <f>3.1416*D14*D11</f>
        <v>3.1415999999999999E-2</v>
      </c>
      <c r="K15" t="s">
        <v>41</v>
      </c>
      <c r="L15" s="1">
        <f>3.1416*L14*SQRT(L14^2+L11^2)</f>
        <v>7.9291865913219627E-6</v>
      </c>
      <c r="M15" s="4"/>
    </row>
    <row r="16" spans="1:14">
      <c r="C16" t="s">
        <v>18</v>
      </c>
      <c r="D16" s="1">
        <f>3.14/4*D14*D14*D11</f>
        <v>7.8500000000000011E-5</v>
      </c>
      <c r="E16" s="4">
        <f>D16*1000*1000</f>
        <v>78.500000000000014</v>
      </c>
      <c r="G16" s="1"/>
      <c r="K16" t="s">
        <v>18</v>
      </c>
      <c r="L16" s="1">
        <f>L13*L11/3</f>
        <v>6.6666666666666674E-10</v>
      </c>
      <c r="M16" s="4">
        <f>L16*1000*1000</f>
        <v>6.6666666666666675E-4</v>
      </c>
    </row>
    <row r="17" spans="2:14">
      <c r="C17" t="s">
        <v>25</v>
      </c>
      <c r="D17" s="2">
        <v>0.2</v>
      </c>
      <c r="K17" t="s">
        <v>25</v>
      </c>
      <c r="L17" s="2">
        <v>0.2</v>
      </c>
      <c r="M17" s="4"/>
    </row>
    <row r="18" spans="2:14">
      <c r="C18" s="87" t="s">
        <v>19</v>
      </c>
      <c r="D18" s="1">
        <f>D17*D16*1000</f>
        <v>1.5700000000000002E-2</v>
      </c>
      <c r="E18" s="4">
        <f>D18*1000</f>
        <v>15.700000000000003</v>
      </c>
      <c r="K18" s="87" t="s">
        <v>19</v>
      </c>
      <c r="L18" s="88">
        <f>L17*L16*1000</f>
        <v>1.3333333333333336E-7</v>
      </c>
      <c r="M18" s="4">
        <f>L18*1000</f>
        <v>1.3333333333333337E-4</v>
      </c>
    </row>
    <row r="19" spans="2:14">
      <c r="C19" t="s">
        <v>149</v>
      </c>
      <c r="D19" s="2">
        <f>1/1000</f>
        <v>1E-3</v>
      </c>
      <c r="K19" t="s">
        <v>36</v>
      </c>
      <c r="L19" s="2">
        <f>1/1000</f>
        <v>1E-3</v>
      </c>
      <c r="M19" s="4"/>
    </row>
    <row r="20" spans="2:14">
      <c r="C20" s="2" t="s">
        <v>21</v>
      </c>
      <c r="D20" s="1">
        <f>D19*D18</f>
        <v>1.5700000000000002E-5</v>
      </c>
      <c r="F20" s="4">
        <f>D18/D20</f>
        <v>1000</v>
      </c>
      <c r="K20" s="2" t="s">
        <v>21</v>
      </c>
      <c r="L20" s="1">
        <f>L19*L18</f>
        <v>1.3333333333333336E-10</v>
      </c>
      <c r="M20" s="4"/>
      <c r="N20" s="4">
        <f>L18/L20</f>
        <v>1000</v>
      </c>
    </row>
    <row r="21" spans="2:14">
      <c r="C21" t="s">
        <v>24</v>
      </c>
      <c r="D21" s="5">
        <v>0.35</v>
      </c>
      <c r="K21" t="s">
        <v>24</v>
      </c>
      <c r="L21" s="5">
        <v>0.35</v>
      </c>
      <c r="M21" s="4"/>
    </row>
    <row r="22" spans="2:14">
      <c r="C22" s="87" t="s">
        <v>20</v>
      </c>
      <c r="D22" s="1">
        <f>D21*D16*1000</f>
        <v>2.7474999999999999E-2</v>
      </c>
      <c r="E22" s="4">
        <f>D22*1000</f>
        <v>27.474999999999998</v>
      </c>
      <c r="K22" s="87" t="s">
        <v>20</v>
      </c>
      <c r="L22" s="88">
        <f>L21*L16*1000</f>
        <v>2.3333333333333336E-7</v>
      </c>
      <c r="M22" s="4">
        <f>L22*1000</f>
        <v>2.3333333333333336E-4</v>
      </c>
    </row>
    <row r="23" spans="2:14">
      <c r="C23" t="s">
        <v>22</v>
      </c>
      <c r="D23" s="2">
        <f>0.02*1000</f>
        <v>20</v>
      </c>
      <c r="K23" t="s">
        <v>22</v>
      </c>
      <c r="L23" s="2">
        <f>0.02*1000</f>
        <v>20</v>
      </c>
      <c r="M23" s="4"/>
    </row>
    <row r="24" spans="2:14">
      <c r="C24" t="s">
        <v>23</v>
      </c>
      <c r="D24" s="1">
        <f>D23*D16</f>
        <v>1.5700000000000002E-3</v>
      </c>
      <c r="K24" t="s">
        <v>23</v>
      </c>
      <c r="L24" s="1">
        <f>L23*L16</f>
        <v>1.3333333333333335E-8</v>
      </c>
      <c r="M24" s="4"/>
    </row>
    <row r="25" spans="2:14">
      <c r="B25" t="s">
        <v>30</v>
      </c>
      <c r="C25" t="s">
        <v>33</v>
      </c>
      <c r="D25" s="2">
        <v>1</v>
      </c>
      <c r="J25" t="s">
        <v>30</v>
      </c>
      <c r="K25" t="s">
        <v>33</v>
      </c>
      <c r="L25" s="2">
        <v>0.01</v>
      </c>
      <c r="M25" s="4"/>
    </row>
    <row r="26" spans="2:14">
      <c r="B26" t="s">
        <v>39</v>
      </c>
      <c r="C26" t="s">
        <v>32</v>
      </c>
      <c r="D26" s="1">
        <v>2.0000000000000001E-4</v>
      </c>
      <c r="J26" t="s">
        <v>39</v>
      </c>
      <c r="K26" t="s">
        <v>32</v>
      </c>
      <c r="L26" s="1">
        <f>L13</f>
        <v>2.0000000000000002E-7</v>
      </c>
      <c r="M26" s="4"/>
    </row>
    <row r="27" spans="2:14">
      <c r="C27" t="s">
        <v>18</v>
      </c>
      <c r="D27" s="1">
        <f>D26*D25</f>
        <v>2.0000000000000001E-4</v>
      </c>
      <c r="E27" s="4">
        <f>D27*1000*1000</f>
        <v>200</v>
      </c>
      <c r="K27" t="s">
        <v>18</v>
      </c>
      <c r="L27" s="1">
        <f>L26*L25</f>
        <v>2.0000000000000001E-9</v>
      </c>
      <c r="M27" s="4">
        <f>L27*1000*1000</f>
        <v>2.0000000000000005E-3</v>
      </c>
    </row>
    <row r="28" spans="2:14">
      <c r="C28" t="s">
        <v>40</v>
      </c>
      <c r="D28" s="1">
        <f>SQRT(D26/3.1416)</f>
        <v>7.9788362790391143E-3</v>
      </c>
      <c r="K28" t="s">
        <v>40</v>
      </c>
      <c r="L28" s="1">
        <f>SQRT(L26/3.1416)</f>
        <v>2.5231295719346385E-4</v>
      </c>
      <c r="M28" s="4"/>
    </row>
    <row r="29" spans="2:14">
      <c r="C29" t="s">
        <v>41</v>
      </c>
      <c r="D29" s="1">
        <f>2*3.1416*D28*D25</f>
        <v>5.0132624108458562E-2</v>
      </c>
      <c r="F29" s="1"/>
      <c r="K29" t="s">
        <v>41</v>
      </c>
      <c r="L29" s="1">
        <f>2*3.1416*L28*L25</f>
        <v>1.5853327726379721E-5</v>
      </c>
      <c r="M29" s="4"/>
      <c r="N29" s="1"/>
    </row>
    <row r="30" spans="2:14">
      <c r="C30" t="s">
        <v>25</v>
      </c>
      <c r="D30" s="2">
        <v>0.2</v>
      </c>
      <c r="K30" t="s">
        <v>25</v>
      </c>
      <c r="L30" s="2">
        <v>0.2</v>
      </c>
      <c r="M30" s="4"/>
    </row>
    <row r="31" spans="2:14">
      <c r="C31" s="87" t="s">
        <v>19</v>
      </c>
      <c r="D31" s="1">
        <f>D30*D27*1000</f>
        <v>0.04</v>
      </c>
      <c r="E31" s="4">
        <f>D31*1000</f>
        <v>40</v>
      </c>
      <c r="K31" s="87" t="s">
        <v>19</v>
      </c>
      <c r="L31" s="88">
        <f>L30*L27*1000</f>
        <v>4.0000000000000009E-7</v>
      </c>
      <c r="M31" s="4">
        <f>L31*1000</f>
        <v>4.0000000000000007E-4</v>
      </c>
    </row>
    <row r="32" spans="2:14">
      <c r="C32" t="s">
        <v>162</v>
      </c>
      <c r="D32" s="2">
        <f>1/1000</f>
        <v>1E-3</v>
      </c>
      <c r="K32" t="s">
        <v>36</v>
      </c>
      <c r="L32" s="2">
        <f>1/1000</f>
        <v>1E-3</v>
      </c>
      <c r="M32" s="4"/>
    </row>
    <row r="33" spans="2:14">
      <c r="C33" s="2" t="s">
        <v>21</v>
      </c>
      <c r="D33" s="1">
        <f>D32*D31</f>
        <v>4.0000000000000003E-5</v>
      </c>
      <c r="F33" s="4">
        <f>D31/D33</f>
        <v>999.99999999999989</v>
      </c>
      <c r="K33" s="2" t="s">
        <v>21</v>
      </c>
      <c r="L33" s="1">
        <f>L32*L31</f>
        <v>4.0000000000000012E-10</v>
      </c>
      <c r="M33" s="4"/>
      <c r="N33" s="4">
        <f>L31/L33</f>
        <v>999.99999999999989</v>
      </c>
    </row>
    <row r="34" spans="2:14">
      <c r="C34" t="s">
        <v>24</v>
      </c>
      <c r="D34" s="5">
        <v>0.35</v>
      </c>
      <c r="K34" t="s">
        <v>24</v>
      </c>
      <c r="L34" s="5">
        <v>0.35</v>
      </c>
      <c r="M34" s="4"/>
    </row>
    <row r="35" spans="2:14">
      <c r="C35" s="87" t="s">
        <v>20</v>
      </c>
      <c r="D35" s="1">
        <f>D34*D27*1000</f>
        <v>6.9999999999999993E-2</v>
      </c>
      <c r="E35" s="4">
        <f>D35*1000</f>
        <v>69.999999999999986</v>
      </c>
      <c r="K35" s="87" t="s">
        <v>20</v>
      </c>
      <c r="L35" s="88">
        <f>L34*L27*1000</f>
        <v>6.9999999999999997E-7</v>
      </c>
      <c r="M35" s="4">
        <f>L35*1000</f>
        <v>6.9999999999999999E-4</v>
      </c>
    </row>
    <row r="36" spans="2:14">
      <c r="C36" t="s">
        <v>22</v>
      </c>
      <c r="D36" s="2">
        <f>0.02*1000</f>
        <v>20</v>
      </c>
      <c r="K36" t="s">
        <v>22</v>
      </c>
      <c r="L36" s="2">
        <f>0.02*1000</f>
        <v>20</v>
      </c>
      <c r="M36" s="4"/>
    </row>
    <row r="37" spans="2:14">
      <c r="C37" t="s">
        <v>23</v>
      </c>
      <c r="D37" s="1">
        <f>D36*D27</f>
        <v>4.0000000000000001E-3</v>
      </c>
      <c r="K37" t="s">
        <v>23</v>
      </c>
      <c r="L37" s="1">
        <f>L36*L27</f>
        <v>4.0000000000000001E-8</v>
      </c>
      <c r="M37" s="4"/>
    </row>
    <row r="38" spans="2:14">
      <c r="B38" t="s">
        <v>31</v>
      </c>
      <c r="C38" t="s">
        <v>33</v>
      </c>
      <c r="D38" s="2">
        <v>1</v>
      </c>
      <c r="J38" t="s">
        <v>31</v>
      </c>
      <c r="K38" t="s">
        <v>33</v>
      </c>
      <c r="L38" s="2">
        <v>0.1</v>
      </c>
      <c r="M38" s="4"/>
    </row>
    <row r="39" spans="2:14">
      <c r="B39" t="s">
        <v>38</v>
      </c>
      <c r="C39" t="s">
        <v>32</v>
      </c>
      <c r="D39" s="1">
        <v>2.0000000000000001E-4</v>
      </c>
      <c r="J39" t="s">
        <v>38</v>
      </c>
      <c r="K39" t="s">
        <v>32</v>
      </c>
      <c r="L39" s="1">
        <f>L13</f>
        <v>2.0000000000000002E-7</v>
      </c>
      <c r="M39" s="4"/>
    </row>
    <row r="40" spans="2:14">
      <c r="C40" t="s">
        <v>40</v>
      </c>
      <c r="D40" s="1">
        <f>SQRT(D39/3.1416)</f>
        <v>7.9788362790391143E-3</v>
      </c>
      <c r="K40" t="s">
        <v>40</v>
      </c>
      <c r="L40" s="1">
        <f>SQRT(L39/3.1416)</f>
        <v>2.5231295719346385E-4</v>
      </c>
      <c r="M40" s="4"/>
    </row>
    <row r="41" spans="2:14">
      <c r="C41" t="s">
        <v>41</v>
      </c>
      <c r="D41" s="1">
        <f>3.1416*D40*SQRT(D40^2+D38^2)</f>
        <v>2.5067109925158912E-2</v>
      </c>
      <c r="K41" t="s">
        <v>41</v>
      </c>
      <c r="L41" s="1">
        <f>3.1416*L40*SQRT(L40^2+L38^2)</f>
        <v>7.9266890944454236E-5</v>
      </c>
      <c r="M41" s="4"/>
    </row>
    <row r="42" spans="2:14">
      <c r="C42" t="s">
        <v>18</v>
      </c>
      <c r="D42" s="1">
        <f>D39*D38/3</f>
        <v>6.666666666666667E-5</v>
      </c>
      <c r="E42" s="4">
        <f>D42*1000*1000</f>
        <v>66.666666666666671</v>
      </c>
      <c r="K42" t="s">
        <v>18</v>
      </c>
      <c r="L42" s="1">
        <f>L39*L38/3</f>
        <v>6.6666666666666676E-9</v>
      </c>
      <c r="M42" s="4">
        <f>L42*1000*1000</f>
        <v>6.6666666666666671E-3</v>
      </c>
    </row>
    <row r="43" spans="2:14">
      <c r="C43" t="s">
        <v>25</v>
      </c>
      <c r="D43" s="2">
        <v>0.2</v>
      </c>
      <c r="K43" t="s">
        <v>25</v>
      </c>
      <c r="L43" s="2">
        <v>0.2</v>
      </c>
      <c r="M43" s="4"/>
    </row>
    <row r="44" spans="2:14">
      <c r="C44" t="s">
        <v>19</v>
      </c>
      <c r="D44" s="1">
        <f>D43*D42*1000</f>
        <v>1.3333333333333334E-2</v>
      </c>
      <c r="E44" s="4">
        <f>D44*1000</f>
        <v>13.333333333333334</v>
      </c>
      <c r="K44" s="87" t="s">
        <v>19</v>
      </c>
      <c r="L44" s="88">
        <f>L43*L42*1000</f>
        <v>1.3333333333333336E-6</v>
      </c>
      <c r="M44" s="4">
        <f>L44*1000</f>
        <v>1.3333333333333337E-3</v>
      </c>
    </row>
    <row r="45" spans="2:14">
      <c r="C45" t="s">
        <v>36</v>
      </c>
      <c r="D45" s="2">
        <f>1/1000</f>
        <v>1E-3</v>
      </c>
      <c r="K45" t="s">
        <v>36</v>
      </c>
      <c r="L45" s="2">
        <f>1/1000</f>
        <v>1E-3</v>
      </c>
      <c r="M45" s="4"/>
    </row>
    <row r="46" spans="2:14">
      <c r="C46" s="2" t="s">
        <v>21</v>
      </c>
      <c r="D46" s="1">
        <f>D45*D44</f>
        <v>1.3333333333333335E-5</v>
      </c>
      <c r="F46" s="4">
        <f>D44/D46</f>
        <v>999.99999999999989</v>
      </c>
      <c r="K46" s="2" t="s">
        <v>21</v>
      </c>
      <c r="L46" s="1">
        <f>L45*L44</f>
        <v>1.3333333333333337E-9</v>
      </c>
      <c r="M46" s="4"/>
      <c r="N46" s="4">
        <f>L44/L46</f>
        <v>1000</v>
      </c>
    </row>
    <row r="47" spans="2:14">
      <c r="C47" t="s">
        <v>24</v>
      </c>
      <c r="D47" s="5">
        <v>0.35</v>
      </c>
      <c r="K47" t="s">
        <v>24</v>
      </c>
      <c r="L47" s="5">
        <v>0.35</v>
      </c>
      <c r="M47" s="4"/>
    </row>
    <row r="48" spans="2:14">
      <c r="C48" t="s">
        <v>20</v>
      </c>
      <c r="D48" s="1">
        <f>D47*D42*1000</f>
        <v>2.3333333333333331E-2</v>
      </c>
      <c r="E48" s="4">
        <f>D48*1000</f>
        <v>23.333333333333332</v>
      </c>
      <c r="K48" s="87" t="s">
        <v>20</v>
      </c>
      <c r="L48" s="88">
        <f>L47*L42*1000</f>
        <v>2.3333333333333336E-6</v>
      </c>
      <c r="M48" s="4">
        <f>L48*1000</f>
        <v>2.3333333333333335E-3</v>
      </c>
    </row>
    <row r="49" spans="3:13">
      <c r="C49" t="s">
        <v>22</v>
      </c>
      <c r="D49" s="2">
        <f>0.02*1000</f>
        <v>20</v>
      </c>
      <c r="K49" t="s">
        <v>22</v>
      </c>
      <c r="L49" s="2">
        <f>0.02*1000</f>
        <v>20</v>
      </c>
      <c r="M49" s="4"/>
    </row>
    <row r="50" spans="3:13">
      <c r="C50" t="s">
        <v>23</v>
      </c>
      <c r="D50" s="1">
        <f>D49*D42</f>
        <v>1.3333333333333335E-3</v>
      </c>
      <c r="K50" t="s">
        <v>23</v>
      </c>
      <c r="L50" s="1">
        <f>L49*L42</f>
        <v>1.3333333333333336E-7</v>
      </c>
      <c r="M50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14</vt:i4>
      </vt:variant>
    </vt:vector>
  </HeadingPairs>
  <TitlesOfParts>
    <vt:vector size="26" baseType="lpstr">
      <vt:lpstr>sureau_ini.txt</vt:lpstr>
      <vt:lpstr>transient_out.txt</vt:lpstr>
      <vt:lpstr>Fractal shoot</vt:lpstr>
      <vt:lpstr>Fractal root</vt:lpstr>
      <vt:lpstr>Fractal map</vt:lpstr>
      <vt:lpstr>climat_hour_in.txt</vt:lpstr>
      <vt:lpstr>climat_day_in.txt</vt:lpstr>
      <vt:lpstr>climat_month_in.txt</vt:lpstr>
      <vt:lpstr>soil</vt:lpstr>
      <vt:lpstr>Feuil1</vt:lpstr>
      <vt:lpstr>species</vt:lpstr>
      <vt:lpstr>calcul</vt:lpstr>
      <vt:lpstr>Branch_m</vt:lpstr>
      <vt:lpstr>dbh</vt:lpstr>
      <vt:lpstr>FRACTAL</vt:lpstr>
      <vt:lpstr>g_crown</vt:lpstr>
      <vt:lpstr>g_cuti</vt:lpstr>
      <vt:lpstr>gs_max</vt:lpstr>
      <vt:lpstr>LA_max__m2</vt:lpstr>
      <vt:lpstr>P50_Branch_Apo</vt:lpstr>
      <vt:lpstr>P50_Leaf_Apo</vt:lpstr>
      <vt:lpstr>Pi0_Leaf_Symp</vt:lpstr>
      <vt:lpstr>Soil_Depth</vt:lpstr>
      <vt:lpstr>Soil_Width</vt:lpstr>
      <vt:lpstr>Trunk_m</vt:lpstr>
      <vt:lpstr>VPD_max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Cochard</dc:creator>
  <cp:lastModifiedBy>Utilisateur de Microsoft Office</cp:lastModifiedBy>
  <dcterms:created xsi:type="dcterms:W3CDTF">2017-11-22T07:35:25Z</dcterms:created>
  <dcterms:modified xsi:type="dcterms:W3CDTF">2021-05-17T15:04:17Z</dcterms:modified>
</cp:coreProperties>
</file>