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/dev_documentation/"/>
    </mc:Choice>
  </mc:AlternateContent>
  <xr:revisionPtr revIDLastSave="0" documentId="13_ncr:1_{13F88BB7-C190-3B42-94C3-629C7FC7CFA6}" xr6:coauthVersionLast="47" xr6:coauthVersionMax="47" xr10:uidLastSave="{00000000-0000-0000-0000-000000000000}"/>
  <bookViews>
    <workbookView xWindow="5940" yWindow="2440" windowWidth="31000" windowHeight="17440" xr2:uid="{D9106142-DCBD-4E45-A888-1E539F445614}"/>
  </bookViews>
  <sheets>
    <sheet name="WorkSheet" sheetId="1" r:id="rId1"/>
    <sheet name="Feuil1" sheetId="3" r:id="rId2"/>
    <sheet name="Sensitivity" sheetId="2" r:id="rId3"/>
  </sheets>
  <definedNames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8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43" i="1"/>
  <c r="R44" i="1"/>
  <c r="R45" i="1"/>
  <c r="R46" i="1"/>
  <c r="R47" i="1"/>
  <c r="R48" i="1"/>
  <c r="R49" i="1"/>
  <c r="R50" i="1"/>
  <c r="R51" i="1"/>
  <c r="R52" i="1"/>
  <c r="R5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8" i="1"/>
  <c r="O9" i="1"/>
  <c r="O7" i="1"/>
  <c r="O12" i="1" s="1"/>
  <c r="O10" i="1" l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  <c r="C19" i="2"/>
  <c r="C2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8" i="2" l="1"/>
  <c r="D5" i="2"/>
  <c r="D3" i="2"/>
  <c r="D11" i="2"/>
  <c r="D21" i="2"/>
  <c r="D18" i="2"/>
  <c r="D10" i="2"/>
  <c r="D20" i="2"/>
  <c r="D14" i="2"/>
  <c r="D12" i="2"/>
  <c r="D17" i="2"/>
  <c r="D9" i="2"/>
  <c r="D19" i="2"/>
  <c r="D6" i="2"/>
  <c r="D4" i="2"/>
  <c r="D16" i="2"/>
  <c r="D13" i="2"/>
  <c r="D15" i="2"/>
  <c r="D7" i="2"/>
  <c r="E5" i="2" l="1"/>
  <c r="F5" i="2" s="1"/>
  <c r="E8" i="2"/>
  <c r="E4" i="2"/>
  <c r="E6" i="2"/>
  <c r="E19" i="2"/>
  <c r="E11" i="2"/>
  <c r="E10" i="2"/>
  <c r="E18" i="2"/>
  <c r="E21" i="2"/>
  <c r="E9" i="2"/>
  <c r="E7" i="2"/>
  <c r="E17" i="2"/>
  <c r="E3" i="2"/>
  <c r="E15" i="2"/>
  <c r="F15" i="2" s="1"/>
  <c r="E12" i="2"/>
  <c r="E13" i="2"/>
  <c r="E14" i="2"/>
  <c r="E16" i="2"/>
  <c r="E20" i="2"/>
  <c r="F10" i="2" l="1"/>
  <c r="F11" i="2"/>
  <c r="F7" i="2"/>
  <c r="F14" i="2"/>
  <c r="F9" i="2"/>
  <c r="F8" i="2"/>
  <c r="F19" i="2"/>
  <c r="F20" i="2"/>
  <c r="F17" i="2"/>
  <c r="F6" i="2"/>
  <c r="F16" i="2"/>
  <c r="F4" i="2"/>
  <c r="F13" i="2"/>
  <c r="F21" i="2"/>
  <c r="F12" i="2"/>
  <c r="F18" i="2"/>
  <c r="F3" i="2"/>
  <c r="H7" i="2" l="1"/>
  <c r="H11" i="2" l="1"/>
  <c r="H21" i="2"/>
  <c r="H19" i="2"/>
  <c r="H16" i="2"/>
  <c r="H4" i="2"/>
  <c r="H18" i="2"/>
  <c r="H17" i="2"/>
  <c r="H13" i="2"/>
  <c r="H8" i="2"/>
  <c r="H3" i="2"/>
  <c r="H10" i="2"/>
  <c r="H6" i="2"/>
  <c r="H14" i="2"/>
  <c r="G5" i="2"/>
  <c r="G10" i="2"/>
  <c r="G14" i="2"/>
  <c r="G20" i="2"/>
  <c r="G4" i="2"/>
  <c r="G18" i="2"/>
  <c r="H15" i="2"/>
  <c r="G17" i="2"/>
  <c r="H5" i="2"/>
  <c r="G3" i="2"/>
  <c r="G8" i="2"/>
  <c r="G21" i="2"/>
  <c r="G7" i="2"/>
  <c r="G19" i="2"/>
  <c r="G16" i="2"/>
  <c r="G12" i="2"/>
  <c r="G9" i="2"/>
  <c r="G13" i="2"/>
  <c r="G15" i="2"/>
  <c r="G11" i="2"/>
  <c r="G6" i="2"/>
  <c r="H9" i="2"/>
  <c r="H20" i="2"/>
  <c r="H12" i="2"/>
</calcChain>
</file>

<file path=xl/sharedStrings.xml><?xml version="1.0" encoding="utf-8"?>
<sst xmlns="http://schemas.openxmlformats.org/spreadsheetml/2006/main" count="244" uniqueCount="155">
  <si>
    <t>LAI</t>
  </si>
  <si>
    <t>m</t>
  </si>
  <si>
    <t>%</t>
  </si>
  <si>
    <t>-</t>
  </si>
  <si>
    <t>thetha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</si>
  <si>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</si>
  <si>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</si>
  <si>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</si>
  <si>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</si>
  <si>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</si>
  <si>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</si>
  <si>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</si>
  <si>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</si>
  <si>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</si>
  <si>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</si>
  <si>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</si>
  <si>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</si>
  <si>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</si>
  <si>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</si>
  <si>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maximum depth of second soil layer</t>
  </si>
  <si>
    <t>maximum depth of third soil layer</t>
  </si>
  <si>
    <t>rooot radius</t>
  </si>
  <si>
    <t>La</t>
  </si>
  <si>
    <t>leaf area index</t>
  </si>
  <si>
    <t>Reference</t>
  </si>
  <si>
    <t>Equation</t>
  </si>
  <si>
    <t xml:space="preserve">maximum depth of first soil layer </t>
  </si>
  <si>
    <t>m_vg</t>
  </si>
  <si>
    <t>REW</t>
  </si>
  <si>
    <t>ksoil1</t>
  </si>
  <si>
    <t>ksoilToCollar1_bis</t>
  </si>
  <si>
    <t>ksoil1_bis</t>
  </si>
  <si>
    <t>cm3.cm-3</t>
  </si>
  <si>
    <t>Julien Ruffault (julien.ruff@gmail.com) &amp; Nicolas Martin StPaul  (nicolas.martin@inrae.fr)</t>
  </si>
  <si>
    <t xml:space="preserve">Rock fragment content of first layer </t>
  </si>
  <si>
    <t>Rock fragment content of second soil layer</t>
  </si>
  <si>
    <t>Rock gragment content of third soil layer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</si>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</sst>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rgb="FFFF7E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10" xfId="0" applyFill="1" applyBorder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/>
    </xf>
    <xf numFmtId="0" fontId="24" fillId="2" borderId="9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0" borderId="14" xfId="0" applyFont="1" applyBorder="1"/>
    <xf numFmtId="49" fontId="6" fillId="2" borderId="0" xfId="0" applyNumberFormat="1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9" fillId="0" borderId="4" xfId="0" applyFont="1" applyBorder="1"/>
    <xf numFmtId="0" fontId="9" fillId="0" borderId="9" xfId="0" applyFont="1" applyBorder="1"/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5" fontId="0" fillId="2" borderId="0" xfId="0" applyNumberFormat="1" applyFill="1" applyAlignment="1">
      <alignment horizontal="left"/>
    </xf>
    <xf numFmtId="165" fontId="43" fillId="2" borderId="0" xfId="0" applyNumberFormat="1" applyFont="1" applyFill="1" applyAlignment="1">
      <alignment horizontal="left"/>
    </xf>
    <xf numFmtId="165" fontId="48" fillId="2" borderId="0" xfId="0" applyNumberFormat="1" applyFont="1" applyFill="1" applyAlignment="1"/>
    <xf numFmtId="165" fontId="46" fillId="2" borderId="0" xfId="0" applyNumberFormat="1" applyFont="1" applyFill="1" applyBorder="1" applyAlignment="1">
      <alignment wrapText="1"/>
    </xf>
    <xf numFmtId="165" fontId="43" fillId="6" borderId="4" xfId="0" applyNumberFormat="1" applyFont="1" applyFill="1" applyBorder="1" applyAlignment="1">
      <alignment horizontal="left"/>
    </xf>
    <xf numFmtId="165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5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5" fontId="43" fillId="6" borderId="5" xfId="0" applyNumberFormat="1" applyFont="1" applyFill="1" applyBorder="1" applyAlignment="1">
      <alignment horizontal="left"/>
    </xf>
    <xf numFmtId="165" fontId="43" fillId="6" borderId="7" xfId="0" applyNumberFormat="1" applyFont="1" applyFill="1" applyBorder="1" applyAlignment="1">
      <alignment horizontal="left"/>
    </xf>
    <xf numFmtId="165" fontId="43" fillId="6" borderId="10" xfId="0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left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164" fontId="14" fillId="7" borderId="5" xfId="0" applyNumberFormat="1" applyFont="1" applyFill="1" applyBorder="1" applyAlignment="1">
      <alignment horizontal="center"/>
    </xf>
    <xf numFmtId="165" fontId="14" fillId="7" borderId="15" xfId="0" applyNumberFormat="1" applyFont="1" applyFill="1" applyBorder="1" applyAlignment="1">
      <alignment horizontal="center"/>
    </xf>
    <xf numFmtId="165" fontId="14" fillId="7" borderId="2" xfId="0" applyNumberFormat="1" applyFont="1" applyFill="1" applyBorder="1" applyAlignment="1">
      <alignment horizontal="center"/>
    </xf>
    <xf numFmtId="2" fontId="14" fillId="7" borderId="2" xfId="0" applyNumberFormat="1" applyFont="1" applyFill="1" applyBorder="1" applyAlignment="1">
      <alignment horizontal="center"/>
    </xf>
    <xf numFmtId="2" fontId="14" fillId="7" borderId="12" xfId="0" applyNumberFormat="1" applyFont="1" applyFill="1" applyBorder="1" applyAlignment="1">
      <alignment horizontal="center"/>
    </xf>
    <xf numFmtId="1" fontId="14" fillId="7" borderId="2" xfId="0" applyNumberFormat="1" applyFont="1" applyFill="1" applyBorder="1" applyAlignment="1">
      <alignment horizontal="center"/>
    </xf>
    <xf numFmtId="1" fontId="14" fillId="7" borderId="12" xfId="0" applyNumberFormat="1" applyFont="1" applyFill="1" applyBorder="1" applyAlignment="1">
      <alignment horizontal="center"/>
    </xf>
    <xf numFmtId="164" fontId="14" fillId="7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00782294027483"/>
          <c:y val="0.12915821717373407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0.13371175885925868</c:v>
                </c:pt>
                <c:pt idx="11">
                  <c:v>0.26812869867559402</c:v>
                </c:pt>
                <c:pt idx="12">
                  <c:v>0.4528836889507632</c:v>
                </c:pt>
                <c:pt idx="13">
                  <c:v>0.70435114993230841</c:v>
                </c:pt>
                <c:pt idx="14">
                  <c:v>1.0392905413506741</c:v>
                </c:pt>
                <c:pt idx="15">
                  <c:v>1.4761416683939508</c:v>
                </c:pt>
                <c:pt idx="16">
                  <c:v>2.0353952730731764</c:v>
                </c:pt>
                <c:pt idx="17">
                  <c:v>2.7397883537386756</c:v>
                </c:pt>
                <c:pt idx="18">
                  <c:v>3.6144510792386439</c:v>
                </c:pt>
                <c:pt idx="19">
                  <c:v>4.6870383885401585</c:v>
                </c:pt>
                <c:pt idx="20">
                  <c:v>5.987857459689355</c:v>
                </c:pt>
                <c:pt idx="21">
                  <c:v>7.5499956657983516</c:v>
                </c:pt>
                <c:pt idx="22">
                  <c:v>9.4094513138739995</c:v>
                </c:pt>
                <c:pt idx="23">
                  <c:v>11.605268541689037</c:v>
                </c:pt>
                <c:pt idx="24">
                  <c:v>14.179677355434096</c:v>
                </c:pt>
                <c:pt idx="25">
                  <c:v>17.178239620124764</c:v>
                </c:pt>
                <c:pt idx="26">
                  <c:v>20.65000174638498</c:v>
                </c:pt>
                <c:pt idx="27">
                  <c:v>24.64765480093525</c:v>
                </c:pt>
                <c:pt idx="28">
                  <c:v>29.227702781222934</c:v>
                </c:pt>
                <c:pt idx="29">
                  <c:v>34.450639826501714</c:v>
                </c:pt>
                <c:pt idx="30">
                  <c:v>40.381137183204288</c:v>
                </c:pt>
                <c:pt idx="31">
                  <c:v>47.088240799332596</c:v>
                </c:pt>
                <c:pt idx="32">
                  <c:v>54.645580489894819</c:v>
                </c:pt>
                <c:pt idx="33">
                  <c:v>63.13159169312469</c:v>
                </c:pt>
                <c:pt idx="34">
                  <c:v>72.629750925752433</c:v>
                </c:pt>
                <c:pt idx="35">
                  <c:v>83.228826145858008</c:v>
                </c:pt>
                <c:pt idx="36">
                  <c:v>95.023143344941943</c:v>
                </c:pt>
                <c:pt idx="37">
                  <c:v>108.11287081829106</c:v>
                </c:pt>
                <c:pt idx="38">
                  <c:v>122.60432270624077</c:v>
                </c:pt>
                <c:pt idx="39">
                  <c:v>138.61028356060535</c:v>
                </c:pt>
                <c:pt idx="40">
                  <c:v>156.25035587284734</c:v>
                </c:pt>
                <c:pt idx="41">
                  <c:v>175.65133270628672</c:v>
                </c:pt>
                <c:pt idx="42">
                  <c:v>196.94759780721282</c:v>
                </c:pt>
                <c:pt idx="43">
                  <c:v>220.28155583303587</c:v>
                </c:pt>
                <c:pt idx="44">
                  <c:v>245.80409563417027</c:v>
                </c:pt>
                <c:pt idx="45">
                  <c:v>273.67508986561478</c:v>
                </c:pt>
                <c:pt idx="46">
                  <c:v>304.06393459044693</c:v>
                </c:pt>
                <c:pt idx="47">
                  <c:v>337.15013297819468</c:v>
                </c:pt>
                <c:pt idx="48">
                  <c:v>373.12392770511502</c:v>
                </c:pt>
                <c:pt idx="49">
                  <c:v>412.18698724123192</c:v>
                </c:pt>
                <c:pt idx="50">
                  <c:v>454.55315187308219</c:v>
                </c:pt>
                <c:pt idx="51">
                  <c:v>500.4492460763388</c:v>
                </c:pt>
                <c:pt idx="52">
                  <c:v>550.11596473661393</c:v>
                </c:pt>
                <c:pt idx="53">
                  <c:v>603.8088417412722</c:v>
                </c:pt>
                <c:pt idx="54">
                  <c:v>661.79931065577705</c:v>
                </c:pt>
                <c:pt idx="55">
                  <c:v>724.37586858624888</c:v>
                </c:pt>
                <c:pt idx="56">
                  <c:v>791.84535595354942</c:v>
                </c:pt>
                <c:pt idx="57">
                  <c:v>864.5343668098111</c:v>
                </c:pt>
                <c:pt idx="58">
                  <c:v>942.79080657264001</c:v>
                </c:pt>
                <c:pt idx="59">
                  <c:v>1026.9856167056332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0.12180917848827542</c:v>
                </c:pt>
                <c:pt idx="11">
                  <c:v>0.22419813270808392</c:v>
                </c:pt>
                <c:pt idx="12">
                  <c:v>0.34026792271878165</c:v>
                </c:pt>
                <c:pt idx="13">
                  <c:v>0.46500066605218038</c:v>
                </c:pt>
                <c:pt idx="14">
                  <c:v>0.59067338148147286</c:v>
                </c:pt>
                <c:pt idx="15">
                  <c:v>0.71011131437573571</c:v>
                </c:pt>
                <c:pt idx="16">
                  <c:v>0.81826817809211894</c:v>
                </c:pt>
                <c:pt idx="17">
                  <c:v>0.91259205671195576</c:v>
                </c:pt>
                <c:pt idx="18">
                  <c:v>0.99259981997037527</c:v>
                </c:pt>
                <c:pt idx="19">
                  <c:v>1.0591621370829767</c:v>
                </c:pt>
                <c:pt idx="20">
                  <c:v>1.1138427350457465</c:v>
                </c:pt>
                <c:pt idx="21">
                  <c:v>1.1584283063707876</c:v>
                </c:pt>
                <c:pt idx="22">
                  <c:v>1.194651369134643</c:v>
                </c:pt>
                <c:pt idx="23">
                  <c:v>1.2240562382772779</c:v>
                </c:pt>
                <c:pt idx="24">
                  <c:v>1.247953926656524</c:v>
                </c:pt>
                <c:pt idx="25">
                  <c:v>1.2674249542124674</c:v>
                </c:pt>
                <c:pt idx="26">
                  <c:v>1.2833439821173622</c:v>
                </c:pt>
                <c:pt idx="27">
                  <c:v>1.29641156853432</c:v>
                </c:pt>
                <c:pt idx="28">
                  <c:v>1.3071856414159353</c:v>
                </c:pt>
                <c:pt idx="29">
                  <c:v>1.3161094882067033</c:v>
                </c:pt>
                <c:pt idx="30">
                  <c:v>1.3235352809229102</c:v>
                </c:pt>
                <c:pt idx="31">
                  <c:v>1.3297432180754665</c:v>
                </c:pt>
                <c:pt idx="32">
                  <c:v>1.3349568027446053</c:v>
                </c:pt>
                <c:pt idx="33">
                  <c:v>1.3393548987092598</c:v>
                </c:pt>
                <c:pt idx="34">
                  <c:v>1.3430811838743717</c:v>
                </c:pt>
                <c:pt idx="35">
                  <c:v>1.3462515405766209</c:v>
                </c:pt>
                <c:pt idx="36">
                  <c:v>1.3489598287398412</c:v>
                </c:pt>
                <c:pt idx="37">
                  <c:v>1.3512823994731422</c:v>
                </c:pt>
                <c:pt idx="38">
                  <c:v>1.3532816306876811</c:v>
                </c:pt>
                <c:pt idx="39">
                  <c:v>1.3550087040571579</c:v>
                </c:pt>
                <c:pt idx="40">
                  <c:v>1.3565057930998401</c:v>
                </c:pt>
                <c:pt idx="41">
                  <c:v>1.3578077933946022</c:v>
                </c:pt>
                <c:pt idx="42">
                  <c:v>1.3589436959262258</c:v>
                </c:pt>
                <c:pt idx="43">
                  <c:v>1.359937681450879</c:v>
                </c:pt>
                <c:pt idx="44">
                  <c:v>1.3608099960439255</c:v>
                </c:pt>
                <c:pt idx="45">
                  <c:v>1.3615776544029141</c:v>
                </c:pt>
                <c:pt idx="46">
                  <c:v>1.3622550070587005</c:v>
                </c:pt>
                <c:pt idx="47">
                  <c:v>1.3628541996471666</c:v>
                </c:pt>
                <c:pt idx="48">
                  <c:v>1.3633855462384645</c:v>
                </c:pt>
                <c:pt idx="49">
                  <c:v>1.3638578339723633</c:v>
                </c:pt>
                <c:pt idx="50">
                  <c:v>1.3642785725745838</c:v>
                </c:pt>
                <c:pt idx="51">
                  <c:v>1.3646541994775911</c:v>
                </c:pt>
                <c:pt idx="52">
                  <c:v>1.3649902490485937</c:v>
                </c:pt>
                <c:pt idx="53">
                  <c:v>1.3652914926918827</c:v>
                </c:pt>
                <c:pt idx="54">
                  <c:v>1.3655620552313246</c:v>
                </c:pt>
                <c:pt idx="55">
                  <c:v>1.365805511907173</c:v>
                </c:pt>
                <c:pt idx="56">
                  <c:v>1.3660249694747422</c:v>
                </c:pt>
                <c:pt idx="57">
                  <c:v>1.3662231342211912</c:v>
                </c:pt>
                <c:pt idx="58">
                  <c:v>1.3664023691825018</c:v>
                </c:pt>
                <c:pt idx="59">
                  <c:v>1.3665647424161851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1.368385593142037</c:v>
                </c:pt>
                <c:pt idx="1">
                  <c:v>1.368385593142037</c:v>
                </c:pt>
                <c:pt idx="2">
                  <c:v>1.368385593142037</c:v>
                </c:pt>
                <c:pt idx="3">
                  <c:v>1.368385593142037</c:v>
                </c:pt>
                <c:pt idx="4">
                  <c:v>1.368385593142037</c:v>
                </c:pt>
                <c:pt idx="5">
                  <c:v>1.368385593142037</c:v>
                </c:pt>
                <c:pt idx="6">
                  <c:v>1.368385593142037</c:v>
                </c:pt>
                <c:pt idx="7">
                  <c:v>1.368385593142037</c:v>
                </c:pt>
                <c:pt idx="8">
                  <c:v>1.368385593142037</c:v>
                </c:pt>
                <c:pt idx="9">
                  <c:v>1.368385593142037</c:v>
                </c:pt>
                <c:pt idx="10">
                  <c:v>1.368385593142037</c:v>
                </c:pt>
                <c:pt idx="11">
                  <c:v>1.368385593142037</c:v>
                </c:pt>
                <c:pt idx="12">
                  <c:v>1.368385593142037</c:v>
                </c:pt>
                <c:pt idx="13">
                  <c:v>1.368385593142037</c:v>
                </c:pt>
                <c:pt idx="14">
                  <c:v>1.368385593142037</c:v>
                </c:pt>
                <c:pt idx="15">
                  <c:v>1.368385593142037</c:v>
                </c:pt>
                <c:pt idx="16">
                  <c:v>1.368385593142037</c:v>
                </c:pt>
                <c:pt idx="17">
                  <c:v>1.368385593142037</c:v>
                </c:pt>
                <c:pt idx="18">
                  <c:v>1.368385593142037</c:v>
                </c:pt>
                <c:pt idx="19">
                  <c:v>1.368385593142037</c:v>
                </c:pt>
                <c:pt idx="20">
                  <c:v>1.368385593142037</c:v>
                </c:pt>
                <c:pt idx="21">
                  <c:v>1.368385593142037</c:v>
                </c:pt>
                <c:pt idx="22">
                  <c:v>1.368385593142037</c:v>
                </c:pt>
                <c:pt idx="23">
                  <c:v>1.368385593142037</c:v>
                </c:pt>
                <c:pt idx="24">
                  <c:v>1.368385593142037</c:v>
                </c:pt>
                <c:pt idx="25">
                  <c:v>1.368385593142037</c:v>
                </c:pt>
                <c:pt idx="26">
                  <c:v>1.368385593142037</c:v>
                </c:pt>
                <c:pt idx="27">
                  <c:v>1.368385593142037</c:v>
                </c:pt>
                <c:pt idx="28">
                  <c:v>1.368385593142037</c:v>
                </c:pt>
                <c:pt idx="29">
                  <c:v>1.368385593142037</c:v>
                </c:pt>
                <c:pt idx="30">
                  <c:v>1.368385593142037</c:v>
                </c:pt>
                <c:pt idx="31">
                  <c:v>1.368385593142037</c:v>
                </c:pt>
                <c:pt idx="32">
                  <c:v>1.368385593142037</c:v>
                </c:pt>
                <c:pt idx="33">
                  <c:v>1.368385593142037</c:v>
                </c:pt>
                <c:pt idx="34">
                  <c:v>1.368385593142037</c:v>
                </c:pt>
                <c:pt idx="35">
                  <c:v>1.368385593142037</c:v>
                </c:pt>
                <c:pt idx="36">
                  <c:v>1.368385593142037</c:v>
                </c:pt>
                <c:pt idx="37">
                  <c:v>1.368385593142037</c:v>
                </c:pt>
                <c:pt idx="38">
                  <c:v>1.368385593142037</c:v>
                </c:pt>
                <c:pt idx="39">
                  <c:v>1.368385593142037</c:v>
                </c:pt>
                <c:pt idx="40">
                  <c:v>1.368385593142037</c:v>
                </c:pt>
                <c:pt idx="41">
                  <c:v>1.368385593142037</c:v>
                </c:pt>
                <c:pt idx="42">
                  <c:v>1.368385593142037</c:v>
                </c:pt>
                <c:pt idx="43">
                  <c:v>1.368385593142037</c:v>
                </c:pt>
                <c:pt idx="44">
                  <c:v>1.368385593142037</c:v>
                </c:pt>
                <c:pt idx="45">
                  <c:v>1.368385593142037</c:v>
                </c:pt>
                <c:pt idx="46">
                  <c:v>1.368385593142037</c:v>
                </c:pt>
                <c:pt idx="47">
                  <c:v>1.368385593142037</c:v>
                </c:pt>
                <c:pt idx="48">
                  <c:v>1.368385593142037</c:v>
                </c:pt>
                <c:pt idx="49">
                  <c:v>1.368385593142037</c:v>
                </c:pt>
                <c:pt idx="50">
                  <c:v>1.368385593142037</c:v>
                </c:pt>
                <c:pt idx="51">
                  <c:v>1.368385593142037</c:v>
                </c:pt>
                <c:pt idx="52">
                  <c:v>1.368385593142037</c:v>
                </c:pt>
                <c:pt idx="53">
                  <c:v>1.368385593142037</c:v>
                </c:pt>
                <c:pt idx="54">
                  <c:v>1.368385593142037</c:v>
                </c:pt>
                <c:pt idx="55">
                  <c:v>1.368385593142037</c:v>
                </c:pt>
                <c:pt idx="56">
                  <c:v>1.368385593142037</c:v>
                </c:pt>
                <c:pt idx="57">
                  <c:v>1.368385593142037</c:v>
                </c:pt>
                <c:pt idx="58">
                  <c:v>1.368385593142037</c:v>
                </c:pt>
                <c:pt idx="59">
                  <c:v>1.368385593142037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838538952361312"/>
          <c:y val="0.45771129902728208"/>
          <c:w val="0.16465458567567584"/>
          <c:h val="0.1935223024850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A67"/>
  <sheetViews>
    <sheetView tabSelected="1" topLeftCell="A31" zoomScale="156" zoomScaleNormal="64" workbookViewId="0">
      <selection activeCell="K39" sqref="K39"/>
    </sheetView>
  </sheetViews>
  <sheetFormatPr baseColWidth="10" defaultRowHeight="16" x14ac:dyDescent="0.2"/>
  <cols>
    <col min="1" max="1" width="2.1640625" style="2" customWidth="1"/>
    <col min="2" max="2" width="13.1640625" style="2" customWidth="1"/>
    <col min="3" max="3" width="14.5" style="2" customWidth="1"/>
    <col min="4" max="4" width="25.1640625" style="2" customWidth="1"/>
    <col min="5" max="5" width="16.5" style="2" customWidth="1"/>
    <col min="6" max="6" width="13" style="2" customWidth="1"/>
    <col min="7" max="7" width="11.83203125" style="2" customWidth="1"/>
    <col min="8" max="8" width="5" style="2" customWidth="1"/>
    <col min="9" max="9" width="11.33203125" style="2" customWidth="1"/>
    <col min="10" max="10" width="9.83203125" style="2" customWidth="1"/>
    <col min="11" max="11" width="24.5" style="2" customWidth="1"/>
    <col min="12" max="12" width="23.6640625" style="2" customWidth="1"/>
    <col min="13" max="13" width="29.83203125" style="25" customWidth="1"/>
    <col min="14" max="14" width="17" style="2" customWidth="1"/>
    <col min="15" max="15" width="9.6640625" style="2" customWidth="1"/>
    <col min="16" max="16" width="23.1640625" style="2" customWidth="1"/>
    <col min="17" max="17" width="24.6640625" style="2" customWidth="1"/>
    <col min="18" max="18" width="14" style="2" customWidth="1"/>
    <col min="19" max="19" width="15.83203125" style="138" customWidth="1"/>
    <col min="20" max="26" width="15.83203125" style="2" customWidth="1"/>
    <col min="27" max="27" width="21" style="2" customWidth="1"/>
    <col min="28" max="28" width="19.1640625" style="2" customWidth="1"/>
    <col min="29" max="16384" width="10.83203125" style="2"/>
  </cols>
  <sheetData>
    <row r="1" spans="2:27" ht="20" x14ac:dyDescent="0.2">
      <c r="B1" s="17" t="s">
        <v>59</v>
      </c>
      <c r="C1" s="17"/>
      <c r="D1" s="17"/>
    </row>
    <row r="2" spans="2:27" x14ac:dyDescent="0.2">
      <c r="B2" s="18" t="s">
        <v>33</v>
      </c>
      <c r="C2" s="18"/>
      <c r="D2" s="18"/>
    </row>
    <row r="3" spans="2:27" x14ac:dyDescent="0.2">
      <c r="B3" s="24" t="s">
        <v>53</v>
      </c>
      <c r="C3" s="18"/>
      <c r="D3" s="18"/>
    </row>
    <row r="5" spans="2:27" ht="34" x14ac:dyDescent="0.2">
      <c r="B5" s="44" t="s">
        <v>37</v>
      </c>
      <c r="C5" s="44"/>
      <c r="D5" s="44"/>
      <c r="E5" s="45"/>
      <c r="F5" s="45"/>
      <c r="G5" s="45"/>
      <c r="I5" s="20" t="s">
        <v>145</v>
      </c>
      <c r="J5" s="20"/>
      <c r="Q5" s="127" t="s">
        <v>125</v>
      </c>
      <c r="R5" s="128"/>
      <c r="S5" s="139"/>
      <c r="T5" s="128"/>
      <c r="U5" s="128"/>
      <c r="V5" s="128"/>
      <c r="W5" s="128"/>
      <c r="X5" s="128"/>
      <c r="Z5" s="128"/>
      <c r="AA5" s="128"/>
    </row>
    <row r="6" spans="2:27" ht="18" customHeight="1" x14ac:dyDescent="0.2">
      <c r="B6" s="68" t="s">
        <v>15</v>
      </c>
      <c r="C6" s="68" t="s">
        <v>42</v>
      </c>
      <c r="D6" s="68" t="s">
        <v>14</v>
      </c>
      <c r="E6" s="69" t="s">
        <v>38</v>
      </c>
      <c r="F6" s="69" t="s">
        <v>39</v>
      </c>
      <c r="G6" s="69" t="s">
        <v>16</v>
      </c>
      <c r="I6" s="21" t="s">
        <v>15</v>
      </c>
      <c r="J6" s="21" t="s">
        <v>42</v>
      </c>
      <c r="K6" s="21" t="s">
        <v>14</v>
      </c>
      <c r="L6" s="22" t="s">
        <v>38</v>
      </c>
      <c r="M6" s="91" t="s">
        <v>25</v>
      </c>
      <c r="N6" s="23" t="s">
        <v>24</v>
      </c>
      <c r="O6" s="22" t="s">
        <v>16</v>
      </c>
      <c r="Q6" s="136" t="s">
        <v>143</v>
      </c>
      <c r="R6" s="137" t="s">
        <v>28</v>
      </c>
      <c r="S6" s="140" t="s">
        <v>29</v>
      </c>
      <c r="T6" s="136" t="s">
        <v>126</v>
      </c>
      <c r="U6" s="136" t="s">
        <v>144</v>
      </c>
      <c r="V6" s="136" t="s">
        <v>117</v>
      </c>
      <c r="W6" s="136" t="s">
        <v>118</v>
      </c>
      <c r="X6" s="136" t="s">
        <v>119</v>
      </c>
      <c r="Y6" s="136" t="s">
        <v>5</v>
      </c>
      <c r="Z6" s="136" t="s">
        <v>6</v>
      </c>
      <c r="AA6" s="136" t="s">
        <v>7</v>
      </c>
    </row>
    <row r="7" spans="2:27" ht="18" customHeight="1" x14ac:dyDescent="0.2">
      <c r="B7" s="31" t="s">
        <v>76</v>
      </c>
      <c r="C7" s="32" t="s">
        <v>104</v>
      </c>
      <c r="D7" s="33" t="s">
        <v>26</v>
      </c>
      <c r="E7" s="84" t="s">
        <v>1</v>
      </c>
      <c r="F7" s="34" t="s">
        <v>103</v>
      </c>
      <c r="G7" s="153">
        <v>0.5</v>
      </c>
      <c r="I7" s="77" t="s">
        <v>54</v>
      </c>
      <c r="J7" s="78" t="s">
        <v>54</v>
      </c>
      <c r="K7" s="27" t="s">
        <v>55</v>
      </c>
      <c r="L7" s="83" t="s">
        <v>130</v>
      </c>
      <c r="M7" s="27" t="s">
        <v>97</v>
      </c>
      <c r="N7" s="132" t="s">
        <v>3</v>
      </c>
      <c r="O7" s="160">
        <f>LAI*fRootToLeaf</f>
        <v>6</v>
      </c>
      <c r="Q7" s="135" t="s">
        <v>142</v>
      </c>
      <c r="R7" s="146" t="s">
        <v>3</v>
      </c>
      <c r="S7" s="141" t="s">
        <v>140</v>
      </c>
      <c r="T7" s="134" t="s">
        <v>140</v>
      </c>
      <c r="U7" s="134" t="s">
        <v>140</v>
      </c>
      <c r="V7" s="141" t="s">
        <v>140</v>
      </c>
      <c r="W7" s="134" t="s">
        <v>140</v>
      </c>
      <c r="X7" s="134" t="s">
        <v>140</v>
      </c>
      <c r="Y7" s="134" t="s">
        <v>140</v>
      </c>
      <c r="Z7" s="134" t="s">
        <v>140</v>
      </c>
      <c r="AA7" s="134" t="s">
        <v>140</v>
      </c>
    </row>
    <row r="8" spans="2:27" ht="18" customHeight="1" x14ac:dyDescent="0.2">
      <c r="B8" s="35" t="s">
        <v>77</v>
      </c>
      <c r="C8" s="36" t="s">
        <v>105</v>
      </c>
      <c r="D8" s="37" t="s">
        <v>19</v>
      </c>
      <c r="E8" s="85" t="s">
        <v>1</v>
      </c>
      <c r="F8" s="38" t="s">
        <v>108</v>
      </c>
      <c r="G8" s="153">
        <v>1</v>
      </c>
      <c r="I8" s="81" t="s">
        <v>1</v>
      </c>
      <c r="J8" s="82" t="s">
        <v>27</v>
      </c>
      <c r="K8" s="28" t="s">
        <v>128</v>
      </c>
      <c r="L8" s="133" t="s">
        <v>3</v>
      </c>
      <c r="M8" s="28" t="s">
        <v>129</v>
      </c>
      <c r="N8" s="19" t="s">
        <v>3</v>
      </c>
      <c r="O8" s="161">
        <f>1-(1/n)</f>
        <v>0.5</v>
      </c>
      <c r="Q8" s="126">
        <v>0.01</v>
      </c>
      <c r="R8" s="147">
        <f t="shared" ref="R8:R39" si="0">MAX((Q8-rc_vg)/(sc_vg-rc_vg),0)</f>
        <v>0</v>
      </c>
      <c r="S8" s="142">
        <f t="shared" ref="S8:S39" si="1">Bgc_1*Ksat*R8^I*(1-(1-Q8^(1/m))^m)^2</f>
        <v>0</v>
      </c>
      <c r="T8" s="142">
        <f t="shared" ref="T8:T39" si="2">Bgc_2*Ksat*R8^I*(1-(1-Q8^(1/m))^m)^2</f>
        <v>0</v>
      </c>
      <c r="U8" s="142">
        <f t="shared" ref="U8:U39" si="3">Bgc_3*Ksat*R8^I*(1-(1-Q8^(1/m))^m)^2</f>
        <v>0</v>
      </c>
      <c r="V8" s="142">
        <f t="shared" ref="V8:V39" si="4">kroot1</f>
        <v>1.368385593142037</v>
      </c>
      <c r="W8" s="142">
        <f t="shared" ref="W8:W39" si="5">kroot2</f>
        <v>0.29839751798850311</v>
      </c>
      <c r="X8" s="142">
        <f t="shared" ref="X8:X39" si="6">kroot3</f>
        <v>8.3207940750375742E-2</v>
      </c>
      <c r="Y8" s="142" t="e">
        <f t="shared" ref="Y8:Y39" si="7">1/((1/kroot1)+(1/S8))</f>
        <v>#DIV/0!</v>
      </c>
      <c r="Z8" s="142" t="e">
        <f t="shared" ref="Z8:Z39" si="8">1/((1/kroot2)+(1/T8))</f>
        <v>#DIV/0!</v>
      </c>
      <c r="AA8" s="148" t="e">
        <f t="shared" ref="AA8:AA39" si="9">1/((1/kroot3)+(1/U8))</f>
        <v>#DIV/0!</v>
      </c>
    </row>
    <row r="9" spans="2:27" ht="18" customHeight="1" x14ac:dyDescent="0.2">
      <c r="B9" s="35" t="s">
        <v>78</v>
      </c>
      <c r="C9" s="36" t="s">
        <v>106</v>
      </c>
      <c r="D9" s="37" t="s">
        <v>20</v>
      </c>
      <c r="E9" s="85" t="s">
        <v>1</v>
      </c>
      <c r="F9" s="96" t="s">
        <v>107</v>
      </c>
      <c r="G9" s="153">
        <v>4</v>
      </c>
      <c r="I9" s="77" t="s">
        <v>88</v>
      </c>
      <c r="J9" s="78"/>
      <c r="K9" s="27" t="s">
        <v>56</v>
      </c>
      <c r="L9" s="83" t="s">
        <v>3</v>
      </c>
      <c r="M9" s="27" t="s">
        <v>98</v>
      </c>
      <c r="N9" s="27" t="s">
        <v>109</v>
      </c>
      <c r="O9" s="162">
        <f>1-beta^(100*depth1)</f>
        <v>0.78193462465259256</v>
      </c>
      <c r="Q9" s="130">
        <v>0.02</v>
      </c>
      <c r="R9" s="129">
        <f t="shared" si="0"/>
        <v>0</v>
      </c>
      <c r="S9" s="143">
        <f t="shared" si="1"/>
        <v>0</v>
      </c>
      <c r="T9" s="143">
        <f t="shared" si="2"/>
        <v>0</v>
      </c>
      <c r="U9" s="143">
        <f t="shared" si="3"/>
        <v>0</v>
      </c>
      <c r="V9" s="143">
        <f t="shared" si="4"/>
        <v>1.368385593142037</v>
      </c>
      <c r="W9" s="143">
        <f t="shared" si="5"/>
        <v>0.29839751798850311</v>
      </c>
      <c r="X9" s="143">
        <f t="shared" si="6"/>
        <v>8.3207940750375742E-2</v>
      </c>
      <c r="Y9" s="143" t="e">
        <f t="shared" si="7"/>
        <v>#DIV/0!</v>
      </c>
      <c r="Z9" s="143" t="e">
        <f t="shared" si="8"/>
        <v>#DIV/0!</v>
      </c>
      <c r="AA9" s="149" t="e">
        <f t="shared" si="9"/>
        <v>#DIV/0!</v>
      </c>
    </row>
    <row r="10" spans="2:27" ht="18" customHeight="1" x14ac:dyDescent="0.2">
      <c r="B10" s="35" t="s">
        <v>69</v>
      </c>
      <c r="C10" s="36" t="s">
        <v>61</v>
      </c>
      <c r="D10" s="37" t="s">
        <v>34</v>
      </c>
      <c r="E10" s="85" t="s">
        <v>2</v>
      </c>
      <c r="F10" s="38" t="s">
        <v>41</v>
      </c>
      <c r="G10" s="153">
        <v>40</v>
      </c>
      <c r="I10" s="79" t="s">
        <v>89</v>
      </c>
      <c r="J10" s="80"/>
      <c r="K10" s="76" t="s">
        <v>57</v>
      </c>
      <c r="L10" s="103" t="s">
        <v>3</v>
      </c>
      <c r="M10" s="76" t="s">
        <v>99</v>
      </c>
      <c r="N10" s="11" t="s">
        <v>67</v>
      </c>
      <c r="O10" s="163">
        <f>1-(beta^(100*depth2))-rootP1</f>
        <v>0.17051286742200178</v>
      </c>
      <c r="Q10" s="130">
        <v>0.03</v>
      </c>
      <c r="R10" s="129">
        <f t="shared" si="0"/>
        <v>0</v>
      </c>
      <c r="S10" s="143">
        <f t="shared" si="1"/>
        <v>0</v>
      </c>
      <c r="T10" s="143">
        <f t="shared" si="2"/>
        <v>0</v>
      </c>
      <c r="U10" s="143">
        <f t="shared" si="3"/>
        <v>0</v>
      </c>
      <c r="V10" s="143">
        <f t="shared" si="4"/>
        <v>1.368385593142037</v>
      </c>
      <c r="W10" s="143">
        <f t="shared" si="5"/>
        <v>0.29839751798850311</v>
      </c>
      <c r="X10" s="143">
        <f t="shared" si="6"/>
        <v>8.3207940750375742E-2</v>
      </c>
      <c r="Y10" s="143" t="e">
        <f t="shared" si="7"/>
        <v>#DIV/0!</v>
      </c>
      <c r="Z10" s="143" t="e">
        <f t="shared" si="8"/>
        <v>#DIV/0!</v>
      </c>
      <c r="AA10" s="149" t="e">
        <f t="shared" si="9"/>
        <v>#DIV/0!</v>
      </c>
    </row>
    <row r="11" spans="2:27" ht="18" customHeight="1" x14ac:dyDescent="0.2">
      <c r="B11" s="35" t="s">
        <v>70</v>
      </c>
      <c r="C11" s="36" t="s">
        <v>62</v>
      </c>
      <c r="D11" s="37" t="s">
        <v>35</v>
      </c>
      <c r="E11" s="85" t="s">
        <v>2</v>
      </c>
      <c r="F11" s="38" t="s">
        <v>41</v>
      </c>
      <c r="G11" s="153">
        <v>70</v>
      </c>
      <c r="I11" s="79" t="s">
        <v>90</v>
      </c>
      <c r="J11" s="80"/>
      <c r="K11" s="76" t="s">
        <v>58</v>
      </c>
      <c r="L11" s="103" t="s">
        <v>3</v>
      </c>
      <c r="M11" s="76" t="s">
        <v>100</v>
      </c>
      <c r="N11" s="11" t="s">
        <v>67</v>
      </c>
      <c r="O11" s="164">
        <f>1-(beta^(100*depth3))-rootP1-rootP2</f>
        <v>4.7547394714500424E-2</v>
      </c>
      <c r="Q11" s="130">
        <v>0.04</v>
      </c>
      <c r="R11" s="129">
        <f t="shared" si="0"/>
        <v>0</v>
      </c>
      <c r="S11" s="143">
        <f t="shared" si="1"/>
        <v>0</v>
      </c>
      <c r="T11" s="143">
        <f t="shared" si="2"/>
        <v>0</v>
      </c>
      <c r="U11" s="143">
        <f t="shared" si="3"/>
        <v>0</v>
      </c>
      <c r="V11" s="143">
        <f t="shared" si="4"/>
        <v>1.368385593142037</v>
      </c>
      <c r="W11" s="143">
        <f t="shared" si="5"/>
        <v>0.29839751798850311</v>
      </c>
      <c r="X11" s="143">
        <f t="shared" si="6"/>
        <v>8.3207940750375742E-2</v>
      </c>
      <c r="Y11" s="143" t="e">
        <f t="shared" si="7"/>
        <v>#DIV/0!</v>
      </c>
      <c r="Z11" s="143" t="e">
        <f t="shared" si="8"/>
        <v>#DIV/0!</v>
      </c>
      <c r="AA11" s="149" t="e">
        <f t="shared" si="9"/>
        <v>#DIV/0!</v>
      </c>
    </row>
    <row r="12" spans="2:27" ht="18" customHeight="1" x14ac:dyDescent="0.2">
      <c r="B12" s="39" t="s">
        <v>71</v>
      </c>
      <c r="C12" s="40" t="s">
        <v>63</v>
      </c>
      <c r="D12" s="41" t="s">
        <v>36</v>
      </c>
      <c r="E12" s="86" t="s">
        <v>2</v>
      </c>
      <c r="F12" s="42" t="s">
        <v>41</v>
      </c>
      <c r="G12" s="153">
        <v>80</v>
      </c>
      <c r="I12" s="92" t="s">
        <v>22</v>
      </c>
      <c r="J12" s="93" t="s">
        <v>3</v>
      </c>
      <c r="K12" s="95" t="s">
        <v>111</v>
      </c>
      <c r="L12" s="102" t="s">
        <v>112</v>
      </c>
      <c r="M12" s="95" t="s">
        <v>92</v>
      </c>
      <c r="N12" s="97"/>
      <c r="O12" s="165">
        <f>RAI/(2*PI()*root_radius)</f>
        <v>4774.6482927568604</v>
      </c>
      <c r="Q12" s="130">
        <v>0.05</v>
      </c>
      <c r="R12" s="129">
        <f t="shared" si="0"/>
        <v>0</v>
      </c>
      <c r="S12" s="143">
        <f t="shared" si="1"/>
        <v>0</v>
      </c>
      <c r="T12" s="143">
        <f t="shared" si="2"/>
        <v>0</v>
      </c>
      <c r="U12" s="143">
        <f t="shared" si="3"/>
        <v>0</v>
      </c>
      <c r="V12" s="143">
        <f t="shared" si="4"/>
        <v>1.368385593142037</v>
      </c>
      <c r="W12" s="143">
        <f t="shared" si="5"/>
        <v>0.29839751798850311</v>
      </c>
      <c r="X12" s="143">
        <f t="shared" si="6"/>
        <v>8.3207940750375742E-2</v>
      </c>
      <c r="Y12" s="143" t="e">
        <f t="shared" si="7"/>
        <v>#DIV/0!</v>
      </c>
      <c r="Z12" s="143" t="e">
        <f t="shared" si="8"/>
        <v>#DIV/0!</v>
      </c>
      <c r="AA12" s="149" t="e">
        <f t="shared" si="9"/>
        <v>#DIV/0!</v>
      </c>
    </row>
    <row r="13" spans="2:27" ht="18" customHeight="1" x14ac:dyDescent="0.2">
      <c r="B13" s="70"/>
      <c r="C13" s="70"/>
      <c r="D13" s="71"/>
      <c r="E13" s="70"/>
      <c r="F13" s="121"/>
      <c r="G13" s="121"/>
      <c r="I13" s="77" t="s">
        <v>79</v>
      </c>
      <c r="J13" s="78" t="s">
        <v>131</v>
      </c>
      <c r="K13" s="98" t="s">
        <v>111</v>
      </c>
      <c r="L13" s="83" t="s">
        <v>112</v>
      </c>
      <c r="M13" s="27" t="s">
        <v>93</v>
      </c>
      <c r="N13" s="10" t="s">
        <v>67</v>
      </c>
      <c r="O13" s="165">
        <f>La*rootP1</f>
        <v>3733.4628206449775</v>
      </c>
      <c r="Q13" s="130">
        <v>0.06</v>
      </c>
      <c r="R13" s="129">
        <f t="shared" si="0"/>
        <v>0</v>
      </c>
      <c r="S13" s="143">
        <f t="shared" si="1"/>
        <v>0</v>
      </c>
      <c r="T13" s="143">
        <f t="shared" si="2"/>
        <v>0</v>
      </c>
      <c r="U13" s="143">
        <f t="shared" si="3"/>
        <v>0</v>
      </c>
      <c r="V13" s="143">
        <f t="shared" si="4"/>
        <v>1.368385593142037</v>
      </c>
      <c r="W13" s="143">
        <f t="shared" si="5"/>
        <v>0.29839751798850311</v>
      </c>
      <c r="X13" s="143">
        <f t="shared" si="6"/>
        <v>8.3207940750375742E-2</v>
      </c>
      <c r="Y13" s="143" t="e">
        <f t="shared" si="7"/>
        <v>#DIV/0!</v>
      </c>
      <c r="Z13" s="143" t="e">
        <f t="shared" si="8"/>
        <v>#DIV/0!</v>
      </c>
      <c r="AA13" s="149" t="e">
        <f t="shared" si="9"/>
        <v>#DIV/0!</v>
      </c>
    </row>
    <row r="14" spans="2:27" ht="18" customHeight="1" x14ac:dyDescent="0.2">
      <c r="B14" s="14" t="s">
        <v>40</v>
      </c>
      <c r="C14" s="43"/>
      <c r="D14" s="44"/>
      <c r="E14" s="107"/>
      <c r="F14" s="122"/>
      <c r="G14" s="125"/>
      <c r="I14" s="79" t="s">
        <v>80</v>
      </c>
      <c r="J14" s="80" t="s">
        <v>132</v>
      </c>
      <c r="K14" s="100" t="s">
        <v>111</v>
      </c>
      <c r="L14" s="103" t="s">
        <v>112</v>
      </c>
      <c r="M14" s="76" t="s">
        <v>94</v>
      </c>
      <c r="N14" s="11" t="s">
        <v>67</v>
      </c>
      <c r="O14" s="165">
        <f>La*rootP2</f>
        <v>814.13897132953764</v>
      </c>
      <c r="Q14" s="130">
        <v>7.0000000000000007E-2</v>
      </c>
      <c r="R14" s="129">
        <f t="shared" si="0"/>
        <v>0</v>
      </c>
      <c r="S14" s="143">
        <f t="shared" si="1"/>
        <v>0</v>
      </c>
      <c r="T14" s="143">
        <f t="shared" si="2"/>
        <v>0</v>
      </c>
      <c r="U14" s="143">
        <f t="shared" si="3"/>
        <v>0</v>
      </c>
      <c r="V14" s="143">
        <f t="shared" si="4"/>
        <v>1.368385593142037</v>
      </c>
      <c r="W14" s="143">
        <f t="shared" si="5"/>
        <v>0.29839751798850311</v>
      </c>
      <c r="X14" s="143">
        <f t="shared" si="6"/>
        <v>8.3207940750375742E-2</v>
      </c>
      <c r="Y14" s="143" t="e">
        <f t="shared" si="7"/>
        <v>#DIV/0!</v>
      </c>
      <c r="Z14" s="143" t="e">
        <f t="shared" si="8"/>
        <v>#DIV/0!</v>
      </c>
      <c r="AA14" s="149" t="e">
        <f t="shared" si="9"/>
        <v>#DIV/0!</v>
      </c>
    </row>
    <row r="15" spans="2:27" ht="18" customHeight="1" x14ac:dyDescent="0.2">
      <c r="B15" s="46" t="s">
        <v>15</v>
      </c>
      <c r="C15" s="46" t="s">
        <v>42</v>
      </c>
      <c r="D15" s="46" t="s">
        <v>14</v>
      </c>
      <c r="E15" s="108" t="s">
        <v>38</v>
      </c>
      <c r="F15" s="47" t="s">
        <v>39</v>
      </c>
      <c r="G15" s="47" t="s">
        <v>16</v>
      </c>
      <c r="I15" s="79" t="s">
        <v>81</v>
      </c>
      <c r="J15" s="80" t="s">
        <v>133</v>
      </c>
      <c r="K15" s="98" t="s">
        <v>111</v>
      </c>
      <c r="L15" s="104" t="s">
        <v>112</v>
      </c>
      <c r="M15" s="76" t="s">
        <v>95</v>
      </c>
      <c r="N15" s="11" t="s">
        <v>67</v>
      </c>
      <c r="O15" s="166">
        <f>La*rootP3</f>
        <v>227.02208699862601</v>
      </c>
      <c r="Q15" s="130">
        <v>0.08</v>
      </c>
      <c r="R15" s="129">
        <f t="shared" si="0"/>
        <v>0</v>
      </c>
      <c r="S15" s="143">
        <f t="shared" si="1"/>
        <v>0</v>
      </c>
      <c r="T15" s="143">
        <f t="shared" si="2"/>
        <v>0</v>
      </c>
      <c r="U15" s="143">
        <f t="shared" si="3"/>
        <v>0</v>
      </c>
      <c r="V15" s="143">
        <f t="shared" si="4"/>
        <v>1.368385593142037</v>
      </c>
      <c r="W15" s="143">
        <f t="shared" si="5"/>
        <v>0.29839751798850311</v>
      </c>
      <c r="X15" s="143">
        <f t="shared" si="6"/>
        <v>8.3207940750375742E-2</v>
      </c>
      <c r="Y15" s="143" t="e">
        <f t="shared" si="7"/>
        <v>#DIV/0!</v>
      </c>
      <c r="Z15" s="143" t="e">
        <f t="shared" si="8"/>
        <v>#DIV/0!</v>
      </c>
      <c r="AA15" s="149" t="e">
        <f t="shared" si="9"/>
        <v>#DIV/0!</v>
      </c>
    </row>
    <row r="16" spans="2:27" ht="18" customHeight="1" x14ac:dyDescent="0.2">
      <c r="B16" s="48" t="s">
        <v>47</v>
      </c>
      <c r="C16" s="49" t="s">
        <v>8</v>
      </c>
      <c r="D16" s="50" t="s">
        <v>49</v>
      </c>
      <c r="E16" s="87" t="s">
        <v>72</v>
      </c>
      <c r="F16" s="51"/>
      <c r="G16" s="154">
        <v>3.5000000000000001E-3</v>
      </c>
      <c r="I16" s="77" t="s">
        <v>82</v>
      </c>
      <c r="J16" s="78" t="s">
        <v>134</v>
      </c>
      <c r="K16" s="27" t="s">
        <v>110</v>
      </c>
      <c r="L16" s="83" t="s">
        <v>113</v>
      </c>
      <c r="M16" s="27" t="s">
        <v>96</v>
      </c>
      <c r="N16" s="10"/>
      <c r="O16" s="165">
        <f>La_1/(depth1*(1-(RFC_1/100)))</f>
        <v>12444.876068816591</v>
      </c>
      <c r="Q16" s="130">
        <v>0.09</v>
      </c>
      <c r="R16" s="129">
        <f t="shared" si="0"/>
        <v>0</v>
      </c>
      <c r="S16" s="143">
        <f t="shared" si="1"/>
        <v>0</v>
      </c>
      <c r="T16" s="143">
        <f t="shared" si="2"/>
        <v>0</v>
      </c>
      <c r="U16" s="143">
        <f t="shared" si="3"/>
        <v>0</v>
      </c>
      <c r="V16" s="143">
        <f t="shared" si="4"/>
        <v>1.368385593142037</v>
      </c>
      <c r="W16" s="143">
        <f t="shared" si="5"/>
        <v>0.29839751798850311</v>
      </c>
      <c r="X16" s="143">
        <f t="shared" si="6"/>
        <v>8.3207940750375742E-2</v>
      </c>
      <c r="Y16" s="143" t="e">
        <f t="shared" si="7"/>
        <v>#DIV/0!</v>
      </c>
      <c r="Z16" s="143" t="e">
        <f t="shared" si="8"/>
        <v>#DIV/0!</v>
      </c>
      <c r="AA16" s="149" t="e">
        <f t="shared" si="9"/>
        <v>#DIV/0!</v>
      </c>
    </row>
    <row r="17" spans="1:27" ht="18" customHeight="1" x14ac:dyDescent="0.2">
      <c r="B17" s="52" t="s">
        <v>46</v>
      </c>
      <c r="C17" s="53" t="s">
        <v>11</v>
      </c>
      <c r="D17" s="54" t="s">
        <v>49</v>
      </c>
      <c r="E17" s="88" t="s">
        <v>3</v>
      </c>
      <c r="F17" s="55"/>
      <c r="G17" s="154">
        <v>2</v>
      </c>
      <c r="I17" s="79" t="s">
        <v>83</v>
      </c>
      <c r="J17" s="80" t="s">
        <v>135</v>
      </c>
      <c r="K17" s="76" t="s">
        <v>110</v>
      </c>
      <c r="L17" s="103" t="s">
        <v>113</v>
      </c>
      <c r="M17" s="76" t="s">
        <v>101</v>
      </c>
      <c r="N17" s="11" t="s">
        <v>67</v>
      </c>
      <c r="O17" s="165">
        <f>La_2/((depth2-depth1)*(1-(RFC_2/100)))</f>
        <v>5427.5931421969171</v>
      </c>
      <c r="Q17" s="130">
        <v>0.1</v>
      </c>
      <c r="R17" s="129">
        <f t="shared" si="0"/>
        <v>0</v>
      </c>
      <c r="S17" s="143">
        <f t="shared" si="1"/>
        <v>0</v>
      </c>
      <c r="T17" s="143">
        <f t="shared" si="2"/>
        <v>0</v>
      </c>
      <c r="U17" s="143">
        <f t="shared" si="3"/>
        <v>0</v>
      </c>
      <c r="V17" s="143">
        <f t="shared" si="4"/>
        <v>1.368385593142037</v>
      </c>
      <c r="W17" s="143">
        <f t="shared" si="5"/>
        <v>0.29839751798850311</v>
      </c>
      <c r="X17" s="143">
        <f t="shared" si="6"/>
        <v>8.3207940750375742E-2</v>
      </c>
      <c r="Y17" s="143" t="e">
        <f t="shared" si="7"/>
        <v>#DIV/0!</v>
      </c>
      <c r="Z17" s="143" t="e">
        <f t="shared" si="8"/>
        <v>#DIV/0!</v>
      </c>
      <c r="AA17" s="149" t="e">
        <f t="shared" si="9"/>
        <v>#DIV/0!</v>
      </c>
    </row>
    <row r="18" spans="1:27" ht="18" customHeight="1" x14ac:dyDescent="0.2">
      <c r="B18" s="52" t="s">
        <v>45</v>
      </c>
      <c r="C18" s="53" t="s">
        <v>9</v>
      </c>
      <c r="D18" s="54" t="s">
        <v>50</v>
      </c>
      <c r="E18" s="88" t="s">
        <v>3</v>
      </c>
      <c r="F18" s="55"/>
      <c r="G18" s="154">
        <v>0.5</v>
      </c>
      <c r="I18" s="79" t="s">
        <v>84</v>
      </c>
      <c r="J18" s="80" t="s">
        <v>136</v>
      </c>
      <c r="K18" s="76" t="s">
        <v>110</v>
      </c>
      <c r="L18" s="104" t="s">
        <v>113</v>
      </c>
      <c r="M18" s="76" t="s">
        <v>102</v>
      </c>
      <c r="N18" s="11" t="s">
        <v>67</v>
      </c>
      <c r="O18" s="166">
        <f>La_3/((depth3-depth2)*(1-(RFC_3/100)))</f>
        <v>378.3701449977101</v>
      </c>
      <c r="Q18" s="130">
        <v>0.11</v>
      </c>
      <c r="R18" s="129">
        <f t="shared" si="0"/>
        <v>6.2499999999999965E-2</v>
      </c>
      <c r="S18" s="143">
        <f t="shared" si="1"/>
        <v>0.13371175885925868</v>
      </c>
      <c r="T18" s="143">
        <f t="shared" si="2"/>
        <v>2.5839075171310125E-2</v>
      </c>
      <c r="U18" s="143">
        <f t="shared" si="3"/>
        <v>5.2772785855242791E-3</v>
      </c>
      <c r="V18" s="143">
        <f t="shared" si="4"/>
        <v>1.368385593142037</v>
      </c>
      <c r="W18" s="143">
        <f t="shared" si="5"/>
        <v>0.29839751798850311</v>
      </c>
      <c r="X18" s="143">
        <f t="shared" si="6"/>
        <v>8.3207940750375742E-2</v>
      </c>
      <c r="Y18" s="143">
        <f t="shared" si="7"/>
        <v>0.12180917848827542</v>
      </c>
      <c r="Z18" s="143">
        <f t="shared" si="8"/>
        <v>2.3779906589497607E-2</v>
      </c>
      <c r="AA18" s="149">
        <f t="shared" si="9"/>
        <v>4.9625404916567306E-3</v>
      </c>
    </row>
    <row r="19" spans="1:27" ht="18" customHeight="1" x14ac:dyDescent="0.2">
      <c r="B19" s="52" t="s">
        <v>10</v>
      </c>
      <c r="C19" s="53" t="s">
        <v>10</v>
      </c>
      <c r="D19" s="54" t="s">
        <v>51</v>
      </c>
      <c r="E19" s="88" t="s">
        <v>73</v>
      </c>
      <c r="F19" s="55"/>
      <c r="G19" s="154">
        <v>2</v>
      </c>
      <c r="I19" s="77" t="s">
        <v>85</v>
      </c>
      <c r="J19" s="78"/>
      <c r="K19" s="27"/>
      <c r="L19" s="10"/>
      <c r="M19" s="109" t="s">
        <v>114</v>
      </c>
      <c r="N19" s="10"/>
      <c r="O19" s="165">
        <f>2*PI()*La_1/LN((1/SQRT(PI()*Lv_1))/root_radius)</f>
        <v>7261.8849375360205</v>
      </c>
      <c r="Q19" s="130">
        <v>0.12</v>
      </c>
      <c r="R19" s="129">
        <f t="shared" si="0"/>
        <v>0.12499999999999993</v>
      </c>
      <c r="S19" s="143">
        <f t="shared" si="1"/>
        <v>0.26812869867559402</v>
      </c>
      <c r="T19" s="143">
        <f t="shared" si="2"/>
        <v>5.1814422753623829E-2</v>
      </c>
      <c r="U19" s="143">
        <f t="shared" si="3"/>
        <v>1.0582388951854142E-2</v>
      </c>
      <c r="V19" s="143">
        <f t="shared" si="4"/>
        <v>1.368385593142037</v>
      </c>
      <c r="W19" s="143">
        <f t="shared" si="5"/>
        <v>0.29839751798850311</v>
      </c>
      <c r="X19" s="143">
        <f t="shared" si="6"/>
        <v>8.3207940750375742E-2</v>
      </c>
      <c r="Y19" s="143">
        <f t="shared" si="7"/>
        <v>0.22419813270808392</v>
      </c>
      <c r="Z19" s="143">
        <f t="shared" si="8"/>
        <v>4.4148395148733817E-2</v>
      </c>
      <c r="AA19" s="149">
        <f t="shared" si="9"/>
        <v>9.3883750670126428E-3</v>
      </c>
    </row>
    <row r="20" spans="1:27" ht="18" customHeight="1" x14ac:dyDescent="0.2">
      <c r="B20" s="52" t="s">
        <v>43</v>
      </c>
      <c r="C20" s="53" t="s">
        <v>12</v>
      </c>
      <c r="D20" s="54" t="s">
        <v>17</v>
      </c>
      <c r="E20" s="88" t="s">
        <v>141</v>
      </c>
      <c r="F20" s="55" t="s">
        <v>151</v>
      </c>
      <c r="G20" s="154">
        <v>0.26</v>
      </c>
      <c r="I20" s="79" t="s">
        <v>86</v>
      </c>
      <c r="J20" s="90"/>
      <c r="L20" s="26"/>
      <c r="M20" s="99" t="s">
        <v>116</v>
      </c>
      <c r="N20" s="26" t="s">
        <v>67</v>
      </c>
      <c r="O20" s="165">
        <f>2*PI()*La_2/LN((1/SQRT(PI()*Lv_2))/root_radius)</f>
        <v>1403.3200399667398</v>
      </c>
      <c r="Q20" s="130">
        <v>0.13</v>
      </c>
      <c r="R20" s="129">
        <f t="shared" si="0"/>
        <v>0.1875</v>
      </c>
      <c r="S20" s="143">
        <f t="shared" si="1"/>
        <v>0.4528836889507632</v>
      </c>
      <c r="T20" s="143">
        <f t="shared" si="2"/>
        <v>8.7517326692084785E-2</v>
      </c>
      <c r="U20" s="143">
        <f t="shared" si="3"/>
        <v>1.7874219992489535E-2</v>
      </c>
      <c r="V20" s="143">
        <f t="shared" si="4"/>
        <v>1.368385593142037</v>
      </c>
      <c r="W20" s="143">
        <f t="shared" si="5"/>
        <v>0.29839751798850311</v>
      </c>
      <c r="X20" s="143">
        <f t="shared" si="6"/>
        <v>8.3207940750375742E-2</v>
      </c>
      <c r="Y20" s="143">
        <f t="shared" si="7"/>
        <v>0.34026792271878165</v>
      </c>
      <c r="Z20" s="143">
        <f t="shared" si="8"/>
        <v>6.7670247532254868E-2</v>
      </c>
      <c r="AA20" s="149">
        <f t="shared" si="9"/>
        <v>1.4713546160510104E-2</v>
      </c>
    </row>
    <row r="21" spans="1:27" ht="18" customHeight="1" thickBot="1" x14ac:dyDescent="0.25">
      <c r="B21" s="56" t="s">
        <v>44</v>
      </c>
      <c r="C21" s="57" t="s">
        <v>13</v>
      </c>
      <c r="D21" s="58" t="s">
        <v>18</v>
      </c>
      <c r="E21" s="89" t="s">
        <v>32</v>
      </c>
      <c r="F21" s="59" t="s">
        <v>150</v>
      </c>
      <c r="G21" s="155">
        <v>0.1</v>
      </c>
      <c r="I21" s="81" t="s">
        <v>87</v>
      </c>
      <c r="J21" s="82"/>
      <c r="K21" s="28"/>
      <c r="L21" s="12"/>
      <c r="M21" s="110" t="s">
        <v>115</v>
      </c>
      <c r="N21" s="12" t="s">
        <v>67</v>
      </c>
      <c r="O21" s="165">
        <f>2*PI()*La_3/LN((1/SQRT(PI()*Lv_3))/root_radius)</f>
        <v>286.6089729007146</v>
      </c>
      <c r="Q21" s="130">
        <v>0.14000000000000001</v>
      </c>
      <c r="R21" s="129">
        <f t="shared" si="0"/>
        <v>0.25000000000000006</v>
      </c>
      <c r="S21" s="143">
        <f t="shared" si="1"/>
        <v>0.70435114993230841</v>
      </c>
      <c r="T21" s="143">
        <f t="shared" si="2"/>
        <v>0.13611205525503733</v>
      </c>
      <c r="U21" s="143">
        <f t="shared" si="3"/>
        <v>2.779903033165276E-2</v>
      </c>
      <c r="V21" s="143">
        <f t="shared" si="4"/>
        <v>1.368385593142037</v>
      </c>
      <c r="W21" s="143">
        <f t="shared" si="5"/>
        <v>0.29839751798850311</v>
      </c>
      <c r="X21" s="143">
        <f t="shared" si="6"/>
        <v>8.3207940750375742E-2</v>
      </c>
      <c r="Y21" s="143">
        <f t="shared" si="7"/>
        <v>0.46500066605218038</v>
      </c>
      <c r="Z21" s="143">
        <f t="shared" si="8"/>
        <v>9.3474348915328367E-2</v>
      </c>
      <c r="AA21" s="149">
        <f t="shared" si="9"/>
        <v>2.0837430714552133E-2</v>
      </c>
    </row>
    <row r="22" spans="1:27" ht="18" customHeight="1" x14ac:dyDescent="0.2">
      <c r="B22" s="45"/>
      <c r="C22" s="45"/>
      <c r="D22" s="45"/>
      <c r="E22" s="45"/>
      <c r="F22" s="122"/>
      <c r="G22" s="122"/>
      <c r="I22" s="77" t="s">
        <v>117</v>
      </c>
      <c r="J22" s="78" t="s">
        <v>137</v>
      </c>
      <c r="K22" s="27" t="s">
        <v>121</v>
      </c>
      <c r="L22" s="105" t="s">
        <v>124</v>
      </c>
      <c r="M22" s="7"/>
      <c r="N22" s="4"/>
      <c r="O22" s="162">
        <f>KRootTotal*rootP1</f>
        <v>1.368385593142037</v>
      </c>
      <c r="Q22" s="130">
        <v>0.15</v>
      </c>
      <c r="R22" s="129">
        <f t="shared" si="0"/>
        <v>0.31249999999999994</v>
      </c>
      <c r="S22" s="143">
        <f t="shared" si="1"/>
        <v>1.0392905413506741</v>
      </c>
      <c r="T22" s="143">
        <f t="shared" si="2"/>
        <v>0.20083728351115152</v>
      </c>
      <c r="U22" s="143">
        <f t="shared" si="3"/>
        <v>4.1018275167413014E-2</v>
      </c>
      <c r="V22" s="143">
        <f t="shared" si="4"/>
        <v>1.368385593142037</v>
      </c>
      <c r="W22" s="143">
        <f t="shared" si="5"/>
        <v>0.29839751798850311</v>
      </c>
      <c r="X22" s="143">
        <f t="shared" si="6"/>
        <v>8.3207940750375742E-2</v>
      </c>
      <c r="Y22" s="143">
        <f t="shared" si="7"/>
        <v>0.59067338148147286</v>
      </c>
      <c r="Z22" s="143">
        <f t="shared" si="8"/>
        <v>0.12004240637723729</v>
      </c>
      <c r="AA22" s="149">
        <f t="shared" si="9"/>
        <v>2.7474443977842961E-2</v>
      </c>
    </row>
    <row r="23" spans="1:27" ht="18" customHeight="1" x14ac:dyDescent="0.2">
      <c r="B23" s="15" t="s">
        <v>48</v>
      </c>
      <c r="C23" s="60"/>
      <c r="D23" s="60"/>
      <c r="E23" s="61"/>
      <c r="F23" s="123"/>
      <c r="G23" s="123"/>
      <c r="I23" s="79" t="s">
        <v>118</v>
      </c>
      <c r="J23" s="80" t="s">
        <v>138</v>
      </c>
      <c r="K23" s="76" t="s">
        <v>120</v>
      </c>
      <c r="L23" s="103" t="s">
        <v>124</v>
      </c>
      <c r="M23" s="8"/>
      <c r="N23" s="5"/>
      <c r="O23" s="162">
        <f>KRootTotal*rootP2</f>
        <v>0.29839751798850311</v>
      </c>
      <c r="Q23" s="130">
        <v>0.16</v>
      </c>
      <c r="R23" s="129">
        <f t="shared" si="0"/>
        <v>0.375</v>
      </c>
      <c r="S23" s="143">
        <f t="shared" si="1"/>
        <v>1.4761416683939508</v>
      </c>
      <c r="T23" s="143">
        <f t="shared" si="2"/>
        <v>0.28525640421260035</v>
      </c>
      <c r="U23" s="143">
        <f t="shared" si="3"/>
        <v>5.8259728854625478E-2</v>
      </c>
      <c r="V23" s="143">
        <f t="shared" si="4"/>
        <v>1.368385593142037</v>
      </c>
      <c r="W23" s="143">
        <f t="shared" si="5"/>
        <v>0.29839751798850311</v>
      </c>
      <c r="X23" s="143">
        <f t="shared" si="6"/>
        <v>8.3207940750375742E-2</v>
      </c>
      <c r="Y23" s="143">
        <f t="shared" si="7"/>
        <v>0.71011131437573571</v>
      </c>
      <c r="Z23" s="143">
        <f t="shared" si="8"/>
        <v>0.14583951168589301</v>
      </c>
      <c r="AA23" s="149">
        <f t="shared" si="9"/>
        <v>3.4266995987168335E-2</v>
      </c>
    </row>
    <row r="24" spans="1:27" ht="18" customHeight="1" x14ac:dyDescent="0.2">
      <c r="B24" s="62" t="s">
        <v>15</v>
      </c>
      <c r="C24" s="62" t="s">
        <v>42</v>
      </c>
      <c r="D24" s="62" t="s">
        <v>14</v>
      </c>
      <c r="E24" s="63" t="s">
        <v>38</v>
      </c>
      <c r="F24" s="63" t="s">
        <v>39</v>
      </c>
      <c r="G24" s="63" t="s">
        <v>16</v>
      </c>
      <c r="I24" s="81" t="s">
        <v>119</v>
      </c>
      <c r="J24" s="82" t="s">
        <v>139</v>
      </c>
      <c r="K24" s="28" t="s">
        <v>122</v>
      </c>
      <c r="L24" s="106" t="s">
        <v>124</v>
      </c>
      <c r="M24" s="9"/>
      <c r="N24" s="6"/>
      <c r="O24" s="162">
        <f>KRootTotal*rootP3</f>
        <v>8.3207940750375742E-2</v>
      </c>
      <c r="Q24" s="130">
        <v>0.17</v>
      </c>
      <c r="R24" s="129">
        <f t="shared" si="0"/>
        <v>0.43750000000000006</v>
      </c>
      <c r="S24" s="143">
        <f t="shared" si="1"/>
        <v>2.0353952730731764</v>
      </c>
      <c r="T24" s="143">
        <f t="shared" si="2"/>
        <v>0.39332914257469881</v>
      </c>
      <c r="U24" s="143">
        <f t="shared" si="3"/>
        <v>8.0332111246644092E-2</v>
      </c>
      <c r="V24" s="143">
        <f t="shared" si="4"/>
        <v>1.368385593142037</v>
      </c>
      <c r="W24" s="143">
        <f t="shared" si="5"/>
        <v>0.29839751798850311</v>
      </c>
      <c r="X24" s="143">
        <f t="shared" si="6"/>
        <v>8.3207940750375742E-2</v>
      </c>
      <c r="Y24" s="143">
        <f t="shared" si="7"/>
        <v>0.81826817809211894</v>
      </c>
      <c r="Z24" s="143">
        <f t="shared" si="8"/>
        <v>0.16967459343156607</v>
      </c>
      <c r="AA24" s="149">
        <f t="shared" si="9"/>
        <v>4.0872370231881547E-2</v>
      </c>
    </row>
    <row r="25" spans="1:27" ht="18" customHeight="1" x14ac:dyDescent="0.2">
      <c r="B25" s="64" t="s">
        <v>68</v>
      </c>
      <c r="C25" s="65" t="s">
        <v>52</v>
      </c>
      <c r="D25" s="66" t="s">
        <v>21</v>
      </c>
      <c r="E25" s="112" t="s">
        <v>1</v>
      </c>
      <c r="F25" s="67"/>
      <c r="G25" s="156">
        <v>2.0000000000000001E-4</v>
      </c>
      <c r="Q25" s="130">
        <v>0.18</v>
      </c>
      <c r="R25" s="129">
        <f t="shared" si="0"/>
        <v>0.49999999999999989</v>
      </c>
      <c r="S25" s="143">
        <f t="shared" si="1"/>
        <v>2.7397883537386756</v>
      </c>
      <c r="T25" s="143">
        <f t="shared" si="2"/>
        <v>0.52944930071744134</v>
      </c>
      <c r="U25" s="143">
        <f t="shared" si="3"/>
        <v>0.10813279648256428</v>
      </c>
      <c r="V25" s="143">
        <f t="shared" si="4"/>
        <v>1.368385593142037</v>
      </c>
      <c r="W25" s="143">
        <f t="shared" si="5"/>
        <v>0.29839751798850311</v>
      </c>
      <c r="X25" s="143">
        <f t="shared" si="6"/>
        <v>8.3207940750375742E-2</v>
      </c>
      <c r="Y25" s="143">
        <f t="shared" si="7"/>
        <v>0.91259205671195576</v>
      </c>
      <c r="Z25" s="143">
        <f t="shared" si="8"/>
        <v>0.19084008498310201</v>
      </c>
      <c r="AA25" s="149">
        <f t="shared" si="9"/>
        <v>4.7023479960464444E-2</v>
      </c>
    </row>
    <row r="26" spans="1:27" ht="18" customHeight="1" x14ac:dyDescent="0.2">
      <c r="B26" s="75" t="s">
        <v>60</v>
      </c>
      <c r="C26" s="72" t="s">
        <v>3</v>
      </c>
      <c r="D26" s="73" t="s">
        <v>154</v>
      </c>
      <c r="E26" s="113" t="s">
        <v>123</v>
      </c>
      <c r="F26" s="74" t="s">
        <v>64</v>
      </c>
      <c r="G26" s="157">
        <v>1.75</v>
      </c>
      <c r="Q26" s="130">
        <v>0.19</v>
      </c>
      <c r="R26" s="129">
        <f t="shared" si="0"/>
        <v>0.5625</v>
      </c>
      <c r="S26" s="143">
        <f t="shared" si="1"/>
        <v>3.6144510792386439</v>
      </c>
      <c r="T26" s="143">
        <f t="shared" si="2"/>
        <v>0.69847314803310867</v>
      </c>
      <c r="U26" s="143">
        <f t="shared" si="3"/>
        <v>0.14265361133248178</v>
      </c>
      <c r="V26" s="143">
        <f t="shared" si="4"/>
        <v>1.368385593142037</v>
      </c>
      <c r="W26" s="143">
        <f t="shared" si="5"/>
        <v>0.29839751798850311</v>
      </c>
      <c r="X26" s="143">
        <f t="shared" si="6"/>
        <v>8.3207940750375742E-2</v>
      </c>
      <c r="Y26" s="143">
        <f t="shared" si="7"/>
        <v>0.99259981997037527</v>
      </c>
      <c r="Z26" s="143">
        <f t="shared" si="8"/>
        <v>0.20907692528107494</v>
      </c>
      <c r="AA26" s="149">
        <f t="shared" si="9"/>
        <v>5.2553934612234426E-2</v>
      </c>
    </row>
    <row r="27" spans="1:27" x14ac:dyDescent="0.2">
      <c r="B27" s="114" t="s">
        <v>65</v>
      </c>
      <c r="C27" s="115" t="s">
        <v>65</v>
      </c>
      <c r="D27" s="116" t="s">
        <v>127</v>
      </c>
      <c r="E27" s="117" t="s">
        <v>3</v>
      </c>
      <c r="F27" s="124" t="s">
        <v>64</v>
      </c>
      <c r="G27" s="158">
        <v>1</v>
      </c>
      <c r="Q27" s="130">
        <v>0.2</v>
      </c>
      <c r="R27" s="129">
        <f t="shared" si="0"/>
        <v>0.625</v>
      </c>
      <c r="S27" s="143">
        <f t="shared" si="1"/>
        <v>4.6870383885401585</v>
      </c>
      <c r="T27" s="143">
        <f t="shared" si="2"/>
        <v>0.90574485210220868</v>
      </c>
      <c r="U27" s="143">
        <f t="shared" si="3"/>
        <v>0.18498602911512352</v>
      </c>
      <c r="V27" s="143">
        <f t="shared" si="4"/>
        <v>1.368385593142037</v>
      </c>
      <c r="W27" s="143">
        <f t="shared" si="5"/>
        <v>0.29839751798850311</v>
      </c>
      <c r="X27" s="143">
        <f t="shared" si="6"/>
        <v>8.3207940750375742E-2</v>
      </c>
      <c r="Y27" s="143">
        <f t="shared" si="7"/>
        <v>1.0591621370829767</v>
      </c>
      <c r="Z27" s="143">
        <f t="shared" si="8"/>
        <v>0.22445187754484749</v>
      </c>
      <c r="AA27" s="149">
        <f t="shared" si="9"/>
        <v>5.7392440844131601E-2</v>
      </c>
    </row>
    <row r="28" spans="1:27" x14ac:dyDescent="0.2">
      <c r="B28" s="114" t="s">
        <v>0</v>
      </c>
      <c r="C28" s="115" t="s">
        <v>0</v>
      </c>
      <c r="D28" s="116" t="s">
        <v>23</v>
      </c>
      <c r="E28" s="118" t="s">
        <v>152</v>
      </c>
      <c r="F28" s="124" t="s">
        <v>66</v>
      </c>
      <c r="G28" s="158">
        <v>6</v>
      </c>
      <c r="Q28" s="130">
        <v>0.21</v>
      </c>
      <c r="R28" s="129">
        <f t="shared" si="0"/>
        <v>0.68749999999999989</v>
      </c>
      <c r="S28" s="143">
        <f t="shared" si="1"/>
        <v>5.987857459689355</v>
      </c>
      <c r="T28" s="143">
        <f t="shared" si="2"/>
        <v>1.157121111381521</v>
      </c>
      <c r="U28" s="143">
        <f t="shared" si="3"/>
        <v>0.23632620058832149</v>
      </c>
      <c r="V28" s="143">
        <f t="shared" si="4"/>
        <v>1.368385593142037</v>
      </c>
      <c r="W28" s="143">
        <f t="shared" si="5"/>
        <v>0.29839751798850311</v>
      </c>
      <c r="X28" s="143">
        <f t="shared" si="6"/>
        <v>8.3207940750375742E-2</v>
      </c>
      <c r="Y28" s="143">
        <f t="shared" si="7"/>
        <v>1.1138427350457465</v>
      </c>
      <c r="Z28" s="143">
        <f t="shared" si="8"/>
        <v>0.23722270583220822</v>
      </c>
      <c r="AA28" s="149">
        <f t="shared" si="9"/>
        <v>6.1540267384044417E-2</v>
      </c>
    </row>
    <row r="29" spans="1:27" x14ac:dyDescent="0.2">
      <c r="A29" s="5"/>
      <c r="B29" s="119" t="s">
        <v>91</v>
      </c>
      <c r="C29" s="30" t="s">
        <v>74</v>
      </c>
      <c r="D29" s="29" t="s">
        <v>153</v>
      </c>
      <c r="E29" s="120" t="s">
        <v>3</v>
      </c>
      <c r="F29" s="120" t="s">
        <v>75</v>
      </c>
      <c r="G29" s="159">
        <v>0.97</v>
      </c>
      <c r="I29" s="20" t="s">
        <v>146</v>
      </c>
      <c r="J29" s="20"/>
      <c r="Q29" s="130">
        <v>0.22</v>
      </c>
      <c r="R29" s="129">
        <f t="shared" si="0"/>
        <v>0.75</v>
      </c>
      <c r="S29" s="143">
        <f t="shared" si="1"/>
        <v>7.5499956657983516</v>
      </c>
      <c r="T29" s="143">
        <f t="shared" si="2"/>
        <v>1.4589958820074327</v>
      </c>
      <c r="U29" s="143">
        <f t="shared" si="3"/>
        <v>0.29798000406124986</v>
      </c>
      <c r="V29" s="143">
        <f t="shared" si="4"/>
        <v>1.368385593142037</v>
      </c>
      <c r="W29" s="143">
        <f t="shared" si="5"/>
        <v>0.29839751798850311</v>
      </c>
      <c r="X29" s="143">
        <f t="shared" si="6"/>
        <v>8.3207940750375742E-2</v>
      </c>
      <c r="Y29" s="143">
        <f t="shared" si="7"/>
        <v>1.1584283063707876</v>
      </c>
      <c r="Z29" s="143">
        <f t="shared" si="8"/>
        <v>0.24773095764868108</v>
      </c>
      <c r="AA29" s="149">
        <f t="shared" si="9"/>
        <v>6.5044823321938949E-2</v>
      </c>
    </row>
    <row r="30" spans="1:27" x14ac:dyDescent="0.2">
      <c r="A30" s="5"/>
      <c r="B30" s="5"/>
      <c r="C30" s="5"/>
      <c r="D30" s="5"/>
      <c r="E30" s="5"/>
      <c r="F30" s="5"/>
      <c r="G30" s="5"/>
      <c r="I30" s="21" t="s">
        <v>15</v>
      </c>
      <c r="J30" s="21" t="s">
        <v>42</v>
      </c>
      <c r="K30" s="21" t="s">
        <v>14</v>
      </c>
      <c r="L30" s="22" t="s">
        <v>38</v>
      </c>
      <c r="M30" s="91" t="s">
        <v>25</v>
      </c>
      <c r="N30" s="23" t="s">
        <v>24</v>
      </c>
      <c r="O30" s="22" t="s">
        <v>16</v>
      </c>
      <c r="Q30" s="130">
        <v>0.23</v>
      </c>
      <c r="R30" s="129">
        <f t="shared" si="0"/>
        <v>0.8125</v>
      </c>
      <c r="S30" s="143">
        <f t="shared" si="1"/>
        <v>9.4094513138739995</v>
      </c>
      <c r="T30" s="143">
        <f t="shared" si="2"/>
        <v>1.8183256423684222</v>
      </c>
      <c r="U30" s="143">
        <f t="shared" si="3"/>
        <v>0.37136820533867482</v>
      </c>
      <c r="V30" s="143">
        <f t="shared" si="4"/>
        <v>1.368385593142037</v>
      </c>
      <c r="W30" s="143">
        <f t="shared" si="5"/>
        <v>0.29839751798850311</v>
      </c>
      <c r="X30" s="143">
        <f t="shared" si="6"/>
        <v>8.3207940750375742E-2</v>
      </c>
      <c r="Y30" s="143">
        <f t="shared" si="7"/>
        <v>1.194651369134643</v>
      </c>
      <c r="Z30" s="143">
        <f t="shared" si="8"/>
        <v>0.25633198934058826</v>
      </c>
      <c r="AA30" s="149">
        <f t="shared" si="9"/>
        <v>6.7977134067084166E-2</v>
      </c>
    </row>
    <row r="31" spans="1:27" x14ac:dyDescent="0.2">
      <c r="A31" s="5"/>
      <c r="B31" s="5"/>
      <c r="C31" s="5"/>
      <c r="D31" s="5"/>
      <c r="E31" s="5"/>
      <c r="F31" s="5"/>
      <c r="G31" s="5"/>
      <c r="I31" s="92" t="s">
        <v>148</v>
      </c>
      <c r="J31" s="93" t="s">
        <v>3</v>
      </c>
      <c r="K31" s="94" t="s">
        <v>149</v>
      </c>
      <c r="L31" s="102" t="s">
        <v>147</v>
      </c>
      <c r="M31" s="94" t="s">
        <v>3</v>
      </c>
      <c r="N31" s="152" t="s">
        <v>3</v>
      </c>
      <c r="O31" s="167">
        <f>1000*(sc_vg-rc_vg)*((depth1*(1-RFC_1/100)+(depth2-depth1)*(1-RFC_2/100))+((depth3-depth2)*(1-RFC_3/100)))</f>
        <v>167.99999999999997</v>
      </c>
      <c r="Q31" s="130">
        <v>0.24</v>
      </c>
      <c r="R31" s="129">
        <f t="shared" si="0"/>
        <v>0.87499999999999989</v>
      </c>
      <c r="S31" s="143">
        <f t="shared" si="1"/>
        <v>11.605268541689037</v>
      </c>
      <c r="T31" s="143">
        <f t="shared" si="2"/>
        <v>2.2426554611967817</v>
      </c>
      <c r="U31" s="143">
        <f t="shared" si="3"/>
        <v>0.4580317817730461</v>
      </c>
      <c r="V31" s="143">
        <f t="shared" si="4"/>
        <v>1.368385593142037</v>
      </c>
      <c r="W31" s="143">
        <f t="shared" si="5"/>
        <v>0.29839751798850311</v>
      </c>
      <c r="X31" s="143">
        <f t="shared" si="6"/>
        <v>8.3207940750375742E-2</v>
      </c>
      <c r="Y31" s="143">
        <f t="shared" si="7"/>
        <v>1.2240562382772779</v>
      </c>
      <c r="Z31" s="143">
        <f t="shared" si="8"/>
        <v>0.26335650173615899</v>
      </c>
      <c r="AA31" s="149">
        <f t="shared" si="9"/>
        <v>7.0415898489252851E-2</v>
      </c>
    </row>
    <row r="32" spans="1:27" x14ac:dyDescent="0.2">
      <c r="A32" s="5"/>
      <c r="B32" s="5"/>
      <c r="C32" s="5"/>
      <c r="D32" s="5"/>
      <c r="E32" s="5"/>
      <c r="F32" s="5"/>
      <c r="G32" s="5"/>
      <c r="Q32" s="130">
        <v>0.25</v>
      </c>
      <c r="R32" s="129">
        <f t="shared" si="0"/>
        <v>0.9375</v>
      </c>
      <c r="S32" s="143">
        <f t="shared" si="1"/>
        <v>14.179677355434096</v>
      </c>
      <c r="T32" s="143">
        <f t="shared" si="2"/>
        <v>2.7401460590884703</v>
      </c>
      <c r="U32" s="143">
        <f t="shared" si="3"/>
        <v>0.559637449210731</v>
      </c>
      <c r="V32" s="143">
        <f t="shared" si="4"/>
        <v>1.368385593142037</v>
      </c>
      <c r="W32" s="143">
        <f t="shared" si="5"/>
        <v>0.29839751798850311</v>
      </c>
      <c r="X32" s="143">
        <f t="shared" si="6"/>
        <v>8.3207940750375742E-2</v>
      </c>
      <c r="Y32" s="143">
        <f t="shared" si="7"/>
        <v>1.247953926656524</v>
      </c>
      <c r="Z32" s="143">
        <f t="shared" si="8"/>
        <v>0.26909365036803112</v>
      </c>
      <c r="AA32" s="149">
        <f t="shared" si="9"/>
        <v>7.2437759440781332E-2</v>
      </c>
    </row>
    <row r="33" spans="1:27" x14ac:dyDescent="0.2">
      <c r="A33" s="5"/>
      <c r="B33" s="13"/>
      <c r="C33" s="5"/>
      <c r="D33" s="5"/>
      <c r="E33" s="5"/>
      <c r="F33" s="5"/>
      <c r="G33" s="5"/>
      <c r="H33" s="5"/>
      <c r="I33" s="80"/>
      <c r="J33" s="80"/>
      <c r="K33" s="76"/>
      <c r="L33" s="101"/>
      <c r="M33" s="76"/>
      <c r="N33" s="5"/>
      <c r="O33" s="151"/>
      <c r="Q33" s="130">
        <v>0.26</v>
      </c>
      <c r="R33" s="129">
        <f t="shared" si="0"/>
        <v>1</v>
      </c>
      <c r="S33" s="143">
        <f t="shared" si="1"/>
        <v>17.178239620124764</v>
      </c>
      <c r="T33" s="143">
        <f t="shared" si="2"/>
        <v>3.3196020203607284</v>
      </c>
      <c r="U33" s="143">
        <f t="shared" si="3"/>
        <v>0.67798342387904287</v>
      </c>
      <c r="V33" s="143">
        <f t="shared" si="4"/>
        <v>1.368385593142037</v>
      </c>
      <c r="W33" s="143">
        <f t="shared" si="5"/>
        <v>0.29839751798850311</v>
      </c>
      <c r="X33" s="143">
        <f t="shared" si="6"/>
        <v>8.3207940750375742E-2</v>
      </c>
      <c r="Y33" s="143">
        <f t="shared" si="7"/>
        <v>1.2674249542124674</v>
      </c>
      <c r="Z33" s="143">
        <f t="shared" si="8"/>
        <v>0.27378693476484534</v>
      </c>
      <c r="AA33" s="149">
        <f t="shared" si="9"/>
        <v>7.4112249803738775E-2</v>
      </c>
    </row>
    <row r="34" spans="1:27" x14ac:dyDescent="0.2">
      <c r="A34" s="5"/>
      <c r="B34" s="13"/>
      <c r="C34" s="13"/>
      <c r="D34" s="13"/>
      <c r="E34" s="5"/>
      <c r="F34" s="3"/>
      <c r="G34" s="3"/>
      <c r="Q34" s="130">
        <v>0.27</v>
      </c>
      <c r="R34" s="129">
        <f t="shared" si="0"/>
        <v>1.0625</v>
      </c>
      <c r="S34" s="143">
        <f t="shared" si="1"/>
        <v>20.65000174638498</v>
      </c>
      <c r="T34" s="143">
        <f t="shared" si="2"/>
        <v>3.9905012989482498</v>
      </c>
      <c r="U34" s="143">
        <f t="shared" si="3"/>
        <v>0.81500544856298951</v>
      </c>
      <c r="V34" s="143">
        <f t="shared" si="4"/>
        <v>1.368385593142037</v>
      </c>
      <c r="W34" s="143">
        <f t="shared" si="5"/>
        <v>0.29839751798850311</v>
      </c>
      <c r="X34" s="143">
        <f t="shared" si="6"/>
        <v>8.3207940750375742E-2</v>
      </c>
      <c r="Y34" s="143">
        <f t="shared" si="7"/>
        <v>1.2833439821173622</v>
      </c>
      <c r="Z34" s="143">
        <f t="shared" si="8"/>
        <v>0.27763669276453695</v>
      </c>
      <c r="AA34" s="149">
        <f t="shared" si="9"/>
        <v>7.5499793124998299E-2</v>
      </c>
    </row>
    <row r="35" spans="1:27" x14ac:dyDescent="0.2">
      <c r="A35" s="5"/>
      <c r="B35" s="13"/>
      <c r="C35" s="13"/>
      <c r="D35" s="13"/>
      <c r="E35" s="5"/>
      <c r="F35" s="3"/>
      <c r="G35" s="3"/>
      <c r="Q35" s="130">
        <v>0.28000000000000003</v>
      </c>
      <c r="R35" s="129">
        <f t="shared" si="0"/>
        <v>1.125</v>
      </c>
      <c r="S35" s="143">
        <f t="shared" si="1"/>
        <v>24.64765480093525</v>
      </c>
      <c r="T35" s="143">
        <f t="shared" si="2"/>
        <v>4.7630261588902094</v>
      </c>
      <c r="U35" s="143">
        <f t="shared" si="3"/>
        <v>0.97278311177763399</v>
      </c>
      <c r="V35" s="143">
        <f t="shared" si="4"/>
        <v>1.368385593142037</v>
      </c>
      <c r="W35" s="143">
        <f t="shared" si="5"/>
        <v>0.29839751798850311</v>
      </c>
      <c r="X35" s="143">
        <f t="shared" si="6"/>
        <v>8.3207940750375742E-2</v>
      </c>
      <c r="Y35" s="143">
        <f t="shared" si="7"/>
        <v>1.29641156853432</v>
      </c>
      <c r="Z35" s="143">
        <f t="shared" si="8"/>
        <v>0.28080541655102592</v>
      </c>
      <c r="AA35" s="149">
        <f t="shared" si="9"/>
        <v>7.6651482352983788E-2</v>
      </c>
    </row>
    <row r="36" spans="1:27" x14ac:dyDescent="0.2">
      <c r="A36" s="5"/>
      <c r="B36" s="13"/>
      <c r="C36" s="13"/>
      <c r="D36" s="13"/>
      <c r="E36" s="3"/>
      <c r="F36" s="3"/>
      <c r="G36" s="3"/>
      <c r="Q36" s="130">
        <v>0.28999999999999998</v>
      </c>
      <c r="R36" s="129">
        <f t="shared" si="0"/>
        <v>1.1874999999999998</v>
      </c>
      <c r="S36" s="143">
        <f t="shared" si="1"/>
        <v>29.227702781222934</v>
      </c>
      <c r="T36" s="143">
        <f t="shared" si="2"/>
        <v>5.6480956924936567</v>
      </c>
      <c r="U36" s="143">
        <f t="shared" si="3"/>
        <v>1.1535464891593257</v>
      </c>
      <c r="V36" s="143">
        <f t="shared" si="4"/>
        <v>1.368385593142037</v>
      </c>
      <c r="W36" s="143">
        <f t="shared" si="5"/>
        <v>0.29839751798850311</v>
      </c>
      <c r="X36" s="143">
        <f t="shared" si="6"/>
        <v>8.3207940750375742E-2</v>
      </c>
      <c r="Y36" s="143">
        <f t="shared" si="7"/>
        <v>1.3071856414159353</v>
      </c>
      <c r="Z36" s="143">
        <f t="shared" si="8"/>
        <v>0.28342380565250946</v>
      </c>
      <c r="AA36" s="149">
        <f t="shared" si="9"/>
        <v>7.7609770865976341E-2</v>
      </c>
    </row>
    <row r="37" spans="1:27" x14ac:dyDescent="0.2">
      <c r="A37" s="5"/>
      <c r="B37" s="13"/>
      <c r="C37" s="13"/>
      <c r="D37" s="13"/>
      <c r="E37" s="3"/>
      <c r="F37" s="3"/>
      <c r="G37" s="3"/>
      <c r="Q37" s="130">
        <v>0.3</v>
      </c>
      <c r="R37" s="129">
        <f t="shared" si="0"/>
        <v>1.2499999999999998</v>
      </c>
      <c r="S37" s="143">
        <f t="shared" si="1"/>
        <v>34.450639826501714</v>
      </c>
      <c r="T37" s="143">
        <f t="shared" si="2"/>
        <v>6.6574000654174288</v>
      </c>
      <c r="U37" s="143">
        <f t="shared" si="3"/>
        <v>1.3596831375568916</v>
      </c>
      <c r="V37" s="143">
        <f t="shared" si="4"/>
        <v>1.368385593142037</v>
      </c>
      <c r="W37" s="143">
        <f t="shared" si="5"/>
        <v>0.29839751798850311</v>
      </c>
      <c r="X37" s="143">
        <f t="shared" si="6"/>
        <v>8.3207940750375742E-2</v>
      </c>
      <c r="Y37" s="143">
        <f t="shared" si="7"/>
        <v>1.3161094882067033</v>
      </c>
      <c r="Z37" s="143">
        <f t="shared" si="8"/>
        <v>0.28559653037004229</v>
      </c>
      <c r="AA37" s="149">
        <f t="shared" si="9"/>
        <v>7.8409545703093012E-2</v>
      </c>
    </row>
    <row r="38" spans="1:27" x14ac:dyDescent="0.2">
      <c r="A38" s="5"/>
      <c r="B38" s="13"/>
      <c r="C38" s="13"/>
      <c r="D38" s="13"/>
      <c r="E38" s="3"/>
      <c r="F38" s="3"/>
      <c r="G38" s="3"/>
      <c r="Q38" s="130">
        <v>0.31</v>
      </c>
      <c r="R38" s="129">
        <f t="shared" si="0"/>
        <v>1.3125</v>
      </c>
      <c r="S38" s="143">
        <f t="shared" si="1"/>
        <v>40.381137183204288</v>
      </c>
      <c r="T38" s="143">
        <f t="shared" si="2"/>
        <v>7.8034366467205629</v>
      </c>
      <c r="U38" s="143">
        <f t="shared" si="3"/>
        <v>1.5937454741011079</v>
      </c>
      <c r="V38" s="143">
        <f t="shared" si="4"/>
        <v>1.368385593142037</v>
      </c>
      <c r="W38" s="143">
        <f t="shared" si="5"/>
        <v>0.29839751798850311</v>
      </c>
      <c r="X38" s="143">
        <f t="shared" si="6"/>
        <v>8.3207940750375742E-2</v>
      </c>
      <c r="Y38" s="143">
        <f t="shared" si="7"/>
        <v>1.3235352809229102</v>
      </c>
      <c r="Z38" s="143">
        <f t="shared" si="8"/>
        <v>0.28740728084818312</v>
      </c>
      <c r="AA38" s="149">
        <f t="shared" si="9"/>
        <v>7.9079286166055515E-2</v>
      </c>
    </row>
    <row r="39" spans="1:27" x14ac:dyDescent="0.2">
      <c r="A39" s="5"/>
      <c r="B39" s="13"/>
      <c r="C39" s="13"/>
      <c r="D39" s="13"/>
      <c r="E39" s="3"/>
      <c r="F39" s="3"/>
      <c r="G39" s="3"/>
      <c r="Q39" s="130">
        <v>0.32</v>
      </c>
      <c r="R39" s="129">
        <f t="shared" si="0"/>
        <v>1.375</v>
      </c>
      <c r="S39" s="143">
        <f t="shared" si="1"/>
        <v>47.088240799332596</v>
      </c>
      <c r="T39" s="143">
        <f t="shared" si="2"/>
        <v>9.0995481929109143</v>
      </c>
      <c r="U39" s="143">
        <f t="shared" si="3"/>
        <v>1.8584585747756894</v>
      </c>
      <c r="V39" s="143">
        <f t="shared" si="4"/>
        <v>1.368385593142037</v>
      </c>
      <c r="W39" s="143">
        <f t="shared" si="5"/>
        <v>0.29839751798850311</v>
      </c>
      <c r="X39" s="143">
        <f t="shared" si="6"/>
        <v>8.3207940750375742E-2</v>
      </c>
      <c r="Y39" s="143">
        <f t="shared" si="7"/>
        <v>1.3297432180754665</v>
      </c>
      <c r="Z39" s="143">
        <f t="shared" si="8"/>
        <v>0.28892299222715162</v>
      </c>
      <c r="AA39" s="149">
        <f t="shared" si="9"/>
        <v>7.9642157775516018E-2</v>
      </c>
    </row>
    <row r="40" spans="1:27" x14ac:dyDescent="0.2">
      <c r="A40" s="5"/>
      <c r="B40" s="13"/>
      <c r="C40" s="13"/>
      <c r="D40" s="13"/>
      <c r="E40" s="3"/>
      <c r="F40" s="3"/>
      <c r="G40" s="3"/>
      <c r="Q40" s="130">
        <v>0.33</v>
      </c>
      <c r="R40" s="129">
        <f t="shared" ref="R40:R71" si="10">MAX((Q40-rc_vg)/(sc_vg-rc_vg),0)</f>
        <v>1.4375</v>
      </c>
      <c r="S40" s="143">
        <f t="shared" ref="S40:S71" si="11">Bgc_1*Ksat*R40^I*(1-(1-Q40^(1/m))^m)^2</f>
        <v>54.645580489894819</v>
      </c>
      <c r="T40" s="143">
        <f t="shared" ref="T40:T67" si="12">Bgc_2*Ksat*R40^I*(1-(1-Q40^(1/m))^m)^2</f>
        <v>10.559963268036087</v>
      </c>
      <c r="U40" s="143">
        <f t="shared" ref="U40:U67" si="13">Bgc_3*Ksat*R40^I*(1-(1-Q40^(1/m))^m)^2</f>
        <v>2.1567284296694211</v>
      </c>
      <c r="V40" s="143">
        <f t="shared" ref="V40:V67" si="14">kroot1</f>
        <v>1.368385593142037</v>
      </c>
      <c r="W40" s="143">
        <f t="shared" ref="W40:W67" si="15">kroot2</f>
        <v>0.29839751798850311</v>
      </c>
      <c r="X40" s="143">
        <f t="shared" ref="X40:X67" si="16">kroot3</f>
        <v>8.3207940750375742E-2</v>
      </c>
      <c r="Y40" s="143">
        <f t="shared" ref="Y40:Y67" si="17">1/((1/kroot1)+(1/S40))</f>
        <v>1.3349568027446053</v>
      </c>
      <c r="Z40" s="143">
        <f t="shared" ref="Z40:Z67" si="18">1/((1/kroot2)+(1/T40))</f>
        <v>0.29019728588198657</v>
      </c>
      <c r="AA40" s="149">
        <f t="shared" ref="AA40:AA67" si="19">1/((1/kroot3)+(1/U40))</f>
        <v>8.0116977321525992E-2</v>
      </c>
    </row>
    <row r="41" spans="1:27" x14ac:dyDescent="0.2">
      <c r="A41" s="5"/>
      <c r="B41" s="16"/>
      <c r="C41" s="13"/>
      <c r="D41" s="13"/>
      <c r="E41" s="3"/>
      <c r="F41" s="3"/>
      <c r="G41" s="3"/>
      <c r="Q41" s="130">
        <v>0.34</v>
      </c>
      <c r="R41" s="129">
        <f t="shared" si="10"/>
        <v>1.5</v>
      </c>
      <c r="S41" s="143">
        <f t="shared" si="11"/>
        <v>63.13159169312469</v>
      </c>
      <c r="T41" s="143">
        <f t="shared" si="12"/>
        <v>12.199839096875005</v>
      </c>
      <c r="U41" s="143">
        <f t="shared" si="13"/>
        <v>2.4916506951558954</v>
      </c>
      <c r="V41" s="143">
        <f t="shared" si="14"/>
        <v>1.368385593142037</v>
      </c>
      <c r="W41" s="143">
        <f t="shared" si="15"/>
        <v>0.29839751798850311</v>
      </c>
      <c r="X41" s="143">
        <f t="shared" si="16"/>
        <v>8.3207940750375742E-2</v>
      </c>
      <c r="Y41" s="143">
        <f t="shared" si="17"/>
        <v>1.3393548987092598</v>
      </c>
      <c r="Z41" s="143">
        <f t="shared" si="18"/>
        <v>0.29127322665961219</v>
      </c>
      <c r="AA41" s="149">
        <f t="shared" si="19"/>
        <v>8.0519031422551166E-2</v>
      </c>
    </row>
    <row r="42" spans="1:27" x14ac:dyDescent="0.2">
      <c r="A42" s="111"/>
      <c r="B42" s="16"/>
      <c r="C42" s="16"/>
      <c r="D42" s="16"/>
      <c r="E42" s="5"/>
      <c r="F42" s="16"/>
      <c r="G42" s="16"/>
      <c r="Q42" s="130">
        <v>0.35</v>
      </c>
      <c r="R42" s="129">
        <f t="shared" si="10"/>
        <v>1.5624999999999998</v>
      </c>
      <c r="S42" s="143">
        <f t="shared" si="11"/>
        <v>72.629750925752433</v>
      </c>
      <c r="T42" s="143">
        <f t="shared" si="12"/>
        <v>14.035307065397264</v>
      </c>
      <c r="U42" s="143">
        <f t="shared" si="13"/>
        <v>2.8665199867415798</v>
      </c>
      <c r="V42" s="143">
        <f t="shared" si="14"/>
        <v>1.368385593142037</v>
      </c>
      <c r="W42" s="143">
        <f t="shared" si="15"/>
        <v>0.29839751798850311</v>
      </c>
      <c r="X42" s="143">
        <f t="shared" si="16"/>
        <v>8.3207940750375742E-2</v>
      </c>
      <c r="Y42" s="143">
        <f t="shared" si="17"/>
        <v>1.3430811838743717</v>
      </c>
      <c r="Z42" s="143">
        <f t="shared" si="18"/>
        <v>0.29218551060243581</v>
      </c>
      <c r="AA42" s="149">
        <f t="shared" si="19"/>
        <v>8.0860754306707749E-2</v>
      </c>
    </row>
    <row r="43" spans="1:27" x14ac:dyDescent="0.2">
      <c r="A43" s="111"/>
      <c r="B43" s="16"/>
      <c r="C43" s="16"/>
      <c r="D43" s="16"/>
      <c r="E43" s="5"/>
      <c r="F43" s="16"/>
      <c r="G43" s="16"/>
      <c r="Q43" s="130">
        <v>0.36</v>
      </c>
      <c r="R43" s="129">
        <f t="shared" si="10"/>
        <v>1.625</v>
      </c>
      <c r="S43" s="143">
        <f t="shared" si="11"/>
        <v>83.228826145858008</v>
      </c>
      <c r="T43" s="143">
        <f t="shared" si="12"/>
        <v>16.08352110203219</v>
      </c>
      <c r="U43" s="143">
        <f t="shared" si="13"/>
        <v>3.2848397602799642</v>
      </c>
      <c r="V43" s="143">
        <f t="shared" si="14"/>
        <v>1.368385593142037</v>
      </c>
      <c r="W43" s="143">
        <f t="shared" si="15"/>
        <v>0.29839751798850311</v>
      </c>
      <c r="X43" s="143">
        <f t="shared" si="16"/>
        <v>8.3207940750375742E-2</v>
      </c>
      <c r="Y43" s="143">
        <f t="shared" si="17"/>
        <v>1.3462515405766209</v>
      </c>
      <c r="Z43" s="143">
        <f t="shared" si="18"/>
        <v>0.29296219134532958</v>
      </c>
      <c r="AA43" s="149">
        <f t="shared" si="19"/>
        <v>8.1152280611773792E-2</v>
      </c>
    </row>
    <row r="44" spans="1:27" x14ac:dyDescent="0.2">
      <c r="A44" s="111"/>
      <c r="B44" s="16"/>
      <c r="C44" s="16"/>
      <c r="D44" s="16"/>
      <c r="E44" s="5"/>
      <c r="F44" s="16"/>
      <c r="G44" s="16"/>
      <c r="Q44" s="130">
        <v>0.37</v>
      </c>
      <c r="R44" s="129">
        <f t="shared" si="10"/>
        <v>1.6875</v>
      </c>
      <c r="S44" s="143">
        <f t="shared" si="11"/>
        <v>95.023143344941943</v>
      </c>
      <c r="T44" s="143">
        <f t="shared" si="12"/>
        <v>18.362709195146586</v>
      </c>
      <c r="U44" s="143">
        <f t="shared" si="13"/>
        <v>3.7503328337135464</v>
      </c>
      <c r="V44" s="143">
        <f t="shared" si="14"/>
        <v>1.368385593142037</v>
      </c>
      <c r="W44" s="143">
        <f t="shared" si="15"/>
        <v>0.29839751798850311</v>
      </c>
      <c r="X44" s="143">
        <f t="shared" si="16"/>
        <v>8.3207940750375742E-2</v>
      </c>
      <c r="Y44" s="143">
        <f t="shared" si="17"/>
        <v>1.3489598287398412</v>
      </c>
      <c r="Z44" s="143">
        <f t="shared" si="18"/>
        <v>0.29362603899154599</v>
      </c>
      <c r="AA44" s="149">
        <f t="shared" si="19"/>
        <v>8.1401892031646189E-2</v>
      </c>
    </row>
    <row r="45" spans="1:27" x14ac:dyDescent="0.2">
      <c r="A45" s="111"/>
      <c r="B45" s="16"/>
      <c r="C45" s="16"/>
      <c r="D45" s="16"/>
      <c r="E45" s="5"/>
      <c r="F45" s="16"/>
      <c r="G45" s="16"/>
      <c r="Q45" s="130">
        <v>0.38</v>
      </c>
      <c r="R45" s="129">
        <f t="shared" si="10"/>
        <v>1.7500000000000002</v>
      </c>
      <c r="S45" s="143">
        <f t="shared" si="11"/>
        <v>108.11287081829106</v>
      </c>
      <c r="T45" s="143">
        <f t="shared" si="12"/>
        <v>20.892228326757429</v>
      </c>
      <c r="U45" s="143">
        <f t="shared" si="13"/>
        <v>4.2669526065352006</v>
      </c>
      <c r="V45" s="143">
        <f t="shared" si="14"/>
        <v>1.368385593142037</v>
      </c>
      <c r="W45" s="143">
        <f t="shared" si="15"/>
        <v>0.29839751798850311</v>
      </c>
      <c r="X45" s="143">
        <f t="shared" si="16"/>
        <v>8.3207940750375742E-2</v>
      </c>
      <c r="Y45" s="143">
        <f t="shared" si="17"/>
        <v>1.3512823994731422</v>
      </c>
      <c r="Z45" s="143">
        <f t="shared" si="18"/>
        <v>0.29419560911643566</v>
      </c>
      <c r="AA45" s="149">
        <f t="shared" si="19"/>
        <v>8.1616376179675418E-2</v>
      </c>
    </row>
    <row r="46" spans="1:27" x14ac:dyDescent="0.2">
      <c r="A46" s="111"/>
      <c r="B46" s="16"/>
      <c r="C46" s="16"/>
      <c r="D46" s="16"/>
      <c r="E46" s="5"/>
      <c r="F46" s="16"/>
      <c r="G46" s="16"/>
      <c r="Q46" s="130">
        <v>0.39</v>
      </c>
      <c r="R46" s="129">
        <f t="shared" si="10"/>
        <v>1.8125000000000002</v>
      </c>
      <c r="S46" s="143">
        <f t="shared" si="11"/>
        <v>122.60432270624077</v>
      </c>
      <c r="T46" s="143">
        <f t="shared" si="12"/>
        <v>23.692623130241309</v>
      </c>
      <c r="U46" s="143">
        <f t="shared" si="13"/>
        <v>4.8388950398250685</v>
      </c>
      <c r="V46" s="143">
        <f t="shared" si="14"/>
        <v>1.368385593142037</v>
      </c>
      <c r="W46" s="143">
        <f t="shared" si="15"/>
        <v>0.29839751798850311</v>
      </c>
      <c r="X46" s="143">
        <f t="shared" si="16"/>
        <v>8.3207940750375742E-2</v>
      </c>
      <c r="Y46" s="143">
        <f t="shared" si="17"/>
        <v>1.3532816306876811</v>
      </c>
      <c r="Z46" s="143">
        <f t="shared" si="18"/>
        <v>0.29468608444645961</v>
      </c>
      <c r="AA46" s="149">
        <f t="shared" si="19"/>
        <v>8.180131406433501E-2</v>
      </c>
    </row>
    <row r="47" spans="1:27" x14ac:dyDescent="0.2">
      <c r="A47" s="111"/>
      <c r="B47" s="5"/>
      <c r="C47" s="16"/>
      <c r="D47" s="16"/>
      <c r="E47" s="5"/>
      <c r="F47" s="16"/>
      <c r="G47" s="16"/>
      <c r="Q47" s="130">
        <v>0.4</v>
      </c>
      <c r="R47" s="129">
        <f t="shared" si="10"/>
        <v>1.8750000000000002</v>
      </c>
      <c r="S47" s="143">
        <f t="shared" si="11"/>
        <v>138.61028356060535</v>
      </c>
      <c r="T47" s="143">
        <f t="shared" si="12"/>
        <v>26.785688611043902</v>
      </c>
      <c r="U47" s="143">
        <f t="shared" si="13"/>
        <v>5.4706114660997898</v>
      </c>
      <c r="V47" s="143">
        <f t="shared" si="14"/>
        <v>1.368385593142037</v>
      </c>
      <c r="W47" s="143">
        <f t="shared" si="15"/>
        <v>0.29839751798850311</v>
      </c>
      <c r="X47" s="143">
        <f t="shared" si="16"/>
        <v>8.3207940750375742E-2</v>
      </c>
      <c r="Y47" s="143">
        <f t="shared" si="17"/>
        <v>1.3550087040571579</v>
      </c>
      <c r="Z47" s="143">
        <f t="shared" si="18"/>
        <v>0.29510993876882796</v>
      </c>
      <c r="AA47" s="149">
        <f t="shared" si="19"/>
        <v>8.1961310117161706E-2</v>
      </c>
    </row>
    <row r="48" spans="1:27" x14ac:dyDescent="0.2">
      <c r="A48" s="5"/>
      <c r="C48" s="5"/>
      <c r="D48" s="5"/>
      <c r="E48" s="5"/>
      <c r="F48" s="5"/>
      <c r="G48" s="5"/>
      <c r="Q48" s="130">
        <v>0.41</v>
      </c>
      <c r="R48" s="129">
        <f t="shared" si="10"/>
        <v>1.9374999999999996</v>
      </c>
      <c r="S48" s="143">
        <f t="shared" si="11"/>
        <v>156.25035587284734</v>
      </c>
      <c r="T48" s="143">
        <f t="shared" si="12"/>
        <v>30.194537304621658</v>
      </c>
      <c r="U48" s="143">
        <f t="shared" si="13"/>
        <v>6.1668223054058524</v>
      </c>
      <c r="V48" s="143">
        <f t="shared" si="14"/>
        <v>1.368385593142037</v>
      </c>
      <c r="W48" s="143">
        <f t="shared" si="15"/>
        <v>0.29839751798850311</v>
      </c>
      <c r="X48" s="143">
        <f t="shared" si="16"/>
        <v>8.3207940750375742E-2</v>
      </c>
      <c r="Y48" s="143">
        <f t="shared" si="17"/>
        <v>1.3565057930998401</v>
      </c>
      <c r="Z48" s="143">
        <f t="shared" si="18"/>
        <v>0.2954774619407764</v>
      </c>
      <c r="AA48" s="149">
        <f t="shared" si="19"/>
        <v>8.2100176286647578E-2</v>
      </c>
    </row>
    <row r="49" spans="17:27" x14ac:dyDescent="0.2">
      <c r="Q49" s="130">
        <v>0.42</v>
      </c>
      <c r="R49" s="129">
        <f t="shared" si="10"/>
        <v>1.9999999999999996</v>
      </c>
      <c r="S49" s="143">
        <f t="shared" si="11"/>
        <v>175.65133270628672</v>
      </c>
      <c r="T49" s="143">
        <f t="shared" si="12"/>
        <v>33.943671285603422</v>
      </c>
      <c r="U49" s="143">
        <f t="shared" si="13"/>
        <v>6.9325317722084643</v>
      </c>
      <c r="V49" s="143">
        <f t="shared" si="14"/>
        <v>1.368385593142037</v>
      </c>
      <c r="W49" s="143">
        <f t="shared" si="15"/>
        <v>0.29839751798850311</v>
      </c>
      <c r="X49" s="143">
        <f t="shared" si="16"/>
        <v>8.3207940750375742E-2</v>
      </c>
      <c r="Y49" s="143">
        <f t="shared" si="17"/>
        <v>1.3578077933946022</v>
      </c>
      <c r="Z49" s="143">
        <f t="shared" si="18"/>
        <v>0.29579717630785213</v>
      </c>
      <c r="AA49" s="149">
        <f t="shared" si="19"/>
        <v>8.2221079537276656E-2</v>
      </c>
    </row>
    <row r="50" spans="17:27" x14ac:dyDescent="0.2">
      <c r="Q50" s="130">
        <v>0.43</v>
      </c>
      <c r="R50" s="129">
        <f t="shared" si="10"/>
        <v>2.0624999999999996</v>
      </c>
      <c r="S50" s="143">
        <f t="shared" si="11"/>
        <v>196.94759780721282</v>
      </c>
      <c r="T50" s="143">
        <f t="shared" si="12"/>
        <v>38.059059487101706</v>
      </c>
      <c r="U50" s="143">
        <f t="shared" si="13"/>
        <v>7.7730436668060063</v>
      </c>
      <c r="V50" s="143">
        <f t="shared" si="14"/>
        <v>1.368385593142037</v>
      </c>
      <c r="W50" s="143">
        <f t="shared" si="15"/>
        <v>0.29839751798850311</v>
      </c>
      <c r="X50" s="143">
        <f t="shared" si="16"/>
        <v>8.3207940750375742E-2</v>
      </c>
      <c r="Y50" s="143">
        <f t="shared" si="17"/>
        <v>1.3589436959262258</v>
      </c>
      <c r="Z50" s="143">
        <f t="shared" si="18"/>
        <v>0.29607616809479448</v>
      </c>
      <c r="AA50" s="149">
        <f t="shared" si="19"/>
        <v>8.2326660242854996E-2</v>
      </c>
    </row>
    <row r="51" spans="17:27" x14ac:dyDescent="0.2">
      <c r="Q51" s="130">
        <v>0.44</v>
      </c>
      <c r="R51" s="129">
        <f t="shared" si="10"/>
        <v>2.1249999999999996</v>
      </c>
      <c r="S51" s="143">
        <f t="shared" si="11"/>
        <v>220.28155583303587</v>
      </c>
      <c r="T51" s="143">
        <f t="shared" si="12"/>
        <v>42.568220839979155</v>
      </c>
      <c r="U51" s="143">
        <f t="shared" si="13"/>
        <v>8.6939783553909642</v>
      </c>
      <c r="V51" s="143">
        <f t="shared" si="14"/>
        <v>1.368385593142037</v>
      </c>
      <c r="W51" s="143">
        <f t="shared" si="15"/>
        <v>0.29839751798850311</v>
      </c>
      <c r="X51" s="143">
        <f t="shared" si="16"/>
        <v>8.3207940750375742E-2</v>
      </c>
      <c r="Y51" s="143">
        <f t="shared" si="17"/>
        <v>1.359937681450879</v>
      </c>
      <c r="Z51" s="143">
        <f t="shared" si="18"/>
        <v>0.29632035206890245</v>
      </c>
      <c r="AA51" s="149">
        <f t="shared" si="19"/>
        <v>8.2419127437052112E-2</v>
      </c>
    </row>
    <row r="52" spans="17:27" x14ac:dyDescent="0.2">
      <c r="Q52" s="130">
        <v>0.45</v>
      </c>
      <c r="R52" s="129">
        <f t="shared" si="10"/>
        <v>2.1875</v>
      </c>
      <c r="S52" s="143">
        <f t="shared" si="11"/>
        <v>245.80409563417027</v>
      </c>
      <c r="T52" s="143">
        <f t="shared" si="12"/>
        <v>47.500313799570051</v>
      </c>
      <c r="U52" s="143">
        <f t="shared" si="13"/>
        <v>9.701291054661402</v>
      </c>
      <c r="V52" s="143">
        <f t="shared" si="14"/>
        <v>1.368385593142037</v>
      </c>
      <c r="W52" s="143">
        <f t="shared" si="15"/>
        <v>0.29839751798850311</v>
      </c>
      <c r="X52" s="143">
        <f t="shared" si="16"/>
        <v>8.3207940750375742E-2</v>
      </c>
      <c r="Y52" s="143">
        <f t="shared" si="17"/>
        <v>1.3608099960439255</v>
      </c>
      <c r="Z52" s="143">
        <f t="shared" si="18"/>
        <v>0.29653468369261299</v>
      </c>
      <c r="AA52" s="149">
        <f t="shared" si="19"/>
        <v>8.2500335648963322E-2</v>
      </c>
    </row>
    <row r="53" spans="17:27" x14ac:dyDescent="0.2">
      <c r="Q53" s="130">
        <v>0.46</v>
      </c>
      <c r="R53" s="129">
        <f t="shared" si="10"/>
        <v>2.25</v>
      </c>
      <c r="S53" s="143">
        <f t="shared" si="11"/>
        <v>273.67508986561478</v>
      </c>
      <c r="T53" s="143">
        <f t="shared" si="12"/>
        <v>52.886232892919708</v>
      </c>
      <c r="U53" s="143">
        <f t="shared" si="13"/>
        <v>10.801291550277412</v>
      </c>
      <c r="V53" s="143">
        <f t="shared" si="14"/>
        <v>1.368385593142037</v>
      </c>
      <c r="W53" s="143">
        <f t="shared" si="15"/>
        <v>0.29839751798850311</v>
      </c>
      <c r="X53" s="143">
        <f t="shared" si="16"/>
        <v>8.3207940750375742E-2</v>
      </c>
      <c r="Y53" s="143">
        <f t="shared" si="17"/>
        <v>1.3615776544029141</v>
      </c>
      <c r="Z53" s="143">
        <f t="shared" si="18"/>
        <v>0.29672332982448352</v>
      </c>
      <c r="AA53" s="149">
        <f t="shared" si="19"/>
        <v>8.2571847064154782E-2</v>
      </c>
    </row>
    <row r="54" spans="17:27" x14ac:dyDescent="0.2">
      <c r="Q54" s="130">
        <v>0.47</v>
      </c>
      <c r="R54" s="129">
        <f t="shared" si="10"/>
        <v>2.3125</v>
      </c>
      <c r="S54" s="143">
        <f t="shared" si="11"/>
        <v>304.06393459044693</v>
      </c>
      <c r="T54" s="143">
        <f t="shared" si="12"/>
        <v>58.758712994245045</v>
      </c>
      <c r="U54" s="143">
        <f t="shared" si="13"/>
        <v>12.000665493701343</v>
      </c>
      <c r="V54" s="143">
        <f t="shared" si="14"/>
        <v>1.368385593142037</v>
      </c>
      <c r="W54" s="143">
        <f t="shared" si="15"/>
        <v>0.29839751798850311</v>
      </c>
      <c r="X54" s="143">
        <f t="shared" si="16"/>
        <v>8.3207940750375742E-2</v>
      </c>
      <c r="Y54" s="143">
        <f t="shared" si="17"/>
        <v>1.3622550070587005</v>
      </c>
      <c r="Z54" s="143">
        <f t="shared" si="18"/>
        <v>0.29688980658898834</v>
      </c>
      <c r="AA54" s="149">
        <f t="shared" si="19"/>
        <v>8.2634981968452509E-2</v>
      </c>
    </row>
    <row r="55" spans="17:27" x14ac:dyDescent="0.2">
      <c r="Q55" s="130">
        <v>0.48</v>
      </c>
      <c r="R55" s="129">
        <f t="shared" si="10"/>
        <v>2.375</v>
      </c>
      <c r="S55" s="143">
        <f t="shared" si="11"/>
        <v>337.15013297819468</v>
      </c>
      <c r="T55" s="143">
        <f t="shared" si="12"/>
        <v>65.152442121492243</v>
      </c>
      <c r="U55" s="143">
        <f t="shared" si="13"/>
        <v>13.30649743935583</v>
      </c>
      <c r="V55" s="143">
        <f t="shared" si="14"/>
        <v>1.368385593142037</v>
      </c>
      <c r="W55" s="143">
        <f t="shared" si="15"/>
        <v>0.29839751798850311</v>
      </c>
      <c r="X55" s="143">
        <f t="shared" si="16"/>
        <v>8.3207940750375742E-2</v>
      </c>
      <c r="Y55" s="143">
        <f t="shared" si="17"/>
        <v>1.3628541996471666</v>
      </c>
      <c r="Z55" s="143">
        <f t="shared" si="18"/>
        <v>0.29703709115162585</v>
      </c>
      <c r="AA55" s="149">
        <f t="shared" si="19"/>
        <v>8.2690859813389278E-2</v>
      </c>
    </row>
    <row r="56" spans="17:27" x14ac:dyDescent="0.2">
      <c r="Q56" s="130">
        <v>0.49</v>
      </c>
      <c r="R56" s="129">
        <f t="shared" si="10"/>
        <v>2.4375</v>
      </c>
      <c r="S56" s="143">
        <f t="shared" si="11"/>
        <v>373.12392770511502</v>
      </c>
      <c r="T56" s="143">
        <f t="shared" si="12"/>
        <v>72.104183644274627</v>
      </c>
      <c r="U56" s="143">
        <f t="shared" si="13"/>
        <v>14.726295803927844</v>
      </c>
      <c r="V56" s="143">
        <f t="shared" si="14"/>
        <v>1.368385593142037</v>
      </c>
      <c r="W56" s="143">
        <f t="shared" si="15"/>
        <v>0.29839751798850311</v>
      </c>
      <c r="X56" s="143">
        <f t="shared" si="16"/>
        <v>8.3207940750375742E-2</v>
      </c>
      <c r="Y56" s="143">
        <f t="shared" si="17"/>
        <v>1.3633855462384645</v>
      </c>
      <c r="Z56" s="143">
        <f t="shared" si="18"/>
        <v>0.29716771267890862</v>
      </c>
      <c r="AA56" s="149">
        <f t="shared" si="19"/>
        <v>8.2740432755288057E-2</v>
      </c>
    </row>
    <row r="57" spans="17:27" x14ac:dyDescent="0.2">
      <c r="Q57" s="130">
        <v>0.5</v>
      </c>
      <c r="R57" s="129">
        <f t="shared" si="10"/>
        <v>2.5</v>
      </c>
      <c r="S57" s="143">
        <f t="shared" si="11"/>
        <v>412.18698724123192</v>
      </c>
      <c r="T57" s="143">
        <f t="shared" si="12"/>
        <v>79.652908905135973</v>
      </c>
      <c r="U57" s="143">
        <f t="shared" si="13"/>
        <v>16.268019952452384</v>
      </c>
      <c r="V57" s="143">
        <f t="shared" si="14"/>
        <v>1.368385593142037</v>
      </c>
      <c r="W57" s="143">
        <f t="shared" si="15"/>
        <v>0.29839751798850311</v>
      </c>
      <c r="X57" s="143">
        <f t="shared" si="16"/>
        <v>8.3207940750375742E-2</v>
      </c>
      <c r="Y57" s="143">
        <f t="shared" si="17"/>
        <v>1.3638578339723633</v>
      </c>
      <c r="Z57" s="143">
        <f t="shared" si="18"/>
        <v>0.29728382663403707</v>
      </c>
      <c r="AA57" s="149">
        <f t="shared" si="19"/>
        <v>8.2784513136918272E-2</v>
      </c>
    </row>
    <row r="58" spans="17:27" x14ac:dyDescent="0.2">
      <c r="Q58" s="130">
        <v>0.51</v>
      </c>
      <c r="R58" s="129">
        <f t="shared" si="10"/>
        <v>2.5625</v>
      </c>
      <c r="S58" s="143">
        <f t="shared" si="11"/>
        <v>454.55315187308219</v>
      </c>
      <c r="T58" s="143">
        <f t="shared" si="12"/>
        <v>87.83994138441652</v>
      </c>
      <c r="U58" s="143">
        <f t="shared" si="13"/>
        <v>17.940109642019564</v>
      </c>
      <c r="V58" s="143">
        <f t="shared" si="14"/>
        <v>1.368385593142037</v>
      </c>
      <c r="W58" s="143">
        <f t="shared" si="15"/>
        <v>0.29839751798850311</v>
      </c>
      <c r="X58" s="143">
        <f t="shared" si="16"/>
        <v>8.3207940750375742E-2</v>
      </c>
      <c r="Y58" s="143">
        <f t="shared" si="17"/>
        <v>1.3642785725745838</v>
      </c>
      <c r="Z58" s="143">
        <f t="shared" si="18"/>
        <v>0.2973872756824813</v>
      </c>
      <c r="AA58" s="149">
        <f t="shared" si="19"/>
        <v>8.2823796079333781E-2</v>
      </c>
    </row>
    <row r="59" spans="17:27" x14ac:dyDescent="0.2">
      <c r="Q59" s="130">
        <v>0.52</v>
      </c>
      <c r="R59" s="129">
        <f t="shared" si="10"/>
        <v>2.625</v>
      </c>
      <c r="S59" s="143">
        <f t="shared" si="11"/>
        <v>500.4492460763388</v>
      </c>
      <c r="T59" s="143">
        <f t="shared" si="12"/>
        <v>96.709113686874502</v>
      </c>
      <c r="U59" s="143">
        <f t="shared" si="13"/>
        <v>19.751517084150301</v>
      </c>
      <c r="V59" s="143">
        <f t="shared" si="14"/>
        <v>1.368385593142037</v>
      </c>
      <c r="W59" s="143">
        <f t="shared" si="15"/>
        <v>0.29839751798850311</v>
      </c>
      <c r="X59" s="143">
        <f t="shared" si="16"/>
        <v>8.3207940750375742E-2</v>
      </c>
      <c r="Y59" s="143">
        <f t="shared" si="17"/>
        <v>1.3646541994775911</v>
      </c>
      <c r="Z59" s="143">
        <f t="shared" si="18"/>
        <v>0.29747963979911568</v>
      </c>
      <c r="AA59" s="149">
        <f t="shared" si="19"/>
        <v>8.2858878114255199E-2</v>
      </c>
    </row>
    <row r="60" spans="17:27" x14ac:dyDescent="0.2">
      <c r="Q60" s="130">
        <v>0.53</v>
      </c>
      <c r="R60" s="129">
        <f t="shared" si="10"/>
        <v>2.6875000000000004</v>
      </c>
      <c r="S60" s="143">
        <f t="shared" si="11"/>
        <v>550.11596473661393</v>
      </c>
      <c r="T60" s="143">
        <f t="shared" si="12"/>
        <v>106.30693879906956</v>
      </c>
      <c r="U60" s="143">
        <f t="shared" si="13"/>
        <v>21.711741921780426</v>
      </c>
      <c r="V60" s="143">
        <f t="shared" si="14"/>
        <v>1.368385593142037</v>
      </c>
      <c r="W60" s="143">
        <f t="shared" si="15"/>
        <v>0.29839751798850311</v>
      </c>
      <c r="X60" s="143">
        <f t="shared" si="16"/>
        <v>8.3207940750375742E-2</v>
      </c>
      <c r="Y60" s="143">
        <f t="shared" si="17"/>
        <v>1.3649902490485937</v>
      </c>
      <c r="Z60" s="143">
        <f t="shared" si="18"/>
        <v>0.29756227763546034</v>
      </c>
      <c r="AA60" s="149">
        <f t="shared" si="19"/>
        <v>8.2890272600295675E-2</v>
      </c>
    </row>
    <row r="61" spans="17:27" x14ac:dyDescent="0.2">
      <c r="Q61" s="130">
        <v>0.54</v>
      </c>
      <c r="R61" s="129">
        <f t="shared" si="10"/>
        <v>2.7500000000000004</v>
      </c>
      <c r="S61" s="143">
        <f t="shared" si="11"/>
        <v>603.8088417412722</v>
      </c>
      <c r="T61" s="143">
        <f t="shared" si="12"/>
        <v>116.6827972644988</v>
      </c>
      <c r="U61" s="143">
        <f t="shared" si="13"/>
        <v>23.830869457228683</v>
      </c>
      <c r="V61" s="143">
        <f t="shared" si="14"/>
        <v>1.368385593142037</v>
      </c>
      <c r="W61" s="143">
        <f t="shared" si="15"/>
        <v>0.29839751798850311</v>
      </c>
      <c r="X61" s="143">
        <f t="shared" si="16"/>
        <v>8.3207940750375742E-2</v>
      </c>
      <c r="Y61" s="143">
        <f t="shared" si="17"/>
        <v>1.3652914926918827</v>
      </c>
      <c r="Z61" s="143">
        <f t="shared" si="18"/>
        <v>0.29763636078791833</v>
      </c>
      <c r="AA61" s="149">
        <f t="shared" si="19"/>
        <v>8.2918422518553705E-2</v>
      </c>
    </row>
    <row r="62" spans="17:27" x14ac:dyDescent="0.2">
      <c r="Q62" s="130">
        <v>0.55000000000000004</v>
      </c>
      <c r="R62" s="129">
        <f t="shared" si="10"/>
        <v>2.8125000000000004</v>
      </c>
      <c r="S62" s="143">
        <f t="shared" si="11"/>
        <v>661.79931065577705</v>
      </c>
      <c r="T62" s="143">
        <f t="shared" si="12"/>
        <v>127.88914215357177</v>
      </c>
      <c r="U62" s="143">
        <f t="shared" si="13"/>
        <v>26.119612514517669</v>
      </c>
      <c r="V62" s="143">
        <f t="shared" si="14"/>
        <v>1.368385593142037</v>
      </c>
      <c r="W62" s="143">
        <f t="shared" si="15"/>
        <v>0.29839751798850311</v>
      </c>
      <c r="X62" s="143">
        <f t="shared" si="16"/>
        <v>8.3207940750375742E-2</v>
      </c>
      <c r="Y62" s="143">
        <f t="shared" si="17"/>
        <v>1.3655620552313246</v>
      </c>
      <c r="Z62" s="143">
        <f t="shared" si="18"/>
        <v>0.2977029022795985</v>
      </c>
      <c r="AA62" s="149">
        <f t="shared" si="19"/>
        <v>8.2943711126097788E-2</v>
      </c>
    </row>
    <row r="63" spans="17:27" x14ac:dyDescent="0.2">
      <c r="Q63" s="130">
        <v>0.56000000000000005</v>
      </c>
      <c r="R63" s="129">
        <f t="shared" si="10"/>
        <v>2.8750000000000004</v>
      </c>
      <c r="S63" s="143">
        <f t="shared" si="11"/>
        <v>724.37586858624888</v>
      </c>
      <c r="T63" s="143">
        <f t="shared" si="12"/>
        <v>139.98172397376331</v>
      </c>
      <c r="U63" s="143">
        <f t="shared" si="13"/>
        <v>28.589357374204198</v>
      </c>
      <c r="V63" s="143">
        <f t="shared" si="14"/>
        <v>1.368385593142037</v>
      </c>
      <c r="W63" s="143">
        <f t="shared" si="15"/>
        <v>0.29839751798850311</v>
      </c>
      <c r="X63" s="143">
        <f t="shared" si="16"/>
        <v>8.3207940750375742E-2</v>
      </c>
      <c r="Y63" s="143">
        <f t="shared" si="17"/>
        <v>1.365805511907173</v>
      </c>
      <c r="Z63" s="143">
        <f t="shared" si="18"/>
        <v>0.29776278030938769</v>
      </c>
      <c r="AA63" s="149">
        <f t="shared" si="19"/>
        <v>8.2966470853006388E-2</v>
      </c>
    </row>
    <row r="64" spans="17:27" x14ac:dyDescent="0.2">
      <c r="Q64" s="130">
        <v>0.56999999999999995</v>
      </c>
      <c r="R64" s="129">
        <f t="shared" si="10"/>
        <v>2.9374999999999996</v>
      </c>
      <c r="S64" s="143">
        <f t="shared" si="11"/>
        <v>791.84535595354942</v>
      </c>
      <c r="T64" s="143">
        <f t="shared" si="12"/>
        <v>153.01983797904268</v>
      </c>
      <c r="U64" s="143">
        <f t="shared" si="13"/>
        <v>31.252214282956178</v>
      </c>
      <c r="V64" s="143">
        <f t="shared" si="14"/>
        <v>1.368385593142037</v>
      </c>
      <c r="W64" s="143">
        <f t="shared" si="15"/>
        <v>0.29839751798850311</v>
      </c>
      <c r="X64" s="143">
        <f t="shared" si="16"/>
        <v>8.3207940750375742E-2</v>
      </c>
      <c r="Y64" s="143">
        <f t="shared" si="17"/>
        <v>1.3660249694747422</v>
      </c>
      <c r="Z64" s="143">
        <f t="shared" si="18"/>
        <v>0.29781675811703029</v>
      </c>
      <c r="AA64" s="149">
        <f t="shared" si="19"/>
        <v>8.2986990754728956E-2</v>
      </c>
    </row>
    <row r="65" spans="17:27" x14ac:dyDescent="0.2">
      <c r="Q65" s="130">
        <v>0.57999999999999996</v>
      </c>
      <c r="R65" s="129">
        <f t="shared" si="10"/>
        <v>3</v>
      </c>
      <c r="S65" s="143">
        <f t="shared" si="11"/>
        <v>864.5343668098111</v>
      </c>
      <c r="T65" s="143">
        <f t="shared" si="12"/>
        <v>167.06659670592535</v>
      </c>
      <c r="U65" s="143">
        <f t="shared" si="13"/>
        <v>34.121073115323036</v>
      </c>
      <c r="V65" s="143">
        <f t="shared" si="14"/>
        <v>1.368385593142037</v>
      </c>
      <c r="W65" s="143">
        <f t="shared" si="15"/>
        <v>0.29839751798850311</v>
      </c>
      <c r="X65" s="143">
        <f t="shared" si="16"/>
        <v>8.3207940750375742E-2</v>
      </c>
      <c r="Y65" s="143">
        <f t="shared" si="17"/>
        <v>1.3662231342211912</v>
      </c>
      <c r="Z65" s="143">
        <f t="shared" si="18"/>
        <v>0.29786550065026229</v>
      </c>
      <c r="AA65" s="149">
        <f t="shared" si="19"/>
        <v>8.3005522772562734E-2</v>
      </c>
    </row>
    <row r="66" spans="17:27" x14ac:dyDescent="0.2">
      <c r="Q66" s="130">
        <v>0.59</v>
      </c>
      <c r="R66" s="129">
        <f t="shared" si="10"/>
        <v>3.0625</v>
      </c>
      <c r="S66" s="143">
        <f t="shared" si="11"/>
        <v>942.79080657264001</v>
      </c>
      <c r="T66" s="143">
        <f t="shared" si="12"/>
        <v>182.18923099719376</v>
      </c>
      <c r="U66" s="143">
        <f t="shared" si="13"/>
        <v>37.209664853723844</v>
      </c>
      <c r="V66" s="143">
        <f t="shared" si="14"/>
        <v>1.368385593142037</v>
      </c>
      <c r="W66" s="143">
        <f t="shared" si="15"/>
        <v>0.29839751798850311</v>
      </c>
      <c r="X66" s="143">
        <f t="shared" si="16"/>
        <v>8.3207940750375742E-2</v>
      </c>
      <c r="Y66" s="143">
        <f t="shared" si="17"/>
        <v>1.3664023691825018</v>
      </c>
      <c r="Z66" s="143">
        <f t="shared" si="18"/>
        <v>0.29790958859040534</v>
      </c>
      <c r="AA66" s="149">
        <f t="shared" si="19"/>
        <v>8.3022287007847653E-2</v>
      </c>
    </row>
    <row r="67" spans="17:27" x14ac:dyDescent="0.2">
      <c r="Q67" s="131">
        <v>0.6</v>
      </c>
      <c r="R67" s="144">
        <f t="shared" si="10"/>
        <v>3.125</v>
      </c>
      <c r="S67" s="145">
        <f t="shared" si="11"/>
        <v>1026.9856167056332</v>
      </c>
      <c r="T67" s="145">
        <f t="shared" si="12"/>
        <v>198.45942328709165</v>
      </c>
      <c r="U67" s="145">
        <f t="shared" si="13"/>
        <v>40.53262965740133</v>
      </c>
      <c r="V67" s="145">
        <f t="shared" si="14"/>
        <v>1.368385593142037</v>
      </c>
      <c r="W67" s="145">
        <f t="shared" si="15"/>
        <v>0.29839751798850311</v>
      </c>
      <c r="X67" s="145">
        <f t="shared" si="16"/>
        <v>8.3207940750375742E-2</v>
      </c>
      <c r="Y67" s="145">
        <f t="shared" si="17"/>
        <v>1.3665647424161851</v>
      </c>
      <c r="Z67" s="145">
        <f t="shared" si="18"/>
        <v>0.29794953018917508</v>
      </c>
      <c r="AA67" s="150">
        <f t="shared" si="19"/>
        <v>8.303747617760443E-2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BA-9C33-F547-9AC6-C27B4D692E2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AEF3-718F-D345-A528-FF8E58100BB4}">
  <dimension ref="B2:K43"/>
  <sheetViews>
    <sheetView zoomScale="135" workbookViewId="0">
      <selection activeCell="B2" sqref="B2:B21"/>
    </sheetView>
  </sheetViews>
  <sheetFormatPr baseColWidth="10" defaultRowHeight="16" x14ac:dyDescent="0.2"/>
  <cols>
    <col min="4" max="4" width="14" customWidth="1"/>
    <col min="5" max="6" width="15.6640625" customWidth="1"/>
    <col min="7" max="7" width="18.1640625" customWidth="1"/>
    <col min="8" max="8" width="27.33203125" customWidth="1"/>
  </cols>
  <sheetData>
    <row r="2" spans="2:11" x14ac:dyDescent="0.2">
      <c r="B2" s="1" t="s">
        <v>4</v>
      </c>
      <c r="C2" s="1" t="s">
        <v>28</v>
      </c>
      <c r="D2" s="1"/>
      <c r="E2" s="1" t="s">
        <v>29</v>
      </c>
      <c r="F2" s="1" t="s">
        <v>31</v>
      </c>
      <c r="G2" s="1" t="s">
        <v>5</v>
      </c>
      <c r="H2" s="1" t="s">
        <v>30</v>
      </c>
      <c r="I2" s="1" t="s">
        <v>6</v>
      </c>
      <c r="J2" s="1"/>
      <c r="K2" s="1" t="s">
        <v>7</v>
      </c>
    </row>
    <row r="3" spans="2:11" x14ac:dyDescent="0.2">
      <c r="B3" s="1">
        <v>0.11</v>
      </c>
      <c r="C3" s="1">
        <f>(B3-WorkSheet!G$21)/(WorkSheet!G$20-WorkSheet!G$21)</f>
        <v>6.2499999999999965E-2</v>
      </c>
      <c r="D3" s="1" t="e">
        <f>C3^WorkSheet!G$18*(1-(1-C3^(1/WorkSheet!E$55))^WorkSheet!E$55)^2</f>
        <v>#DIV/0!</v>
      </c>
      <c r="E3" s="1" t="e">
        <f>D3*WorkSheet!K$50*WorkSheet!G$19</f>
        <v>#DIV/0!</v>
      </c>
      <c r="F3" s="1" t="e">
        <f>E3*1000</f>
        <v>#DIV/0!</v>
      </c>
      <c r="G3" s="1" t="e">
        <f>1/((1/E3)+(1/WorkSheet!O$60))</f>
        <v>#DIV/0!</v>
      </c>
      <c r="H3" s="1" t="e">
        <f>1/((1/F3)+(1/WorkSheet!O$60))</f>
        <v>#DIV/0!</v>
      </c>
      <c r="I3" s="1"/>
      <c r="J3" s="1"/>
      <c r="K3" s="1"/>
    </row>
    <row r="4" spans="2:11" x14ac:dyDescent="0.2">
      <c r="B4" s="1">
        <v>0.11</v>
      </c>
      <c r="C4" s="1">
        <f>(B4-WorkSheet!G$21)/(WorkSheet!G$20-WorkSheet!G$21)</f>
        <v>6.2499999999999965E-2</v>
      </c>
      <c r="D4" s="1" t="e">
        <f>C4^WorkSheet!G$18*(1-(1-C4^(1/WorkSheet!E$55))^WorkSheet!E$55)^2</f>
        <v>#DIV/0!</v>
      </c>
      <c r="E4" s="1" t="e">
        <f>D4*WorkSheet!K$50*WorkSheet!G$19</f>
        <v>#DIV/0!</v>
      </c>
      <c r="F4" s="1" t="e">
        <f t="shared" ref="F4:F21" si="0">E4*1000</f>
        <v>#DIV/0!</v>
      </c>
      <c r="G4" s="1" t="e">
        <f>1/((1/E4)+(1/WorkSheet!O$60))</f>
        <v>#DIV/0!</v>
      </c>
      <c r="H4" s="1" t="e">
        <f>1/((1/F4)+(1/WorkSheet!O$60))</f>
        <v>#DIV/0!</v>
      </c>
      <c r="I4" s="1"/>
      <c r="J4" s="1"/>
      <c r="K4" s="1"/>
    </row>
    <row r="5" spans="2:11" x14ac:dyDescent="0.2">
      <c r="B5" s="1">
        <v>0.12</v>
      </c>
      <c r="C5" s="1">
        <f>(B5-WorkSheet!G$21)/(WorkSheet!G$20-WorkSheet!G$21)</f>
        <v>0.12499999999999993</v>
      </c>
      <c r="D5" s="1" t="e">
        <f>C5^WorkSheet!G$18*(1-(1-C5^(1/WorkSheet!E$55))^WorkSheet!E$55)^2</f>
        <v>#DIV/0!</v>
      </c>
      <c r="E5" s="1" t="e">
        <f>D5*WorkSheet!K$50*WorkSheet!G$19</f>
        <v>#DIV/0!</v>
      </c>
      <c r="F5" s="1" t="e">
        <f t="shared" si="0"/>
        <v>#DIV/0!</v>
      </c>
      <c r="G5" s="1" t="e">
        <f>1/((1/E5)+(1/WorkSheet!O$60))</f>
        <v>#DIV/0!</v>
      </c>
      <c r="H5" s="1" t="e">
        <f>1/((1/F5)+(1/WorkSheet!O$60))</f>
        <v>#DIV/0!</v>
      </c>
      <c r="I5" s="1"/>
      <c r="J5" s="1"/>
      <c r="K5" s="1"/>
    </row>
    <row r="6" spans="2:11" x14ac:dyDescent="0.2">
      <c r="B6" s="1">
        <v>0.13</v>
      </c>
      <c r="C6" s="1">
        <f>(B6-WorkSheet!G$21)/(WorkSheet!G$20-WorkSheet!G$21)</f>
        <v>0.1875</v>
      </c>
      <c r="D6" s="1" t="e">
        <f>C6^WorkSheet!G$18*(1-(1-C6^(1/WorkSheet!E$55))^WorkSheet!E$55)^2</f>
        <v>#DIV/0!</v>
      </c>
      <c r="E6" s="1" t="e">
        <f>D6*WorkSheet!K$50*WorkSheet!G$19</f>
        <v>#DIV/0!</v>
      </c>
      <c r="F6" s="1" t="e">
        <f t="shared" si="0"/>
        <v>#DIV/0!</v>
      </c>
      <c r="G6" s="1" t="e">
        <f>1/((1/E6)+(1/WorkSheet!O$60))</f>
        <v>#DIV/0!</v>
      </c>
      <c r="H6" s="1" t="e">
        <f>1/((1/F6)+(1/WorkSheet!O$60))</f>
        <v>#DIV/0!</v>
      </c>
      <c r="I6" s="1"/>
      <c r="J6" s="1"/>
      <c r="K6" s="1"/>
    </row>
    <row r="7" spans="2:11" x14ac:dyDescent="0.2">
      <c r="B7" s="1">
        <v>0.14000000000000001</v>
      </c>
      <c r="C7" s="1">
        <f>(B7-WorkSheet!G$21)/(WorkSheet!G$20-WorkSheet!G$21)</f>
        <v>0.25000000000000006</v>
      </c>
      <c r="D7" s="1" t="e">
        <f>C7^WorkSheet!G$18*(1-(1-C7^(1/WorkSheet!E$55))^WorkSheet!E$55)^2</f>
        <v>#DIV/0!</v>
      </c>
      <c r="E7" s="1" t="e">
        <f>D7*WorkSheet!K$50*WorkSheet!G$19</f>
        <v>#DIV/0!</v>
      </c>
      <c r="F7" s="1" t="e">
        <f t="shared" si="0"/>
        <v>#DIV/0!</v>
      </c>
      <c r="G7" s="1" t="e">
        <f>1/((1/E7)+(1/WorkSheet!O$60))</f>
        <v>#DIV/0!</v>
      </c>
      <c r="H7" s="1" t="e">
        <f>1/((1/F7)+(1/WorkSheet!O$60))</f>
        <v>#DIV/0!</v>
      </c>
      <c r="I7" s="1"/>
      <c r="J7" s="1"/>
      <c r="K7" s="1"/>
    </row>
    <row r="8" spans="2:11" x14ac:dyDescent="0.2">
      <c r="B8" s="1">
        <v>0.15</v>
      </c>
      <c r="C8" s="1">
        <f>(B8-WorkSheet!G$21)/(WorkSheet!G$20-WorkSheet!G$21)</f>
        <v>0.31249999999999994</v>
      </c>
      <c r="D8" s="1" t="e">
        <f>C8^WorkSheet!G$18*(1-(1-C8^(1/WorkSheet!E$55))^WorkSheet!E$55)^2</f>
        <v>#DIV/0!</v>
      </c>
      <c r="E8" s="1" t="e">
        <f>D8*WorkSheet!K$50*WorkSheet!G$19</f>
        <v>#DIV/0!</v>
      </c>
      <c r="F8" s="1" t="e">
        <f t="shared" si="0"/>
        <v>#DIV/0!</v>
      </c>
      <c r="G8" s="1" t="e">
        <f>1/((1/E8)+(1/WorkSheet!O$60))</f>
        <v>#DIV/0!</v>
      </c>
      <c r="H8" s="1" t="e">
        <f>1/((1/F8)+(1/WorkSheet!O$60))</f>
        <v>#DIV/0!</v>
      </c>
      <c r="I8" s="1"/>
      <c r="K8" s="1"/>
    </row>
    <row r="9" spans="2:11" x14ac:dyDescent="0.2">
      <c r="B9" s="1">
        <v>0.16</v>
      </c>
      <c r="C9" s="1">
        <f>(B9-WorkSheet!G$21)/(WorkSheet!G$20-WorkSheet!G$21)</f>
        <v>0.375</v>
      </c>
      <c r="D9" s="1" t="e">
        <f>C9^WorkSheet!G$18*(1-(1-C9^(1/WorkSheet!E$55))^WorkSheet!E$55)^2</f>
        <v>#DIV/0!</v>
      </c>
      <c r="E9" s="1" t="e">
        <f>D9*WorkSheet!K$50*WorkSheet!G$19</f>
        <v>#DIV/0!</v>
      </c>
      <c r="F9" s="1" t="e">
        <f t="shared" si="0"/>
        <v>#DIV/0!</v>
      </c>
      <c r="G9" s="1" t="e">
        <f>1/((1/E9)+(1/WorkSheet!O$60))</f>
        <v>#DIV/0!</v>
      </c>
      <c r="H9" s="1" t="e">
        <f>1/((1/F9)+(1/WorkSheet!O$60))</f>
        <v>#DIV/0!</v>
      </c>
      <c r="I9" s="1"/>
      <c r="J9" s="1"/>
      <c r="K9" s="1"/>
    </row>
    <row r="10" spans="2:11" x14ac:dyDescent="0.2">
      <c r="B10" s="1">
        <v>0.17</v>
      </c>
      <c r="C10" s="1">
        <f>(B10-WorkSheet!G$21)/(WorkSheet!G$20-WorkSheet!G$21)</f>
        <v>0.43750000000000006</v>
      </c>
      <c r="D10" s="1" t="e">
        <f>C10^WorkSheet!G$18*(1-(1-C10^(1/WorkSheet!E$55))^WorkSheet!E$55)^2</f>
        <v>#DIV/0!</v>
      </c>
      <c r="E10" s="1" t="e">
        <f>D10*WorkSheet!K$50*WorkSheet!G$19</f>
        <v>#DIV/0!</v>
      </c>
      <c r="F10" s="1" t="e">
        <f t="shared" si="0"/>
        <v>#DIV/0!</v>
      </c>
      <c r="G10" s="1" t="e">
        <f>1/((1/E10)+(1/WorkSheet!O$60))</f>
        <v>#DIV/0!</v>
      </c>
      <c r="H10" s="1" t="e">
        <f>1/((1/F10)+(1/WorkSheet!O$60))</f>
        <v>#DIV/0!</v>
      </c>
      <c r="I10" s="1"/>
      <c r="J10" s="1"/>
      <c r="K10" s="1"/>
    </row>
    <row r="11" spans="2:11" x14ac:dyDescent="0.2">
      <c r="B11" s="1">
        <v>0.18</v>
      </c>
      <c r="C11" s="1">
        <f>(B11-WorkSheet!G$21)/(WorkSheet!G$20-WorkSheet!G$21)</f>
        <v>0.49999999999999989</v>
      </c>
      <c r="D11" s="1" t="e">
        <f>C11^WorkSheet!G$18*(1-(1-C11^(1/WorkSheet!E$55))^WorkSheet!E$55)^2</f>
        <v>#DIV/0!</v>
      </c>
      <c r="E11" s="1" t="e">
        <f>D11*WorkSheet!K$50*WorkSheet!G$19</f>
        <v>#DIV/0!</v>
      </c>
      <c r="F11" s="1" t="e">
        <f t="shared" si="0"/>
        <v>#DIV/0!</v>
      </c>
      <c r="G11" s="1" t="e">
        <f>1/((1/E11)+(1/WorkSheet!O$60))</f>
        <v>#DIV/0!</v>
      </c>
      <c r="H11" s="1" t="e">
        <f>1/((1/F11)+(1/WorkSheet!O$60))</f>
        <v>#DIV/0!</v>
      </c>
      <c r="I11" s="1"/>
      <c r="J11" s="1"/>
      <c r="K11" s="1"/>
    </row>
    <row r="12" spans="2:11" x14ac:dyDescent="0.2">
      <c r="B12" s="1">
        <v>0.19</v>
      </c>
      <c r="C12" s="1">
        <f>(B12-WorkSheet!G$21)/(WorkSheet!G$20-WorkSheet!G$21)</f>
        <v>0.5625</v>
      </c>
      <c r="D12" s="1" t="e">
        <f>C12^WorkSheet!G$18*(1-(1-C12^(1/WorkSheet!E$55))^WorkSheet!E$55)^2</f>
        <v>#DIV/0!</v>
      </c>
      <c r="E12" s="1" t="e">
        <f>D12*WorkSheet!K$50*WorkSheet!G$19</f>
        <v>#DIV/0!</v>
      </c>
      <c r="F12" s="1" t="e">
        <f t="shared" si="0"/>
        <v>#DIV/0!</v>
      </c>
      <c r="G12" s="1" t="e">
        <f>1/((1/E12)+(1/WorkSheet!O$60))</f>
        <v>#DIV/0!</v>
      </c>
      <c r="H12" s="1" t="e">
        <f>1/((1/F12)+(1/WorkSheet!O$60))</f>
        <v>#DIV/0!</v>
      </c>
      <c r="I12" s="1"/>
      <c r="J12" s="1"/>
      <c r="K12" s="1"/>
    </row>
    <row r="13" spans="2:11" x14ac:dyDescent="0.2">
      <c r="B13" s="1">
        <v>0.2</v>
      </c>
      <c r="C13" s="1">
        <f>(B13-WorkSheet!G$21)/(WorkSheet!G$20-WorkSheet!G$21)</f>
        <v>0.625</v>
      </c>
      <c r="D13" s="1" t="e">
        <f>C13^WorkSheet!G$18*(1-(1-C13^(1/WorkSheet!E$55))^WorkSheet!E$55)^2</f>
        <v>#DIV/0!</v>
      </c>
      <c r="E13" s="1" t="e">
        <f>D13*WorkSheet!K$50*WorkSheet!G$19</f>
        <v>#DIV/0!</v>
      </c>
      <c r="F13" s="1" t="e">
        <f t="shared" si="0"/>
        <v>#DIV/0!</v>
      </c>
      <c r="G13" s="1" t="e">
        <f>1/((1/E13)+(1/WorkSheet!O$60))</f>
        <v>#DIV/0!</v>
      </c>
      <c r="H13" s="1" t="e">
        <f>1/((1/F13)+(1/WorkSheet!O$60))</f>
        <v>#DIV/0!</v>
      </c>
      <c r="I13" s="1"/>
      <c r="J13" s="1"/>
      <c r="K13" s="1"/>
    </row>
    <row r="14" spans="2:11" x14ac:dyDescent="0.2">
      <c r="B14" s="1">
        <v>0.21</v>
      </c>
      <c r="C14" s="1">
        <f>(B14-WorkSheet!G$21)/(WorkSheet!G$20-WorkSheet!G$21)</f>
        <v>0.68749999999999989</v>
      </c>
      <c r="D14" s="1" t="e">
        <f>C14^WorkSheet!G$18*(1-(1-C14^(1/WorkSheet!E$55))^WorkSheet!E$55)^2</f>
        <v>#DIV/0!</v>
      </c>
      <c r="E14" s="1" t="e">
        <f>D14*WorkSheet!K$50*WorkSheet!G$19</f>
        <v>#DIV/0!</v>
      </c>
      <c r="F14" s="1" t="e">
        <f t="shared" si="0"/>
        <v>#DIV/0!</v>
      </c>
      <c r="G14" s="1" t="e">
        <f>1/((1/E14)+(1/WorkSheet!O$60))</f>
        <v>#DIV/0!</v>
      </c>
      <c r="H14" s="1" t="e">
        <f>1/((1/F14)+(1/WorkSheet!O$60))</f>
        <v>#DIV/0!</v>
      </c>
      <c r="I14" s="1"/>
      <c r="J14" s="1"/>
      <c r="K14" s="1"/>
    </row>
    <row r="15" spans="2:11" x14ac:dyDescent="0.2">
      <c r="B15" s="1">
        <v>0.22</v>
      </c>
      <c r="C15" s="1">
        <f>(B15-WorkSheet!G$21)/(WorkSheet!G$20-WorkSheet!G$21)</f>
        <v>0.75</v>
      </c>
      <c r="D15" s="1" t="e">
        <f>C15^WorkSheet!G$18*(1-(1-C15^(1/WorkSheet!E$55))^WorkSheet!E$55)^2</f>
        <v>#DIV/0!</v>
      </c>
      <c r="E15" s="1" t="e">
        <f>D15*WorkSheet!K$50*WorkSheet!G$19</f>
        <v>#DIV/0!</v>
      </c>
      <c r="F15" s="1" t="e">
        <f t="shared" si="0"/>
        <v>#DIV/0!</v>
      </c>
      <c r="G15" s="1" t="e">
        <f>1/((1/E15)+(1/WorkSheet!O$60))</f>
        <v>#DIV/0!</v>
      </c>
      <c r="H15" s="1" t="e">
        <f>1/((1/F15)+(1/WorkSheet!O$60))</f>
        <v>#DIV/0!</v>
      </c>
      <c r="I15" s="1"/>
      <c r="J15" s="1"/>
      <c r="K15" s="1"/>
    </row>
    <row r="16" spans="2:11" x14ac:dyDescent="0.2">
      <c r="B16" s="1">
        <v>0.23</v>
      </c>
      <c r="C16" s="1">
        <f>(B16-WorkSheet!G$21)/(WorkSheet!G$20-WorkSheet!G$21)</f>
        <v>0.8125</v>
      </c>
      <c r="D16" s="1" t="e">
        <f>C16^WorkSheet!G$18*(1-(1-C16^(1/WorkSheet!E$55))^WorkSheet!E$55)^2</f>
        <v>#DIV/0!</v>
      </c>
      <c r="E16" s="1" t="e">
        <f>D16*WorkSheet!K$50*WorkSheet!G$19</f>
        <v>#DIV/0!</v>
      </c>
      <c r="F16" s="1" t="e">
        <f t="shared" si="0"/>
        <v>#DIV/0!</v>
      </c>
      <c r="G16" s="1" t="e">
        <f>1/((1/E16)+(1/WorkSheet!O$60))</f>
        <v>#DIV/0!</v>
      </c>
      <c r="H16" s="1" t="e">
        <f>1/((1/F16)+(1/WorkSheet!O$60))</f>
        <v>#DIV/0!</v>
      </c>
      <c r="I16" s="1"/>
      <c r="J16" s="1"/>
      <c r="K16" s="1"/>
    </row>
    <row r="17" spans="2:11" x14ac:dyDescent="0.2">
      <c r="B17" s="1">
        <v>0.24</v>
      </c>
      <c r="C17" s="1">
        <f>(B17-WorkSheet!G$21)/(WorkSheet!G$20-WorkSheet!G$21)</f>
        <v>0.87499999999999989</v>
      </c>
      <c r="D17" s="1" t="e">
        <f>C17^WorkSheet!G$18*(1-(1-C17^(1/WorkSheet!E$55))^WorkSheet!E$55)^2</f>
        <v>#DIV/0!</v>
      </c>
      <c r="E17" s="1" t="e">
        <f>D17*WorkSheet!K$50*WorkSheet!G$19</f>
        <v>#DIV/0!</v>
      </c>
      <c r="F17" s="1" t="e">
        <f t="shared" si="0"/>
        <v>#DIV/0!</v>
      </c>
      <c r="G17" s="1" t="e">
        <f>1/((1/E17)+(1/WorkSheet!O$60))</f>
        <v>#DIV/0!</v>
      </c>
      <c r="H17" s="1" t="e">
        <f>1/((1/F17)+(1/WorkSheet!O$60))</f>
        <v>#DIV/0!</v>
      </c>
      <c r="I17" s="1"/>
      <c r="J17" s="1"/>
      <c r="K17" s="1"/>
    </row>
    <row r="18" spans="2:11" x14ac:dyDescent="0.2">
      <c r="B18" s="1">
        <v>0.25</v>
      </c>
      <c r="C18" s="1">
        <f>(B18-WorkSheet!G$21)/(WorkSheet!G$20-WorkSheet!G$21)</f>
        <v>0.9375</v>
      </c>
      <c r="D18" s="1" t="e">
        <f>C18^WorkSheet!G$18*(1-(1-C18^(1/WorkSheet!E$55))^WorkSheet!E$55)^2</f>
        <v>#DIV/0!</v>
      </c>
      <c r="E18" s="1" t="e">
        <f>D18*WorkSheet!K$50*WorkSheet!G$19</f>
        <v>#DIV/0!</v>
      </c>
      <c r="F18" s="1" t="e">
        <f t="shared" si="0"/>
        <v>#DIV/0!</v>
      </c>
      <c r="G18" s="1" t="e">
        <f>1/((1/E18)+(1/WorkSheet!O$60))</f>
        <v>#DIV/0!</v>
      </c>
      <c r="H18" s="1" t="e">
        <f>1/((1/F18)+(1/WorkSheet!O$60))</f>
        <v>#DIV/0!</v>
      </c>
      <c r="I18" s="1"/>
      <c r="J18" s="1"/>
      <c r="K18" s="1"/>
    </row>
    <row r="19" spans="2:11" x14ac:dyDescent="0.2">
      <c r="B19" s="1">
        <v>0.26</v>
      </c>
      <c r="C19" s="1">
        <f>(B19-WorkSheet!G$21)/(WorkSheet!G$20-WorkSheet!G$21)</f>
        <v>1</v>
      </c>
      <c r="D19" s="1" t="e">
        <f>C19^WorkSheet!G$18*(1-(1-C19^(1/WorkSheet!E$55))^WorkSheet!E$55)^2</f>
        <v>#DIV/0!</v>
      </c>
      <c r="E19" s="1" t="e">
        <f>D19*WorkSheet!K$50*WorkSheet!G$19</f>
        <v>#DIV/0!</v>
      </c>
      <c r="F19" s="1" t="e">
        <f t="shared" si="0"/>
        <v>#DIV/0!</v>
      </c>
      <c r="G19" s="1" t="e">
        <f>1/((1/E19)+(1/WorkSheet!O$60))</f>
        <v>#DIV/0!</v>
      </c>
      <c r="H19" s="1" t="e">
        <f>1/((1/F19)+(1/WorkSheet!O$60))</f>
        <v>#DIV/0!</v>
      </c>
      <c r="I19" s="1"/>
      <c r="J19" s="1"/>
      <c r="K19" s="1"/>
    </row>
    <row r="20" spans="2:11" x14ac:dyDescent="0.2">
      <c r="B20" s="1">
        <v>0.27</v>
      </c>
      <c r="C20" s="1">
        <f>(B20-WorkSheet!G$21)/(WorkSheet!G$20-WorkSheet!G$21)</f>
        <v>1.0625</v>
      </c>
      <c r="D20" s="1" t="e">
        <f>C20^WorkSheet!G$18*(1-(1-C20^(1/WorkSheet!E$55))^WorkSheet!E$55)^2</f>
        <v>#DIV/0!</v>
      </c>
      <c r="E20" s="1" t="e">
        <f>D20*WorkSheet!K$50*WorkSheet!G$19</f>
        <v>#DIV/0!</v>
      </c>
      <c r="F20" s="1" t="e">
        <f t="shared" si="0"/>
        <v>#DIV/0!</v>
      </c>
      <c r="G20" s="1" t="e">
        <f>1/((1/E20)+(1/WorkSheet!O$60))</f>
        <v>#DIV/0!</v>
      </c>
      <c r="H20" s="1" t="e">
        <f>1/((1/F20)+(1/WorkSheet!O$60))</f>
        <v>#DIV/0!</v>
      </c>
      <c r="I20" s="1"/>
      <c r="J20" s="1"/>
      <c r="K20" s="1"/>
    </row>
    <row r="21" spans="2:11" x14ac:dyDescent="0.2">
      <c r="B21" s="1">
        <v>0.28000000000000003</v>
      </c>
      <c r="C21" s="1">
        <v>0.98666670000000001</v>
      </c>
      <c r="D21" s="1" t="e">
        <f>C21^WorkSheet!G$18*(1-(1-C21^(1/WorkSheet!E$55))^WorkSheet!E$55)^2</f>
        <v>#DIV/0!</v>
      </c>
      <c r="E21" s="1" t="e">
        <f>D21*WorkSheet!K$50*WorkSheet!G$19</f>
        <v>#DIV/0!</v>
      </c>
      <c r="F21" s="1" t="e">
        <f t="shared" si="0"/>
        <v>#DIV/0!</v>
      </c>
      <c r="G21" s="1" t="e">
        <f>1/((1/E21)+(1/WorkSheet!O$60))</f>
        <v>#DIV/0!</v>
      </c>
      <c r="H21" s="1" t="e">
        <f>1/((1/F21)+(1/WorkSheet!O$60))</f>
        <v>#DIV/0!</v>
      </c>
      <c r="I21" s="1"/>
      <c r="J21" s="1"/>
      <c r="K21" s="1"/>
    </row>
    <row r="22" spans="2:1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37</vt:i4>
      </vt:variant>
    </vt:vector>
  </HeadingPairs>
  <TitlesOfParts>
    <vt:vector size="40" baseType="lpstr">
      <vt:lpstr>WorkSheet</vt:lpstr>
      <vt:lpstr>Feuil1</vt:lpstr>
      <vt:lpstr>Sensitivity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2021-06-02T16:05:24Z</dcterms:modified>
</cp:coreProperties>
</file>