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ulietan/Desktop/problem_sets/Final/"/>
    </mc:Choice>
  </mc:AlternateContent>
  <xr:revisionPtr revIDLastSave="0" documentId="13_ncr:1_{9C7E1CB2-65A2-0B41-93F0-C873FA0854AB}" xr6:coauthVersionLast="40" xr6:coauthVersionMax="40" xr10:uidLastSave="{00000000-0000-0000-0000-000000000000}"/>
  <bookViews>
    <workbookView xWindow="100" yWindow="460" windowWidth="25440" windowHeight="14420" activeTab="4" xr2:uid="{5420EF2C-4860-9F43-BFF6-63BFFEC3AD28}"/>
  </bookViews>
  <sheets>
    <sheet name="2d" sheetId="1" r:id="rId1"/>
    <sheet name="3b,c" sheetId="2" r:id="rId2"/>
    <sheet name="4a" sheetId="3" r:id="rId3"/>
    <sheet name="4b,c" sheetId="5" r:id="rId4"/>
    <sheet name="Extra" sheetId="6" r:id="rId5"/>
  </sheets>
  <definedNames>
    <definedName name="solver_adj" localSheetId="2" hidden="1">'4a'!$F$18</definedName>
    <definedName name="solver_adj" localSheetId="3" hidden="1">'4b,c'!$I$13:$I$14</definedName>
    <definedName name="solver_adj" localSheetId="4" hidden="1">Extra!$F$23:$F$24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2" hidden="1">1</definedName>
    <definedName name="solver_eng" localSheetId="3" hidden="1">1</definedName>
    <definedName name="solver_eng" localSheetId="4" hidden="1">1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in" localSheetId="2" hidden="1">2</definedName>
    <definedName name="solver_lin" localSheetId="3" hidden="1">2</definedName>
    <definedName name="solver_lin" localSheetId="4" hidden="1">2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2" hidden="1">0</definedName>
    <definedName name="solver_num" localSheetId="3" hidden="1">0</definedName>
    <definedName name="solver_num" localSheetId="4" hidden="1">0</definedName>
    <definedName name="solver_opt" localSheetId="2" hidden="1">'4a'!$F$17</definedName>
    <definedName name="solver_opt" localSheetId="3" hidden="1">'4b,c'!$I$9</definedName>
    <definedName name="solver_opt" localSheetId="4" hidden="1">Extra!$H$9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2" hidden="1">3</definedName>
    <definedName name="solver_typ" localSheetId="3" hidden="1">2</definedName>
    <definedName name="solver_typ" localSheetId="4" hidden="1">2</definedName>
    <definedName name="solver_val" localSheetId="2" hidden="1">68.653</definedName>
    <definedName name="solver_val" localSheetId="3" hidden="1">1</definedName>
    <definedName name="solver_val" localSheetId="4" hidden="1">68.653</definedName>
    <definedName name="solver_ver" localSheetId="2" hidden="1">2</definedName>
    <definedName name="solver_ver" localSheetId="3" hidden="1">2</definedName>
    <definedName name="solver_ver" localSheetId="4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" i="6" l="1"/>
  <c r="F7" i="6" s="1"/>
  <c r="G7" i="6" s="1"/>
  <c r="H7" i="6" s="1"/>
  <c r="E3" i="6"/>
  <c r="F3" i="6" s="1"/>
  <c r="G3" i="6" s="1"/>
  <c r="H3" i="6" s="1"/>
  <c r="E4" i="6"/>
  <c r="F4" i="6" s="1"/>
  <c r="G4" i="6" s="1"/>
  <c r="H4" i="6" s="1"/>
  <c r="E5" i="6"/>
  <c r="F5" i="6" s="1"/>
  <c r="G5" i="6" s="1"/>
  <c r="H5" i="6" s="1"/>
  <c r="E6" i="6"/>
  <c r="E2" i="6"/>
  <c r="F2" i="6" s="1"/>
  <c r="G2" i="6" s="1"/>
  <c r="H2" i="6" s="1"/>
  <c r="F13" i="6"/>
  <c r="F6" i="6"/>
  <c r="G6" i="6" s="1"/>
  <c r="H6" i="6" s="1"/>
  <c r="G2" i="5"/>
  <c r="C3" i="6"/>
  <c r="C4" i="6"/>
  <c r="C5" i="6"/>
  <c r="C6" i="6"/>
  <c r="C7" i="6"/>
  <c r="C2" i="6"/>
  <c r="F12" i="6"/>
  <c r="F16" i="6"/>
  <c r="F17" i="6"/>
  <c r="F18" i="6" s="1"/>
  <c r="B17" i="6"/>
  <c r="B8" i="2"/>
  <c r="H9" i="6" l="1"/>
  <c r="L7" i="1"/>
  <c r="M7" i="1" s="1"/>
  <c r="B19" i="5" l="1"/>
  <c r="B7" i="5"/>
  <c r="F7" i="5" s="1"/>
  <c r="G7" i="5" s="1"/>
  <c r="H7" i="5" s="1"/>
  <c r="I7" i="5" s="1"/>
  <c r="B6" i="5"/>
  <c r="F6" i="5" s="1"/>
  <c r="G6" i="5" s="1"/>
  <c r="H6" i="5" s="1"/>
  <c r="I6" i="5" s="1"/>
  <c r="B5" i="5"/>
  <c r="F5" i="5" s="1"/>
  <c r="G5" i="5" s="1"/>
  <c r="H5" i="5" s="1"/>
  <c r="I5" i="5" s="1"/>
  <c r="B4" i="5"/>
  <c r="F4" i="5" s="1"/>
  <c r="G4" i="5" s="1"/>
  <c r="H4" i="5" s="1"/>
  <c r="I4" i="5" s="1"/>
  <c r="B3" i="5"/>
  <c r="F3" i="5" s="1"/>
  <c r="G3" i="5" s="1"/>
  <c r="H3" i="5" s="1"/>
  <c r="I3" i="5" s="1"/>
  <c r="B2" i="5"/>
  <c r="F15" i="3"/>
  <c r="F12" i="3"/>
  <c r="F11" i="3"/>
  <c r="B19" i="3"/>
  <c r="C3" i="3" s="1"/>
  <c r="F2" i="5" l="1"/>
  <c r="H2" i="5" s="1"/>
  <c r="I2" i="5" s="1"/>
  <c r="I9" i="5" s="1"/>
  <c r="C7" i="3"/>
  <c r="C6" i="3"/>
  <c r="C5" i="3"/>
  <c r="F17" i="3"/>
  <c r="C2" i="3"/>
  <c r="C4" i="3"/>
  <c r="B3" i="2" l="1"/>
  <c r="B9" i="2"/>
  <c r="B10" i="2"/>
  <c r="B18" i="2"/>
  <c r="B17" i="2"/>
  <c r="B12" i="2"/>
  <c r="B11" i="2"/>
  <c r="G13" i="1"/>
  <c r="G12" i="1"/>
  <c r="G10" i="1"/>
  <c r="G9" i="1"/>
  <c r="G2" i="1"/>
  <c r="G16" i="1" s="1"/>
  <c r="B13" i="1"/>
  <c r="B12" i="1"/>
  <c r="B10" i="1"/>
  <c r="B2" i="1"/>
  <c r="B9" i="1"/>
  <c r="Q2" i="1" l="1"/>
  <c r="Q4" i="1"/>
  <c r="Q6" i="1"/>
  <c r="Q8" i="1"/>
  <c r="Q10" i="1"/>
  <c r="Q12" i="1"/>
  <c r="Q14" i="1"/>
  <c r="Q16" i="1"/>
  <c r="Q18" i="1"/>
  <c r="Q20" i="1"/>
  <c r="Q22" i="1"/>
  <c r="R22" i="1" s="1"/>
  <c r="Q3" i="1"/>
  <c r="R3" i="1" s="1"/>
  <c r="Q5" i="1"/>
  <c r="Q7" i="1"/>
  <c r="Q9" i="1"/>
  <c r="Q13" i="1"/>
  <c r="R13" i="1" s="1"/>
  <c r="Q17" i="1"/>
  <c r="Q21" i="1"/>
  <c r="Q11" i="1"/>
  <c r="Q15" i="1"/>
  <c r="R15" i="1" s="1"/>
  <c r="Q19" i="1"/>
  <c r="R4" i="1"/>
  <c r="R6" i="1"/>
  <c r="R8" i="1"/>
  <c r="R10" i="1"/>
  <c r="R12" i="1"/>
  <c r="R14" i="1"/>
  <c r="R16" i="1"/>
  <c r="R18" i="1"/>
  <c r="R5" i="1"/>
  <c r="R9" i="1"/>
  <c r="R17" i="1"/>
  <c r="R21" i="1"/>
  <c r="R2" i="1"/>
  <c r="R20" i="1"/>
  <c r="R7" i="1"/>
  <c r="R11" i="1"/>
  <c r="R19" i="1"/>
  <c r="L6" i="1"/>
  <c r="M6" i="1" s="1"/>
  <c r="L5" i="1"/>
  <c r="M5" i="1" s="1"/>
  <c r="L4" i="1"/>
  <c r="M4" i="1" s="1"/>
  <c r="L2" i="1"/>
  <c r="M2" i="1" s="1"/>
  <c r="L3" i="1"/>
  <c r="M3" i="1" s="1"/>
  <c r="B4" i="2"/>
  <c r="I16" i="2" s="1"/>
  <c r="B13" i="2"/>
  <c r="I8" i="2" s="1"/>
  <c r="H4" i="2"/>
  <c r="H10" i="2"/>
  <c r="I22" i="2"/>
  <c r="I6" i="2"/>
  <c r="H18" i="2" l="1"/>
  <c r="I14" i="2"/>
  <c r="H20" i="2"/>
  <c r="H12" i="2"/>
  <c r="H22" i="2"/>
  <c r="I3" i="2"/>
  <c r="I7" i="2"/>
  <c r="I11" i="2"/>
  <c r="I15" i="2"/>
  <c r="I19" i="2"/>
  <c r="H3" i="2"/>
  <c r="H7" i="2"/>
  <c r="H11" i="2"/>
  <c r="H15" i="2"/>
  <c r="H19" i="2"/>
  <c r="H2" i="2"/>
  <c r="I5" i="2"/>
  <c r="I9" i="2"/>
  <c r="I13" i="2"/>
  <c r="I17" i="2"/>
  <c r="I21" i="2"/>
  <c r="H5" i="2"/>
  <c r="H9" i="2"/>
  <c r="H13" i="2"/>
  <c r="H17" i="2"/>
  <c r="H21" i="2"/>
  <c r="I10" i="2"/>
  <c r="H6" i="2"/>
  <c r="I4" i="2"/>
  <c r="I20" i="2"/>
  <c r="H16" i="2"/>
  <c r="I18" i="2"/>
  <c r="H14" i="2"/>
  <c r="I12" i="2"/>
  <c r="H8" i="2"/>
  <c r="I2" i="2"/>
</calcChain>
</file>

<file path=xl/sharedStrings.xml><?xml version="1.0" encoding="utf-8"?>
<sst xmlns="http://schemas.openxmlformats.org/spreadsheetml/2006/main" count="184" uniqueCount="95">
  <si>
    <t>ke</t>
  </si>
  <si>
    <t>s-1</t>
  </si>
  <si>
    <t>ke*</t>
  </si>
  <si>
    <t>kf</t>
  </si>
  <si>
    <t>M-1 s-1</t>
  </si>
  <si>
    <t>kr</t>
  </si>
  <si>
    <t>kdeg</t>
  </si>
  <si>
    <t>Vs</t>
  </si>
  <si>
    <t>s-1 cell-1</t>
  </si>
  <si>
    <t>q</t>
  </si>
  <si>
    <t># cell-1 s-1</t>
  </si>
  <si>
    <t>nc</t>
  </si>
  <si>
    <t>cell m-2</t>
  </si>
  <si>
    <t>GIVEN</t>
  </si>
  <si>
    <t>Kss</t>
  </si>
  <si>
    <t>gamma</t>
  </si>
  <si>
    <t>DL</t>
  </si>
  <si>
    <t>m2 s-1</t>
  </si>
  <si>
    <t>m3</t>
  </si>
  <si>
    <t>m3 s-1</t>
  </si>
  <si>
    <t>cell-1 s-1</t>
  </si>
  <si>
    <t>w</t>
  </si>
  <si>
    <t>Kx (TX gain)</t>
  </si>
  <si>
    <t>Kli</t>
  </si>
  <si>
    <t>uM</t>
  </si>
  <si>
    <t>Li</t>
  </si>
  <si>
    <t>aa</t>
  </si>
  <si>
    <t>W1</t>
  </si>
  <si>
    <t>W2</t>
  </si>
  <si>
    <t>n</t>
  </si>
  <si>
    <t>mM</t>
  </si>
  <si>
    <t>PARAMETERS (given)</t>
  </si>
  <si>
    <t>PARAMETERS (calculated)</t>
  </si>
  <si>
    <t>theta</t>
  </si>
  <si>
    <t>mu</t>
  </si>
  <si>
    <t>tau</t>
  </si>
  <si>
    <t>()</t>
  </si>
  <si>
    <t>kE,L</t>
  </si>
  <si>
    <t>RT,L</t>
  </si>
  <si>
    <t>cell DW</t>
  </si>
  <si>
    <t>gDW/cell</t>
  </si>
  <si>
    <t>BASIC CONSTANTS</t>
  </si>
  <si>
    <t>%water</t>
  </si>
  <si>
    <t>cell mass</t>
  </si>
  <si>
    <t>Avogadro's#</t>
  </si>
  <si>
    <t>mol-1</t>
  </si>
  <si>
    <t>mmol/gDW</t>
  </si>
  <si>
    <t>u</t>
  </si>
  <si>
    <t>p*i</t>
  </si>
  <si>
    <t>Kp</t>
  </si>
  <si>
    <t>p*i'</t>
  </si>
  <si>
    <t>[AMP] (mM)</t>
  </si>
  <si>
    <t>overall rate (uM/h)</t>
  </si>
  <si>
    <t>GIVEN PARAMETERS</t>
  </si>
  <si>
    <t>F6P</t>
  </si>
  <si>
    <t>ATP</t>
  </si>
  <si>
    <t>E1</t>
  </si>
  <si>
    <t>K_F6P</t>
  </si>
  <si>
    <t>K_ATP</t>
  </si>
  <si>
    <t>kcat</t>
  </si>
  <si>
    <t>r1</t>
  </si>
  <si>
    <t>uM/hr</t>
  </si>
  <si>
    <t>CALCULATED PARAMETER</t>
  </si>
  <si>
    <t>PART A</t>
  </si>
  <si>
    <t>target (LHS)</t>
  </si>
  <si>
    <t>RHS</t>
  </si>
  <si>
    <t>W1 (solve)</t>
  </si>
  <si>
    <t>f</t>
  </si>
  <si>
    <t>W2 (solve)</t>
  </si>
  <si>
    <t>PART B</t>
  </si>
  <si>
    <t>K</t>
  </si>
  <si>
    <t>guess</t>
  </si>
  <si>
    <t>x (fraction bound)</t>
  </si>
  <si>
    <t>guess - acutal</t>
  </si>
  <si>
    <t>minimize sum of squared differences</t>
  </si>
  <si>
    <t>(guess-acutal)^2</t>
  </si>
  <si>
    <t>CALCULATED</t>
  </si>
  <si>
    <t>PARAMETERS (changed to count basis)</t>
  </si>
  <si>
    <t>z (m)</t>
  </si>
  <si>
    <t>km (m/s)</t>
  </si>
  <si>
    <t>RT* (count/cell)</t>
  </si>
  <si>
    <t>g/cell</t>
  </si>
  <si>
    <t>overall rate (µM/h)</t>
  </si>
  <si>
    <t>µM/hr</t>
  </si>
  <si>
    <t>µM</t>
  </si>
  <si>
    <t>kinetic limit (µM/hr)</t>
  </si>
  <si>
    <t>PARAMETERS</t>
  </si>
  <si>
    <t>95% CI</t>
  </si>
  <si>
    <t>PART A2</t>
  </si>
  <si>
    <t>x</t>
  </si>
  <si>
    <t>guess-exp</t>
  </si>
  <si>
    <t>(guess-exp)^2</t>
  </si>
  <si>
    <t>minimize sum of squares</t>
  </si>
  <si>
    <t>PART B2</t>
  </si>
  <si>
    <t>STARTING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</si>
</sst>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E+00"/>
    <numFmt numFmtId="165" formatCode="0.000E+00"/>
    <numFmt numFmtId="166" formatCode="0.0000"/>
    <numFmt numFmtId="167" formatCode="0.000"/>
  </numFmts>
  <fonts count="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Font="1"/>
    <xf numFmtId="165" fontId="0" fillId="0" borderId="0" xfId="0" applyNumberFormat="1"/>
    <xf numFmtId="9" fontId="0" fillId="0" borderId="0" xfId="0" applyNumberFormat="1"/>
    <xf numFmtId="167" fontId="0" fillId="0" borderId="0" xfId="0" applyNumberFormat="1"/>
    <xf numFmtId="0" fontId="0" fillId="2" borderId="0" xfId="0" applyFont="1" applyFill="1"/>
    <xf numFmtId="166" fontId="0" fillId="2" borderId="0" xfId="0" applyNumberFormat="1" applyFont="1" applyFill="1"/>
    <xf numFmtId="0" fontId="0" fillId="2" borderId="0" xfId="0" applyFill="1"/>
    <xf numFmtId="167" fontId="0" fillId="2" borderId="0" xfId="0" applyNumberFormat="1" applyFill="1"/>
    <xf numFmtId="0" fontId="0" fillId="0" borderId="0" xfId="0" applyAlignment="1">
      <alignment wrapText="1"/>
    </xf>
    <xf numFmtId="11" fontId="0" fillId="0" borderId="0" xfId="0" applyNumberFormat="1"/>
    <xf numFmtId="2" fontId="0" fillId="0" borderId="0" xfId="0" applyNumberFormat="1"/>
    <xf numFmtId="2" fontId="0" fillId="2" borderId="0" xfId="0" applyNumberFormat="1" applyFill="1"/>
    <xf numFmtId="0" fontId="0" fillId="0" borderId="0" xfId="0" applyFill="1"/>
    <xf numFmtId="167" fontId="0" fillId="0" borderId="0" xfId="0" applyNumberFormat="1" applyFill="1"/>
    <xf numFmtId="0" fontId="0" fillId="0" borderId="0" xfId="0" applyFont="1" applyFill="1"/>
    <xf numFmtId="166" fontId="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FFFE7"/>
      <color rgb="FFEEFFE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Mitotic Activity Profile measured by </a:t>
            </a:r>
            <a:r>
              <a:rPr lang="en-US" baseline="0"/>
              <a:t>RT* (count/cell)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'2d'!$R$1</c:f>
              <c:strCache>
                <c:ptCount val="1"/>
                <c:pt idx="0">
                  <c:v>RT* (count/cell)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'2d'!$P$2:$P$35</c:f>
              <c:numCache>
                <c:formatCode>General</c:formatCode>
                <c:ptCount val="34"/>
                <c:pt idx="0">
                  <c:v>1E-3</c:v>
                </c:pt>
                <c:pt idx="1">
                  <c:v>0.01</c:v>
                </c:pt>
                <c:pt idx="2">
                  <c:v>0.1</c:v>
                </c:pt>
                <c:pt idx="3">
                  <c:v>0.25</c:v>
                </c:pt>
                <c:pt idx="4">
                  <c:v>0.5</c:v>
                </c:pt>
                <c:pt idx="5">
                  <c:v>1</c:v>
                </c:pt>
                <c:pt idx="6">
                  <c:v>1.5</c:v>
                </c:pt>
                <c:pt idx="7">
                  <c:v>2</c:v>
                </c:pt>
                <c:pt idx="8">
                  <c:v>2.5</c:v>
                </c:pt>
                <c:pt idx="9">
                  <c:v>3</c:v>
                </c:pt>
                <c:pt idx="10">
                  <c:v>3.5</c:v>
                </c:pt>
                <c:pt idx="11">
                  <c:v>4</c:v>
                </c:pt>
                <c:pt idx="12">
                  <c:v>4.5</c:v>
                </c:pt>
                <c:pt idx="13">
                  <c:v>5</c:v>
                </c:pt>
                <c:pt idx="14">
                  <c:v>5.5</c:v>
                </c:pt>
                <c:pt idx="15">
                  <c:v>6</c:v>
                </c:pt>
                <c:pt idx="16">
                  <c:v>6.5</c:v>
                </c:pt>
                <c:pt idx="17">
                  <c:v>7</c:v>
                </c:pt>
                <c:pt idx="18">
                  <c:v>7.5</c:v>
                </c:pt>
                <c:pt idx="19">
                  <c:v>8</c:v>
                </c:pt>
                <c:pt idx="20">
                  <c:v>10</c:v>
                </c:pt>
              </c:numCache>
            </c:numRef>
          </c:xVal>
          <c:yVal>
            <c:numRef>
              <c:f>'2d'!$R$2:$R$35</c:f>
              <c:numCache>
                <c:formatCode>0.0E+00</c:formatCode>
                <c:ptCount val="34"/>
                <c:pt idx="0">
                  <c:v>6676.8130627716064</c:v>
                </c:pt>
                <c:pt idx="1">
                  <c:v>14308.695177848911</c:v>
                </c:pt>
                <c:pt idx="2">
                  <c:v>30479.920864910247</c:v>
                </c:pt>
                <c:pt idx="3">
                  <c:v>41059.312713115767</c:v>
                </c:pt>
                <c:pt idx="4">
                  <c:v>51353.52408105947</c:v>
                </c:pt>
                <c:pt idx="5">
                  <c:v>64111.215185517882</c:v>
                </c:pt>
                <c:pt idx="6">
                  <c:v>72922.427933445724</c:v>
                </c:pt>
                <c:pt idx="7">
                  <c:v>79857.324153908805</c:v>
                </c:pt>
                <c:pt idx="8">
                  <c:v>85659.413543007337</c:v>
                </c:pt>
                <c:pt idx="9">
                  <c:v>90691.009474939186</c:v>
                </c:pt>
                <c:pt idx="10">
                  <c:v>95159.021381947576</c:v>
                </c:pt>
                <c:pt idx="11">
                  <c:v>99193.972269939608</c:v>
                </c:pt>
                <c:pt idx="12">
                  <c:v>102884.06309474946</c:v>
                </c:pt>
                <c:pt idx="13">
                  <c:v>106291.98953191885</c:v>
                </c:pt>
                <c:pt idx="14">
                  <c:v>109464.08367136375</c:v>
                </c:pt>
                <c:pt idx="15">
                  <c:v>112435.65684562305</c:v>
                </c:pt>
                <c:pt idx="16">
                  <c:v>115234.30420074594</c:v>
                </c:pt>
                <c:pt idx="17">
                  <c:v>117882.04394816638</c:v>
                </c:pt>
                <c:pt idx="18">
                  <c:v>120396.75522074221</c:v>
                </c:pt>
                <c:pt idx="19">
                  <c:v>122793.17541097618</c:v>
                </c:pt>
                <c:pt idx="20">
                  <c:v>131415.59253896659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A4-F143-9D6D-36170B3BD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9868767"/>
        <c:axId val="976757327"/>
      </c:scatterChart>
      <c:valAx>
        <c:axId val="919868767"/>
        <c:scaling>
          <c:orientation val="minMax"/>
          <c:max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757327"/>
        <c:crosses val="autoZero"/>
        <c:crossBetween val="midCat"/>
      </c:valAx>
      <c:valAx>
        <c:axId val="97675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RT* (#/cell)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986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Mitotic Activity Profile measured by RT* (count/cell)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'2d'!$M$1</c:f>
              <c:strCache>
                <c:ptCount val="1"/>
                <c:pt idx="0">
                  <c:v>RT* (count/cell)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'2d'!$K$2:$K$24</c:f>
              <c:numCache>
                <c:formatCode>0.00E+00</c:formatCode>
                <c:ptCount val="23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xVal>
          <c:yVal>
            <c:numRef>
              <c:f>'2d'!$M$2:$M$24</c:f>
              <c:numCache>
                <c:formatCode>0.0E+00</c:formatCode>
                <c:ptCount val="23"/>
                <c:pt idx="0">
                  <c:v>670.45984527557471</c:v>
                </c:pt>
                <c:pt idx="1">
                  <c:v>1443.6913143734812</c:v>
                </c:pt>
                <c:pt idx="2">
                  <c:v>3106.7676934551282</c:v>
                </c:pt>
                <c:pt idx="3">
                  <c:v>6676.8130627716064</c:v>
                </c:pt>
                <c:pt idx="4">
                  <c:v>14308.695177848911</c:v>
                </c:pt>
                <c:pt idx="5">
                  <c:v>30479.920864910247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42-7A48-A3A3-0AC932A01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2625343"/>
        <c:axId val="576064911"/>
      </c:scatterChart>
      <c:valAx>
        <c:axId val="612625343"/>
        <c:scaling>
          <c:logBase val="10"/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064911"/>
        <c:crosses val="autoZero"/>
        <c:crossBetween val="midCat"/>
      </c:valAx>
      <c:valAx>
        <c:axId val="5760649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RT* (#/cell)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625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Protein Concentration:</a:t>
            </a:r>
            <a:r>
              <a:rPr lang="en-US" baseline="0"/>
              <a:t> Kp=1 (blue), Kp=2 (orange)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'3b,c'!$H$1</c:f>
              <c:strCache>
                <c:ptCount val="1"/>
                <c:pt idx="0">
                  <c:v>p*i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'3b,c'!$G$2:$G$26</c:f>
              <c:numCache>
                <c:formatCode>General</c:formatCode>
                <c:ptCount val="2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'3b,c'!$H$2:$H$26</c:f>
              <c:numCache>
                <c:formatCode>0.000E+00</c:formatCode>
                <c:ptCount val="25"/>
                <c:pt idx="0">
                  <c:v>0</c:v>
                </c:pt>
                <c:pt idx="1">
                  <c:v>1.1580202441180057E-5</c:v>
                </c:pt>
                <c:pt idx="2">
                  <c:v>2.3160404882360113E-5</c:v>
                </c:pt>
                <c:pt idx="3">
                  <c:v>3.4740607323540168E-5</c:v>
                </c:pt>
                <c:pt idx="4">
                  <c:v>4.6320809764720227E-5</c:v>
                </c:pt>
                <c:pt idx="5">
                  <c:v>5.7901012205900279E-5</c:v>
                </c:pt>
                <c:pt idx="6">
                  <c:v>6.9481214647080337E-5</c:v>
                </c:pt>
                <c:pt idx="7">
                  <c:v>8.1061417088260389E-5</c:v>
                </c:pt>
                <c:pt idx="8">
                  <c:v>9.2641619529440454E-5</c:v>
                </c:pt>
                <c:pt idx="9">
                  <c:v>1.0422182197062051E-4</c:v>
                </c:pt>
                <c:pt idx="10">
                  <c:v>1.1580202441180056E-4</c:v>
                </c:pt>
                <c:pt idx="11">
                  <c:v>1.2738222685298062E-4</c:v>
                </c:pt>
                <c:pt idx="12">
                  <c:v>1.3896242929416067E-4</c:v>
                </c:pt>
                <c:pt idx="13">
                  <c:v>1.5054263173534073E-4</c:v>
                </c:pt>
                <c:pt idx="14">
                  <c:v>1.6212283417652078E-4</c:v>
                </c:pt>
                <c:pt idx="15">
                  <c:v>1.7370303661770083E-4</c:v>
                </c:pt>
                <c:pt idx="16">
                  <c:v>1.8528323905888091E-4</c:v>
                </c:pt>
                <c:pt idx="17">
                  <c:v>1.9686344150006093E-4</c:v>
                </c:pt>
                <c:pt idx="18">
                  <c:v>2.0844364394124101E-4</c:v>
                </c:pt>
                <c:pt idx="19">
                  <c:v>2.2002384638242106E-4</c:v>
                </c:pt>
                <c:pt idx="20">
                  <c:v>2.3160404882360111E-4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BE6-9448-A81D-D45D94116A60}"/>
            </c:ext>
          </c:extLst>
        </c:ser>
        <c:ser>
          <c:idx val="1"/>
          <c:order val="1"/>
          <c:tx>
            <c:strRef>
              <c:f>'3b,c'!$I$1</c:f>
              <c:strCache>
                <c:ptCount val="1"/>
                <c:pt idx="0">
                  <c:v>p*i'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'3b,c'!$G$2:$G$26</c:f>
              <c:numCache>
                <c:formatCode>General</c:formatCode>
                <c:ptCount val="25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'3b,c'!$I$2:$I$26</c:f>
              <c:numCache>
                <c:formatCode>0.000E+00</c:formatCode>
                <c:ptCount val="25"/>
                <c:pt idx="0">
                  <c:v>0</c:v>
                </c:pt>
                <c:pt idx="1">
                  <c:v>2.3160404882360113E-5</c:v>
                </c:pt>
                <c:pt idx="2">
                  <c:v>4.6320809764720227E-5</c:v>
                </c:pt>
                <c:pt idx="3">
                  <c:v>6.9481214647080337E-5</c:v>
                </c:pt>
                <c:pt idx="4">
                  <c:v>9.2641619529440454E-5</c:v>
                </c:pt>
                <c:pt idx="5">
                  <c:v>1.1580202441180056E-4</c:v>
                </c:pt>
                <c:pt idx="6">
                  <c:v>1.3896242929416067E-4</c:v>
                </c:pt>
                <c:pt idx="7">
                  <c:v>1.6212283417652078E-4</c:v>
                </c:pt>
                <c:pt idx="8">
                  <c:v>1.8528323905888091E-4</c:v>
                </c:pt>
                <c:pt idx="9">
                  <c:v>2.0844364394124101E-4</c:v>
                </c:pt>
                <c:pt idx="10">
                  <c:v>2.3160404882360111E-4</c:v>
                </c:pt>
                <c:pt idx="11">
                  <c:v>2.5476445370596124E-4</c:v>
                </c:pt>
                <c:pt idx="12">
                  <c:v>2.7792485858832135E-4</c:v>
                </c:pt>
                <c:pt idx="13">
                  <c:v>3.0108526347068145E-4</c:v>
                </c:pt>
                <c:pt idx="14">
                  <c:v>3.2424566835304155E-4</c:v>
                </c:pt>
                <c:pt idx="15">
                  <c:v>3.4740607323540166E-4</c:v>
                </c:pt>
                <c:pt idx="16">
                  <c:v>3.7056647811776181E-4</c:v>
                </c:pt>
                <c:pt idx="17">
                  <c:v>3.9372688300012186E-4</c:v>
                </c:pt>
                <c:pt idx="18">
                  <c:v>4.1688728788248202E-4</c:v>
                </c:pt>
                <c:pt idx="19">
                  <c:v>4.4004769276484212E-4</c:v>
                </c:pt>
                <c:pt idx="20">
                  <c:v>4.6320809764720223E-4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BE6-9448-A81D-D45D94116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6117023"/>
        <c:axId val="1011647887"/>
      </c:scatterChart>
      <c:valAx>
        <c:axId val="976117023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u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1647887"/>
        <c:crosses val="autoZero"/>
        <c:crossBetween val="midCat"/>
      </c:valAx>
      <c:valAx>
        <c:axId val="101164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protein conc. (mmol/gDW)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1170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Overall Rate</a:t>
            </a:r>
            <a:r>
              <a:rPr lang="en-US" baseline="0"/>
              <a:t> (µM/hr) vs. [AMP] (mM)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'4a'!$B$1</c:f>
              <c:strCache>
                <c:ptCount val="1"/>
                <c:pt idx="0">
                  <c:v>overall rate (µM/h)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'4a'!$A$2:$A$7</c:f>
              <c:numCache>
                <c:formatCode>General</c:formatCode>
                <c:ptCount val="6"/>
                <c:pt idx="0">
                  <c:v>0</c:v>
                </c:pt>
                <c:pt idx="1">
                  <c:v>5.5E-2</c:v>
                </c:pt>
                <c:pt idx="2">
                  <c:v>9.2999999999999999E-2</c:v>
                </c:pt>
                <c:pt idx="3">
                  <c:v>0.18099999999999999</c:v>
                </c:pt>
                <c:pt idx="4">
                  <c:v>0.40500000000000003</c:v>
                </c:pt>
                <c:pt idx="5">
                  <c:v>0.99</c:v>
                </c:pt>
              </c:numCache>
            </c:numRef>
          </c:xVal>
          <c:yVal>
            <c:numRef>
              <c:f>'4a'!$B$2:$B$7</c:f>
              <c:numCache>
                <c:formatCode>General</c:formatCode>
                <c:ptCount val="6"/>
                <c:pt idx="0">
                  <c:v>3.0030000000000001</c:v>
                </c:pt>
                <c:pt idx="1">
                  <c:v>6.3019999999999996</c:v>
                </c:pt>
                <c:pt idx="2">
                  <c:v>29.760999999999999</c:v>
                </c:pt>
                <c:pt idx="3">
                  <c:v>52.002000000000002</c:v>
                </c:pt>
                <c:pt idx="4">
                  <c:v>60.305999999999997</c:v>
                </c:pt>
                <c:pt idx="5">
                  <c:v>68.653000000000006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52-8A42-A6C7-959ABD03F8F4}"/>
            </c:ext>
          </c:extLst>
        </c:ser>
        <c:ser>
          <c:idx val="3"/>
          <c:order val="1"/>
          <c:tx>
            <c:strRef>
              <c:f>'4a'!$C$1</c:f>
              <c:strCache>
                <c:ptCount val="1"/>
                <c:pt idx="0">
                  <c:v>kinetic limit (µM/hr)</c:v>
                </c:pt>
              </c:strCache>
            </c:strRef>
          </c:tx>
          <c:spPr>
            <a:ln w="254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forward val="1"/>
            <c:dispRSqr val="0"/>
            <c:dispEq val="0"/>
          </c:trendline>
          <c:xVal>
            <c:numRef>
              <c:f>'4a'!$A$2:$A$7</c:f>
              <c:numCache>
                <c:formatCode>General</c:formatCode>
                <c:ptCount val="6"/>
                <c:pt idx="0">
                  <c:v>0</c:v>
                </c:pt>
                <c:pt idx="1">
                  <c:v>5.5E-2</c:v>
                </c:pt>
                <c:pt idx="2">
                  <c:v>9.2999999999999999E-2</c:v>
                </c:pt>
                <c:pt idx="3">
                  <c:v>0.18099999999999999</c:v>
                </c:pt>
                <c:pt idx="4">
                  <c:v>0.40500000000000003</c:v>
                </c:pt>
                <c:pt idx="5">
                  <c:v>0.99</c:v>
                </c:pt>
              </c:numCache>
            </c:numRef>
          </c:xVal>
          <c:yVal>
            <c:numRef>
              <c:f>'4a'!$C$2:$C$7</c:f>
              <c:numCache>
                <c:formatCode>0.00</c:formatCode>
                <c:ptCount val="6"/>
                <c:pt idx="0">
                  <c:v>69.579831932773118</c:v>
                </c:pt>
                <c:pt idx="1">
                  <c:v>69.579831932773118</c:v>
                </c:pt>
                <c:pt idx="2">
                  <c:v>69.579831932773118</c:v>
                </c:pt>
                <c:pt idx="3">
                  <c:v>69.579831932773118</c:v>
                </c:pt>
                <c:pt idx="4">
                  <c:v>69.579831932773118</c:v>
                </c:pt>
                <c:pt idx="5">
                  <c:v>69.579831932773118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52-8A42-A6C7-959ABD03F8F4}"/>
            </c:ext>
          </c:extLst>
        </c:ser>
        <c:ser>
          <c:idx val="1"/>
          <c:order val="2"/>
          <c:tx>
            <c:strRef>
              <c:f>'4a'!$I$1</c:f>
              <c:strCache>
                <c:ptCount val="1"/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'4a'!$A$2:$A$7</c:f>
              <c:numCache>
                <c:formatCode>General</c:formatCode>
                <c:ptCount val="6"/>
                <c:pt idx="0">
                  <c:v>0</c:v>
                </c:pt>
                <c:pt idx="1">
                  <c:v>5.5E-2</c:v>
                </c:pt>
                <c:pt idx="2">
                  <c:v>9.2999999999999999E-2</c:v>
                </c:pt>
                <c:pt idx="3">
                  <c:v>0.18099999999999999</c:v>
                </c:pt>
                <c:pt idx="4">
                  <c:v>0.40500000000000003</c:v>
                </c:pt>
                <c:pt idx="5">
                  <c:v>0.99</c:v>
                </c:pt>
              </c:numCache>
            </c:numRef>
          </c:xVal>
          <c:yVal>
            <c:numRef>
              <c:f>'4a'!$I$2:$I$7</c:f>
              <c:numCache>
                <c:formatCode>General</c:formatCode>
                <c:ptCount val="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52-8A42-A6C7-959ABD03F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227679"/>
        <c:axId val="1027542303"/>
      </c:scatterChart>
      <c:valAx>
        <c:axId val="1020227679"/>
        <c:scaling>
          <c:orientation val="minMax"/>
          <c:max val="1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[AMP]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542303"/>
        <c:crosses val="autoZero"/>
        <c:crossBetween val="midCat"/>
      </c:valAx>
      <c:valAx>
        <c:axId val="102754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 (µM/hr)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227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 (blue)</a:t>
            </a:r>
            <a:r>
              <a:rPr lang="en-US" baseline="0"/>
              <a:t>, Model (orange)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'4b,c'!$C$1</c:f>
              <c:strCache>
                <c:ptCount val="1"/>
                <c:pt idx="0">
                  <c:v>overall rate (uM/h)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'4b,c'!$D$2:$D$7</c:f>
                <c:numCache>
                  <c:formatCode>General</c:formatCode>
                  <c:ptCount val="6"/>
                  <c:pt idx="0">
                    <c:v>0.58999999999999986</c:v>
                  </c:pt>
                  <c:pt idx="1">
                    <c:v>1.2000000000000002</c:v>
                  </c:pt>
                  <c:pt idx="2">
                    <c:v>5.6999999999999993</c:v>
                  </c:pt>
                  <c:pt idx="3">
                    <c:v>10.199999999999996</c:v>
                  </c:pt>
                  <c:pt idx="4">
                    <c:v>11.799999999999997</c:v>
                  </c:pt>
                  <c:pt idx="5">
                    <c:v>13.299999999999997</c:v>
                  </c:pt>
                </c:numCache>
              </c:numRef>
            </c:plus>
            <c:minus>
              <c:numRef>
                <c:f>'4b,c'!$D$2:$D$7</c:f>
                <c:numCache>
                  <c:formatCode>General</c:formatCode>
                  <c:ptCount val="6"/>
                  <c:pt idx="0">
                    <c:v>0.58999999999999986</c:v>
                  </c:pt>
                  <c:pt idx="1">
                    <c:v>1.2000000000000002</c:v>
                  </c:pt>
                  <c:pt idx="2">
                    <c:v>5.6999999999999993</c:v>
                  </c:pt>
                  <c:pt idx="3">
                    <c:v>10.199999999999996</c:v>
                  </c:pt>
                  <c:pt idx="4">
                    <c:v>11.799999999999997</c:v>
                  </c:pt>
                  <c:pt idx="5">
                    <c:v>13.299999999999997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'4b,c'!$A$2:$A$7</c:f>
              <c:numCache>
                <c:formatCode>General</c:formatCode>
                <c:ptCount val="6"/>
                <c:pt idx="0">
                  <c:v>0</c:v>
                </c:pt>
                <c:pt idx="1">
                  <c:v>5.5E-2</c:v>
                </c:pt>
                <c:pt idx="2">
                  <c:v>9.2999999999999999E-2</c:v>
                </c:pt>
                <c:pt idx="3">
                  <c:v>0.18099999999999999</c:v>
                </c:pt>
                <c:pt idx="4">
                  <c:v>0.40500000000000003</c:v>
                </c:pt>
                <c:pt idx="5">
                  <c:v>0.99</c:v>
                </c:pt>
              </c:numCache>
            </c:numRef>
          </c:xVal>
          <c:yVal>
            <c:numRef>
              <c:f>'4b,c'!$C$2:$C$7</c:f>
              <c:numCache>
                <c:formatCode>General</c:formatCode>
                <c:ptCount val="6"/>
                <c:pt idx="0">
                  <c:v>3.0030000000000001</c:v>
                </c:pt>
                <c:pt idx="1">
                  <c:v>6.3019999999999996</c:v>
                </c:pt>
                <c:pt idx="2">
                  <c:v>29.760999999999999</c:v>
                </c:pt>
                <c:pt idx="3">
                  <c:v>52.002000000000002</c:v>
                </c:pt>
                <c:pt idx="4">
                  <c:v>60.305999999999997</c:v>
                </c:pt>
                <c:pt idx="5">
                  <c:v>68.653000000000006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3-D242-885B-3AD83445C50F}"/>
            </c:ext>
          </c:extLst>
        </c:ser>
        <c:ser>
          <c:idx val="3"/>
          <c:order val="1"/>
          <c:tx>
            <c:strRef>
              <c:f>'4b,c'!#REF!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'4b,c'!$A$2:$A$7</c:f>
              <c:numCache>
                <c:formatCode>General</c:formatCode>
                <c:ptCount val="6"/>
                <c:pt idx="0">
                  <c:v>0</c:v>
                </c:pt>
                <c:pt idx="1">
                  <c:v>5.5E-2</c:v>
                </c:pt>
                <c:pt idx="2">
                  <c:v>9.2999999999999999E-2</c:v>
                </c:pt>
                <c:pt idx="3">
                  <c:v>0.18099999999999999</c:v>
                </c:pt>
                <c:pt idx="4">
                  <c:v>0.40500000000000003</c:v>
                </c:pt>
                <c:pt idx="5">
                  <c:v>0.99</c:v>
                </c:pt>
              </c:numCache>
            </c:numRef>
          </c:xVal>
          <c:yVal>
            <c:numRef>
              <c:f>'4b,c'!#REF!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A63-D242-885B-3AD83445C50F}"/>
            </c:ext>
          </c:extLst>
        </c:ser>
        <c:ser>
          <c:idx val="1"/>
          <c:order val="2"/>
          <c:tx>
            <c:v>Model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'4b,c'!$A$2:$A$7</c:f>
              <c:numCache>
                <c:formatCode>General</c:formatCode>
                <c:ptCount val="6"/>
                <c:pt idx="0">
                  <c:v>0</c:v>
                </c:pt>
                <c:pt idx="1">
                  <c:v>5.5E-2</c:v>
                </c:pt>
                <c:pt idx="2">
                  <c:v>9.2999999999999999E-2</c:v>
                </c:pt>
                <c:pt idx="3">
                  <c:v>0.18099999999999999</c:v>
                </c:pt>
                <c:pt idx="4">
                  <c:v>0.40500000000000003</c:v>
                </c:pt>
                <c:pt idx="5">
                  <c:v>0.99</c:v>
                </c:pt>
              </c:numCache>
            </c:numRef>
          </c:xVal>
          <c:yVal>
            <c:numRef>
              <c:f>'4b,c'!$G$2:$G$7</c:f>
              <c:numCache>
                <c:formatCode>General</c:formatCode>
                <c:ptCount val="6"/>
                <c:pt idx="0">
                  <c:v>3.0030030684267368</c:v>
                </c:pt>
                <c:pt idx="1">
                  <c:v>11.528328955139726</c:v>
                </c:pt>
                <c:pt idx="2">
                  <c:v>26.349573312700254</c:v>
                </c:pt>
                <c:pt idx="3">
                  <c:v>51.804439873777866</c:v>
                </c:pt>
                <c:pt idx="4">
                  <c:v>65.737056905125911</c:v>
                </c:pt>
                <c:pt idx="5">
                  <c:v>68.325018840214184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A63-D242-885B-3AD83445C5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0227679"/>
        <c:axId val="1027542303"/>
      </c:scatterChart>
      <c:valAx>
        <c:axId val="1020227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[AMP]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7542303"/>
        <c:crosses val="autoZero"/>
        <c:crossBetween val="midCat"/>
      </c:valAx>
      <c:valAx>
        <c:axId val="102754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  <a:r>
                  <a:rPr lang="en-US" baseline="0"/>
                  <a:t> (µM/hr)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02276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NEW</a:t>
            </a:r>
            <a:r>
              <a:rPr lang="en-US" baseline="0"/>
              <a:t> graph of Data (blue) and Model (orange), but it's not any better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Extra!$B$1</c:f>
              <c:strCache>
                <c:ptCount val="1"/>
                <c:pt idx="0">
                  <c:v>overall rate (µM/h)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Extra!$J$2:$J$7</c:f>
                <c:numCache>
                  <c:formatCode>General</c:formatCode>
                  <c:ptCount val="6"/>
                  <c:pt idx="0">
                    <c:v>0.58999999999999986</c:v>
                  </c:pt>
                  <c:pt idx="1">
                    <c:v>1.2000000000000002</c:v>
                  </c:pt>
                  <c:pt idx="2">
                    <c:v>5.6999999999999993</c:v>
                  </c:pt>
                  <c:pt idx="3">
                    <c:v>10.199999999999996</c:v>
                  </c:pt>
                  <c:pt idx="4">
                    <c:v>11.799999999999997</c:v>
                  </c:pt>
                  <c:pt idx="5">
                    <c:v>13.299999999999997</c:v>
                  </c:pt>
                </c:numCache>
              </c:numRef>
            </c:plus>
            <c:minus>
              <c:numRef>
                <c:f>Extra!$J$2:$J$7</c:f>
                <c:numCache>
                  <c:formatCode>General</c:formatCode>
                  <c:ptCount val="6"/>
                  <c:pt idx="0">
                    <c:v>0.58999999999999986</c:v>
                  </c:pt>
                  <c:pt idx="1">
                    <c:v>1.2000000000000002</c:v>
                  </c:pt>
                  <c:pt idx="2">
                    <c:v>5.6999999999999993</c:v>
                  </c:pt>
                  <c:pt idx="3">
                    <c:v>10.199999999999996</c:v>
                  </c:pt>
                  <c:pt idx="4">
                    <c:v>11.799999999999997</c:v>
                  </c:pt>
                  <c:pt idx="5">
                    <c:v>13.299999999999997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Extra!$A$2:$A$7</c:f>
              <c:numCache>
                <c:formatCode>General</c:formatCode>
                <c:ptCount val="6"/>
                <c:pt idx="0">
                  <c:v>0</c:v>
                </c:pt>
                <c:pt idx="1">
                  <c:v>5.5E-2</c:v>
                </c:pt>
                <c:pt idx="2">
                  <c:v>9.2999999999999999E-2</c:v>
                </c:pt>
                <c:pt idx="3">
                  <c:v>0.18099999999999999</c:v>
                </c:pt>
                <c:pt idx="4">
                  <c:v>0.40500000000000003</c:v>
                </c:pt>
                <c:pt idx="5">
                  <c:v>0.99</c:v>
                </c:pt>
              </c:numCache>
            </c:numRef>
          </c:xVal>
          <c:yVal>
            <c:numRef>
              <c:f>Extra!$B$2:$B$7</c:f>
              <c:numCache>
                <c:formatCode>General</c:formatCode>
                <c:ptCount val="6"/>
                <c:pt idx="0">
                  <c:v>3.0030000000000001</c:v>
                </c:pt>
                <c:pt idx="1">
                  <c:v>6.3019999999999996</c:v>
                </c:pt>
                <c:pt idx="2">
                  <c:v>29.760999999999999</c:v>
                </c:pt>
                <c:pt idx="3">
                  <c:v>52.002000000000002</c:v>
                </c:pt>
                <c:pt idx="4">
                  <c:v>60.305999999999997</c:v>
                </c:pt>
                <c:pt idx="5">
                  <c:v>68.653000000000006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D-0244-844C-31B88B4B6E01}"/>
            </c:ext>
          </c:extLst>
        </c:ser>
        <c:ser>
          <c:idx val="1"/>
          <c:order val="1"/>
          <c:tx>
            <c:strRef>
              <c:f>Extra!$F$1</c:f>
              <c:strCache>
                <c:ptCount val="1"/>
                <c:pt idx="0">
                  <c:v>guess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Extra!$A$2:$A$7</c:f>
              <c:numCache>
                <c:formatCode>General</c:formatCode>
                <c:ptCount val="6"/>
                <c:pt idx="0">
                  <c:v>0</c:v>
                </c:pt>
                <c:pt idx="1">
                  <c:v>5.5E-2</c:v>
                </c:pt>
                <c:pt idx="2">
                  <c:v>9.2999999999999999E-2</c:v>
                </c:pt>
                <c:pt idx="3">
                  <c:v>0.18099999999999999</c:v>
                </c:pt>
                <c:pt idx="4">
                  <c:v>0.40500000000000003</c:v>
                </c:pt>
                <c:pt idx="5">
                  <c:v>0.99</c:v>
                </c:pt>
              </c:numCache>
            </c:numRef>
          </c:xVal>
          <c:yVal>
            <c:numRef>
              <c:f>Extra!$F$2:$F$7</c:f>
              <c:numCache>
                <c:formatCode>General</c:formatCode>
                <c:ptCount val="6"/>
                <c:pt idx="0">
                  <c:v>3.0030030684267368</c:v>
                </c:pt>
                <c:pt idx="1">
                  <c:v>11.619574045752564</c:v>
                </c:pt>
                <c:pt idx="2">
                  <c:v>26.331352424274215</c:v>
                </c:pt>
                <c:pt idx="3">
                  <c:v>51.663627505549911</c:v>
                </c:pt>
                <c:pt idx="4">
                  <c:v>65.843811146310202</c:v>
                </c:pt>
                <c:pt idx="5">
                  <c:v>68.557937079228623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C4D-0244-844C-31B88B4B6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378944"/>
        <c:axId val="595380624"/>
      </c:scatterChart>
      <c:valAx>
        <c:axId val="59537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[AMP]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380624"/>
        <c:crosses val="autoZero"/>
        <c:crossBetween val="midCat"/>
      </c:valAx>
      <c:valAx>
        <c:axId val="595380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Rate</a:t>
                </a:r>
                <a:r>
                  <a:rPr lang="en-US" baseline="0"/>
                  <a:t> (µM/hr)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37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819150</xdr:colOff>
      <xdr:row>23</xdr:row>
      <xdr:rowOff>25400</xdr:rowOff>
    </xdr:from>
    <xdr:to>
      <xdr:col>20</xdr:col>
      <xdr:colOff>101600</xdr:colOff>
      <xdr:row>36</xdr:row>
      <xdr:rowOff>196850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D69B76-27B5-A244-BFA2-A2535AE13C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101600</xdr:colOff>
      <xdr:row>10</xdr:row>
      <xdr:rowOff>0</xdr:rowOff>
    </xdr:from>
    <xdr:to>
      <xdr:col>13</xdr:col>
      <xdr:colOff>800100</xdr:colOff>
      <xdr:row>25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A19BC6-53AA-C942-8AC4-56C2C05208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101600</xdr:colOff>
      <xdr:row>6</xdr:row>
      <xdr:rowOff>133350</xdr:rowOff>
    </xdr:from>
    <xdr:to>
      <xdr:col>14</xdr:col>
      <xdr:colOff>546100</xdr:colOff>
      <xdr:row>23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6314243-4B61-594E-B49B-476801B360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444500</xdr:colOff>
      <xdr:row>6</xdr:row>
      <xdr:rowOff>50800</xdr:rowOff>
    </xdr:from>
    <xdr:to>
      <xdr:col>12</xdr:col>
      <xdr:colOff>203200</xdr:colOff>
      <xdr:row>21</xdr:row>
      <xdr:rowOff>63500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7154EC-7000-8642-9386-FB9BE7C07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257763</xdr:colOff>
      <xdr:row>2</xdr:row>
      <xdr:rowOff>107166</xdr:rowOff>
    </xdr:from>
    <xdr:to>
      <xdr:col>14</xdr:col>
      <xdr:colOff>701149</xdr:colOff>
      <xdr:row>18</xdr:row>
      <xdr:rowOff>3792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D77EB58-93CC-7E40-ADA4-10360F3E12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234950</xdr:colOff>
      <xdr:row>9</xdr:row>
      <xdr:rowOff>120650</xdr:rowOff>
    </xdr:from>
    <xdr:to>
      <xdr:col>13</xdr:col>
      <xdr:colOff>254000</xdr:colOff>
      <xdr:row>24</xdr:row>
      <xdr:rowOff>190500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5D64A2F-F735-D64F-87E2-931C79756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9DC7F7-127B-C044-AE8D-F16B1BC47B96}">
  <dimension ref="A1:R24"/>
  <sheetViews>
    <sheetView workbookViewId="0">
      <selection activeCell="F23" sqref="F23"/>
    </sheetView>
  </sheetViews>
  <sheetFormatPr baseColWidth="10" defaultRowHeight="16"/>
  <cols>
    <col min="2" max="2" width="10.83203125" style="1"/>
    <col min="4" max="4" width="12.1640625" bestFit="1" customWidth="1"/>
    <col min="12" max="12" width="12.1640625" bestFit="1" customWidth="1"/>
    <col min="17" max="17" width="12.1640625" bestFit="1" customWidth="1"/>
  </cols>
  <sheetData>
    <row r="1" spans="1:18">
      <c r="A1" s="2" t="s">
        <v>13</v>
      </c>
      <c r="F1" s="2" t="s">
        <v>77</v>
      </c>
      <c r="K1" s="2" t="s">
        <v>78</v>
      </c>
      <c r="L1" s="2" t="s">
        <v>79</v>
      </c>
      <c r="M1" s="2" t="s">
        <v>80</v>
      </c>
      <c r="P1" s="2" t="s">
        <v>78</v>
      </c>
      <c r="Q1" s="2" t="s">
        <v>79</v>
      </c>
      <c r="R1" s="2" t="s">
        <v>80</v>
      </c>
    </row>
    <row r="2" spans="1:18">
      <c r="A2" t="s">
        <v>0</v>
      </c>
      <c r="B2" s="1">
        <f>10^-4</f>
        <v>1E-4</v>
      </c>
      <c r="C2" t="s">
        <v>1</v>
      </c>
      <c r="F2" t="s">
        <v>0</v>
      </c>
      <c r="G2" s="1">
        <f>10^-4</f>
        <v>1E-4</v>
      </c>
      <c r="H2" t="s">
        <v>1</v>
      </c>
      <c r="K2" s="12">
        <v>9.9999999999999995E-7</v>
      </c>
      <c r="L2">
        <f t="shared" ref="L2:L7" si="0">($G$12*$G$13^2/K2)^(1/3)</f>
        <v>1.0000000000000009E-4</v>
      </c>
      <c r="M2" s="1">
        <f t="shared" ref="M2:M7" si="1">-$G$16*$G$7*$G$9*$G$10*(1+$G$3/$G$6)/($G$16*$G$7*$G$5*$G$10-$G$3*($G$4*$G$7/$G$2*$G$10+L2))</f>
        <v>670.45984527557471</v>
      </c>
      <c r="P2">
        <v>1E-3</v>
      </c>
      <c r="Q2">
        <f t="shared" ref="Q2:Q22" si="2">($G$12*$G$13^2/P2)^(1/3)</f>
        <v>1.0000000000000016E-5</v>
      </c>
      <c r="R2" s="1">
        <f t="shared" ref="R2:R22" si="3">-$G$16*$G$7*$G$9*$G$10*(1+$G$3/$G$6)/($G$16*$G$7*$G$5*$G$10-$G$3*($G$4*$G$7/$G$2*$G$10+Q2))</f>
        <v>6676.8130627716064</v>
      </c>
    </row>
    <row r="3" spans="1:18">
      <c r="A3" t="s">
        <v>2</v>
      </c>
      <c r="B3" s="1">
        <v>5.0000000000000001E-3</v>
      </c>
      <c r="C3" t="s">
        <v>1</v>
      </c>
      <c r="F3" t="s">
        <v>2</v>
      </c>
      <c r="G3" s="1">
        <v>5.0000000000000001E-3</v>
      </c>
      <c r="H3" t="s">
        <v>1</v>
      </c>
      <c r="K3" s="12">
        <v>1.0000000000000001E-5</v>
      </c>
      <c r="L3">
        <f t="shared" si="0"/>
        <v>4.6415888336127784E-5</v>
      </c>
      <c r="M3" s="1">
        <f t="shared" si="1"/>
        <v>1443.6913143734812</v>
      </c>
      <c r="P3">
        <v>0.01</v>
      </c>
      <c r="Q3">
        <f t="shared" si="2"/>
        <v>4.6415888336127904E-6</v>
      </c>
      <c r="R3" s="1">
        <f t="shared" si="3"/>
        <v>14308.695177848911</v>
      </c>
    </row>
    <row r="4" spans="1:18">
      <c r="A4" t="s">
        <v>3</v>
      </c>
      <c r="B4" s="1">
        <v>3100000</v>
      </c>
      <c r="C4" t="s">
        <v>4</v>
      </c>
      <c r="F4" t="s">
        <v>3</v>
      </c>
      <c r="G4" s="12">
        <v>5.1400000000000003E-21</v>
      </c>
      <c r="H4" t="s">
        <v>19</v>
      </c>
      <c r="K4" s="12">
        <v>1E-4</v>
      </c>
      <c r="L4">
        <f t="shared" si="0"/>
        <v>2.1544346900318854E-5</v>
      </c>
      <c r="M4" s="1">
        <f t="shared" si="1"/>
        <v>3106.7676934551282</v>
      </c>
      <c r="P4">
        <v>0.1</v>
      </c>
      <c r="Q4">
        <f t="shared" si="2"/>
        <v>2.1544346900318831E-6</v>
      </c>
      <c r="R4" s="1">
        <f t="shared" si="3"/>
        <v>30479.920864910247</v>
      </c>
    </row>
    <row r="5" spans="1:18">
      <c r="A5" t="s">
        <v>5</v>
      </c>
      <c r="B5" s="1">
        <v>2.5000000000000001E-2</v>
      </c>
      <c r="C5" t="s">
        <v>1</v>
      </c>
      <c r="F5" t="s">
        <v>5</v>
      </c>
      <c r="G5" s="1">
        <v>2.5000000000000001E-2</v>
      </c>
      <c r="H5" t="s">
        <v>1</v>
      </c>
      <c r="K5" s="12">
        <v>1E-3</v>
      </c>
      <c r="L5">
        <f t="shared" si="0"/>
        <v>1.0000000000000016E-5</v>
      </c>
      <c r="M5" s="1">
        <f t="shared" si="1"/>
        <v>6676.8130627716064</v>
      </c>
      <c r="P5">
        <v>0.25</v>
      </c>
      <c r="Q5">
        <f t="shared" si="2"/>
        <v>1.5874010519681995E-6</v>
      </c>
      <c r="R5" s="1">
        <f t="shared" si="3"/>
        <v>41059.312713115767</v>
      </c>
    </row>
    <row r="6" spans="1:18">
      <c r="A6" t="s">
        <v>6</v>
      </c>
      <c r="B6" s="1">
        <v>8.0000000000000004E-4</v>
      </c>
      <c r="C6" t="s">
        <v>1</v>
      </c>
      <c r="F6" t="s">
        <v>6</v>
      </c>
      <c r="G6" s="1">
        <v>8.0000000000000004E-4</v>
      </c>
      <c r="H6" t="s">
        <v>1</v>
      </c>
      <c r="K6" s="12">
        <v>0.01</v>
      </c>
      <c r="L6">
        <f t="shared" si="0"/>
        <v>4.6415888336127904E-6</v>
      </c>
      <c r="M6" s="1">
        <f t="shared" si="1"/>
        <v>14308.695177848911</v>
      </c>
      <c r="P6">
        <v>0.5</v>
      </c>
      <c r="Q6">
        <f t="shared" si="2"/>
        <v>1.2599210498948744E-6</v>
      </c>
      <c r="R6" s="1">
        <f t="shared" si="3"/>
        <v>51353.52408105947</v>
      </c>
    </row>
    <row r="7" spans="1:18">
      <c r="A7" t="s">
        <v>7</v>
      </c>
      <c r="B7" s="1">
        <v>18</v>
      </c>
      <c r="C7" t="s">
        <v>8</v>
      </c>
      <c r="F7" t="s">
        <v>7</v>
      </c>
      <c r="G7" s="1">
        <v>18</v>
      </c>
      <c r="H7" t="s">
        <v>8</v>
      </c>
      <c r="K7" s="12">
        <v>0.1</v>
      </c>
      <c r="L7">
        <f t="shared" si="0"/>
        <v>2.1544346900318831E-6</v>
      </c>
      <c r="M7" s="1">
        <f t="shared" si="1"/>
        <v>30479.920864910247</v>
      </c>
      <c r="P7">
        <v>1</v>
      </c>
      <c r="Q7">
        <f t="shared" si="2"/>
        <v>1.0000000000000004E-6</v>
      </c>
      <c r="R7" s="1">
        <f t="shared" si="3"/>
        <v>64111.215185517882</v>
      </c>
    </row>
    <row r="8" spans="1:18">
      <c r="P8">
        <v>1.5</v>
      </c>
      <c r="Q8">
        <f t="shared" si="2"/>
        <v>8.7358046473629891E-7</v>
      </c>
      <c r="R8" s="1">
        <f t="shared" si="3"/>
        <v>72922.427933445724</v>
      </c>
    </row>
    <row r="9" spans="1:18">
      <c r="A9" t="s">
        <v>9</v>
      </c>
      <c r="B9" s="1">
        <f>10^3</f>
        <v>1000</v>
      </c>
      <c r="C9" t="s">
        <v>10</v>
      </c>
      <c r="F9" t="s">
        <v>9</v>
      </c>
      <c r="G9" s="1">
        <f>10^3</f>
        <v>1000</v>
      </c>
      <c r="H9" t="s">
        <v>20</v>
      </c>
      <c r="P9">
        <v>2</v>
      </c>
      <c r="Q9">
        <f t="shared" si="2"/>
        <v>7.9370052598409963E-7</v>
      </c>
      <c r="R9" s="1">
        <f t="shared" si="3"/>
        <v>79857.324153908805</v>
      </c>
    </row>
    <row r="10" spans="1:18">
      <c r="A10" t="s">
        <v>11</v>
      </c>
      <c r="B10" s="1">
        <f>300000000</f>
        <v>300000000</v>
      </c>
      <c r="C10" t="s">
        <v>12</v>
      </c>
      <c r="F10" t="s">
        <v>11</v>
      </c>
      <c r="G10" s="1">
        <f>300000000</f>
        <v>300000000</v>
      </c>
      <c r="H10" t="s">
        <v>12</v>
      </c>
      <c r="P10">
        <v>2.5</v>
      </c>
      <c r="Q10">
        <f t="shared" si="2"/>
        <v>7.3680629972807793E-7</v>
      </c>
      <c r="R10" s="1">
        <f t="shared" si="3"/>
        <v>85659.413543007337</v>
      </c>
    </row>
    <row r="11" spans="1:18">
      <c r="P11">
        <v>3</v>
      </c>
      <c r="Q11">
        <f t="shared" si="2"/>
        <v>6.933612743506344E-7</v>
      </c>
      <c r="R11" s="1">
        <f t="shared" si="3"/>
        <v>90691.009474939186</v>
      </c>
    </row>
    <row r="12" spans="1:18">
      <c r="A12" t="s">
        <v>15</v>
      </c>
      <c r="B12" s="1">
        <f>100</f>
        <v>100</v>
      </c>
      <c r="C12" t="s">
        <v>1</v>
      </c>
      <c r="F12" t="s">
        <v>15</v>
      </c>
      <c r="G12" s="1">
        <f>100</f>
        <v>100</v>
      </c>
      <c r="H12" t="s">
        <v>1</v>
      </c>
      <c r="K12" s="12"/>
      <c r="M12" s="1"/>
      <c r="P12">
        <v>3.5</v>
      </c>
      <c r="Q12">
        <f t="shared" si="2"/>
        <v>6.5863375600835056E-7</v>
      </c>
      <c r="R12" s="1">
        <f t="shared" si="3"/>
        <v>95159.021381947576</v>
      </c>
    </row>
    <row r="13" spans="1:18">
      <c r="A13" t="s">
        <v>16</v>
      </c>
      <c r="B13" s="1">
        <f>0.0000000001</f>
        <v>1E-10</v>
      </c>
      <c r="C13" t="s">
        <v>17</v>
      </c>
      <c r="F13" t="s">
        <v>16</v>
      </c>
      <c r="G13" s="1">
        <f>0.0000000001</f>
        <v>1E-10</v>
      </c>
      <c r="H13" t="s">
        <v>17</v>
      </c>
      <c r="K13" s="12"/>
      <c r="M13" s="1"/>
      <c r="P13">
        <v>4</v>
      </c>
      <c r="Q13">
        <f t="shared" si="2"/>
        <v>6.2996052494743606E-7</v>
      </c>
      <c r="R13" s="1">
        <f t="shared" si="3"/>
        <v>99193.972269939608</v>
      </c>
    </row>
    <row r="14" spans="1:18">
      <c r="M14" s="1"/>
      <c r="P14">
        <v>4.5</v>
      </c>
      <c r="Q14">
        <f t="shared" si="2"/>
        <v>6.0570686427738042E-7</v>
      </c>
      <c r="R14" s="1">
        <f t="shared" si="3"/>
        <v>102884.06309474946</v>
      </c>
    </row>
    <row r="15" spans="1:18">
      <c r="F15" s="2" t="s">
        <v>76</v>
      </c>
      <c r="M15" s="1"/>
      <c r="P15">
        <v>5</v>
      </c>
      <c r="Q15">
        <f t="shared" si="2"/>
        <v>5.8480354764257333E-7</v>
      </c>
      <c r="R15" s="1">
        <f t="shared" si="3"/>
        <v>106291.98953191885</v>
      </c>
    </row>
    <row r="16" spans="1:18">
      <c r="F16" t="s">
        <v>14</v>
      </c>
      <c r="G16" s="12">
        <f>$G$3*$G$4/($G$2*($G$5+$G$3))</f>
        <v>8.5666666666666658E-18</v>
      </c>
      <c r="H16" t="s">
        <v>18</v>
      </c>
      <c r="M16" s="1"/>
      <c r="P16">
        <v>5.5</v>
      </c>
      <c r="Q16">
        <f t="shared" si="2"/>
        <v>5.665163349427057E-7</v>
      </c>
      <c r="R16" s="1">
        <f t="shared" si="3"/>
        <v>109464.08367136375</v>
      </c>
    </row>
    <row r="17" spans="7:18">
      <c r="G17" s="4"/>
      <c r="M17" s="1"/>
      <c r="P17">
        <v>6</v>
      </c>
      <c r="Q17">
        <f t="shared" si="2"/>
        <v>5.5032120814910481E-7</v>
      </c>
      <c r="R17" s="1">
        <f t="shared" si="3"/>
        <v>112435.65684562305</v>
      </c>
    </row>
    <row r="18" spans="7:18">
      <c r="M18" s="1"/>
      <c r="P18">
        <v>6.5</v>
      </c>
      <c r="Q18">
        <f t="shared" si="2"/>
        <v>5.358322898371244E-7</v>
      </c>
      <c r="R18" s="1">
        <f t="shared" si="3"/>
        <v>115234.30420074594</v>
      </c>
    </row>
    <row r="19" spans="7:18">
      <c r="M19" s="1"/>
      <c r="P19">
        <v>7</v>
      </c>
      <c r="Q19">
        <f t="shared" si="2"/>
        <v>5.2275795857471075E-7</v>
      </c>
      <c r="R19" s="1">
        <f t="shared" si="3"/>
        <v>117882.04394816638</v>
      </c>
    </row>
    <row r="20" spans="7:18">
      <c r="M20" s="1"/>
      <c r="P20">
        <v>7.5</v>
      </c>
      <c r="Q20">
        <f t="shared" si="2"/>
        <v>5.1087295492903621E-7</v>
      </c>
      <c r="R20" s="1">
        <f t="shared" si="3"/>
        <v>120396.75522074221</v>
      </c>
    </row>
    <row r="21" spans="7:18">
      <c r="M21" s="1"/>
      <c r="P21">
        <v>8</v>
      </c>
      <c r="Q21">
        <f t="shared" si="2"/>
        <v>5.0000000000000104E-7</v>
      </c>
      <c r="R21" s="1">
        <f t="shared" si="3"/>
        <v>122793.17541097618</v>
      </c>
    </row>
    <row r="22" spans="7:18">
      <c r="M22" s="1"/>
      <c r="P22">
        <v>10</v>
      </c>
      <c r="Q22">
        <f t="shared" si="2"/>
        <v>4.6415888336127768E-7</v>
      </c>
      <c r="R22" s="1">
        <f t="shared" si="3"/>
        <v>131415.59253896659</v>
      </c>
    </row>
    <row r="23" spans="7:18">
      <c r="M23" s="1"/>
      <c r="R23" s="1"/>
    </row>
    <row r="24" spans="7:18">
      <c r="M24" s="1"/>
      <c r="R2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5429B-43CB-B34B-9FF5-4F6E8DBC4D78}">
  <dimension ref="A1:I22"/>
  <sheetViews>
    <sheetView workbookViewId="0">
      <selection activeCell="B13" sqref="B13"/>
    </sheetView>
  </sheetViews>
  <sheetFormatPr baseColWidth="10" defaultRowHeight="16"/>
  <cols>
    <col min="2" max="2" width="12.1640625" bestFit="1" customWidth="1"/>
    <col min="8" max="8" width="10.83203125" style="4"/>
    <col min="9" max="9" width="12.1640625" style="4" bestFit="1" customWidth="1"/>
  </cols>
  <sheetData>
    <row r="1" spans="1:9">
      <c r="A1" s="2" t="s">
        <v>31</v>
      </c>
      <c r="G1" t="s">
        <v>47</v>
      </c>
      <c r="H1" s="4" t="s">
        <v>48</v>
      </c>
      <c r="I1" s="4" t="s">
        <v>50</v>
      </c>
    </row>
    <row r="2" spans="1:9">
      <c r="A2" t="s">
        <v>21</v>
      </c>
      <c r="B2">
        <v>1</v>
      </c>
      <c r="G2">
        <v>0</v>
      </c>
      <c r="H2" s="4">
        <f>$B$12*$B$13*$B$3*G2/($B$11*$B$4*($B$10+$B$9))</f>
        <v>0</v>
      </c>
      <c r="I2" s="4">
        <f>$B$20*$B$12*$B$13*$B$3*G2/($B$11*$B$4*($B$10+$B$9))</f>
        <v>0</v>
      </c>
    </row>
    <row r="3" spans="1:9">
      <c r="A3" t="s">
        <v>22</v>
      </c>
      <c r="B3" s="12">
        <f>0.575/1000000</f>
        <v>5.75E-7</v>
      </c>
      <c r="C3" t="s">
        <v>46</v>
      </c>
      <c r="G3">
        <v>0.05</v>
      </c>
      <c r="H3" s="4">
        <f t="shared" ref="H3:H22" si="0">$B$12*$B$13*$B$3*G3/($B$11*$B$4*($B$10+$B$9))</f>
        <v>1.1580202441180057E-5</v>
      </c>
      <c r="I3" s="4">
        <f>$B$20*$B$12*$B$13*$B$3*G3/($B$11*$B$4*($B$10+$B$9))</f>
        <v>2.3160404882360113E-5</v>
      </c>
    </row>
    <row r="4" spans="1:9">
      <c r="A4" t="s">
        <v>23</v>
      </c>
      <c r="B4" s="12">
        <f>200/1000*1000/(1000000)^3/$B$8</f>
        <v>1.5503875968992248E-3</v>
      </c>
      <c r="C4" t="s">
        <v>46</v>
      </c>
      <c r="G4">
        <v>0.1</v>
      </c>
      <c r="H4" s="4">
        <f t="shared" si="0"/>
        <v>2.3160404882360113E-5</v>
      </c>
      <c r="I4" s="4">
        <f>$B$20*$B$12*$B$13*$B$3*G4/($B$11*$B$4*($B$10+$B$9))</f>
        <v>4.6320809764720227E-5</v>
      </c>
    </row>
    <row r="5" spans="1:9">
      <c r="A5" t="s">
        <v>25</v>
      </c>
      <c r="B5">
        <v>300</v>
      </c>
      <c r="C5" t="s">
        <v>26</v>
      </c>
      <c r="G5">
        <v>0.15</v>
      </c>
      <c r="H5" s="4">
        <f t="shared" si="0"/>
        <v>3.4740607323540168E-5</v>
      </c>
      <c r="I5" s="4">
        <f>$B$20*$B$12*$B$13*$B$3*G5/($B$11*$B$4*($B$10+$B$9))</f>
        <v>6.9481214647080337E-5</v>
      </c>
    </row>
    <row r="6" spans="1:9">
      <c r="G6">
        <v>0.2</v>
      </c>
      <c r="H6" s="4">
        <f t="shared" si="0"/>
        <v>4.6320809764720227E-5</v>
      </c>
      <c r="I6" s="4">
        <f>$B$20*$B$12*$B$13*$B$3*G6/($B$11*$B$4*($B$10+$B$9))</f>
        <v>9.2641619529440454E-5</v>
      </c>
    </row>
    <row r="7" spans="1:9">
      <c r="A7" s="2" t="s">
        <v>32</v>
      </c>
      <c r="G7">
        <v>0.25</v>
      </c>
      <c r="H7" s="4">
        <f t="shared" si="0"/>
        <v>5.7901012205900279E-5</v>
      </c>
      <c r="I7" s="4">
        <f>$B$20*$B$12*$B$13*$B$3*G7/($B$11*$B$4*($B$10+$B$9))</f>
        <v>1.1580202441180056E-4</v>
      </c>
    </row>
    <row r="8" spans="1:9">
      <c r="A8" s="3" t="s">
        <v>39</v>
      </c>
      <c r="B8" s="12">
        <f>(1-$B$16)*$B$17</f>
        <v>1.2900000000000001E-13</v>
      </c>
      <c r="C8" t="s">
        <v>40</v>
      </c>
      <c r="G8">
        <v>0.3</v>
      </c>
      <c r="H8" s="4">
        <f t="shared" si="0"/>
        <v>6.9481214647080337E-5</v>
      </c>
      <c r="I8" s="4">
        <f>$B$20*$B$12*$B$13*$B$3*G8/($B$11*$B$4*($B$10+$B$9))</f>
        <v>1.3896242929416067E-4</v>
      </c>
    </row>
    <row r="9" spans="1:9">
      <c r="A9" t="s">
        <v>33</v>
      </c>
      <c r="B9" s="12">
        <f>-LN(0.5)/24/3600</f>
        <v>8.0225368120364038E-6</v>
      </c>
      <c r="C9" t="s">
        <v>1</v>
      </c>
      <c r="G9">
        <v>0.35</v>
      </c>
      <c r="H9" s="4">
        <f t="shared" si="0"/>
        <v>8.1061417088260389E-5</v>
      </c>
      <c r="I9" s="4">
        <f>$B$20*$B$12*$B$13*$B$3*G9/($B$11*$B$4*($B$10+$B$9))</f>
        <v>1.6212283417652078E-4</v>
      </c>
    </row>
    <row r="10" spans="1:9">
      <c r="A10" t="s">
        <v>34</v>
      </c>
      <c r="B10" s="12">
        <f>LN(2)/40/60</f>
        <v>2.8881132523331054E-4</v>
      </c>
      <c r="C10" t="s">
        <v>1</v>
      </c>
      <c r="G10">
        <v>0.4</v>
      </c>
      <c r="H10" s="4">
        <f t="shared" si="0"/>
        <v>9.2641619529440454E-5</v>
      </c>
      <c r="I10" s="4">
        <f>$B$20*$B$12*$B$13*$B$3*G10/($B$11*$B$4*($B$10+$B$9))</f>
        <v>1.8528323905888091E-4</v>
      </c>
    </row>
    <row r="11" spans="1:9">
      <c r="A11" t="s">
        <v>35</v>
      </c>
      <c r="B11" s="12">
        <f>14.5*1.5/300</f>
        <v>7.2499999999999995E-2</v>
      </c>
      <c r="C11" t="s">
        <v>36</v>
      </c>
      <c r="G11">
        <v>0.45</v>
      </c>
      <c r="H11" s="4">
        <f t="shared" si="0"/>
        <v>1.0422182197062051E-4</v>
      </c>
      <c r="I11" s="4">
        <f>$B$20*$B$12*$B$13*$B$3*G11/($B$11*$B$4*($B$10+$B$9))</f>
        <v>2.0844364394124101E-4</v>
      </c>
    </row>
    <row r="12" spans="1:9">
      <c r="A12" t="s">
        <v>37</v>
      </c>
      <c r="B12" s="12">
        <f>14.5/300</f>
        <v>4.8333333333333332E-2</v>
      </c>
      <c r="C12" t="s">
        <v>1</v>
      </c>
      <c r="G12">
        <v>0.5</v>
      </c>
      <c r="H12" s="4">
        <f t="shared" si="0"/>
        <v>1.1580202441180056E-4</v>
      </c>
      <c r="I12" s="4">
        <f>$B$20*$B$12*$B$13*$B$3*G12/($B$11*$B$4*($B$10+$B$9))</f>
        <v>2.3160404882360111E-4</v>
      </c>
    </row>
    <row r="13" spans="1:9">
      <c r="A13" t="s">
        <v>38</v>
      </c>
      <c r="B13" s="12">
        <f>0.8*27000/$B$8/$B$18*1000</f>
        <v>2.7805024985904389E-4</v>
      </c>
      <c r="C13" t="s">
        <v>46</v>
      </c>
      <c r="G13">
        <v>0.55000000000000004</v>
      </c>
      <c r="H13" s="4">
        <f t="shared" si="0"/>
        <v>1.2738222685298062E-4</v>
      </c>
      <c r="I13" s="4">
        <f>$B$20*$B$12*$B$13*$B$3*G13/($B$11*$B$4*($B$10+$B$9))</f>
        <v>2.5476445370596124E-4</v>
      </c>
    </row>
    <row r="14" spans="1:9">
      <c r="G14">
        <v>0.6</v>
      </c>
      <c r="H14" s="4">
        <f t="shared" si="0"/>
        <v>1.3896242929416067E-4</v>
      </c>
      <c r="I14" s="4">
        <f>$B$20*$B$12*$B$13*$B$3*G14/($B$11*$B$4*($B$10+$B$9))</f>
        <v>2.7792485858832135E-4</v>
      </c>
    </row>
    <row r="15" spans="1:9">
      <c r="A15" s="2" t="s">
        <v>41</v>
      </c>
      <c r="G15">
        <v>0.65</v>
      </c>
      <c r="H15" s="4">
        <f t="shared" si="0"/>
        <v>1.5054263173534073E-4</v>
      </c>
      <c r="I15" s="4">
        <f>$B$20*$B$12*$B$13*$B$3*G15/($B$11*$B$4*($B$10+$B$9))</f>
        <v>3.0108526347068145E-4</v>
      </c>
    </row>
    <row r="16" spans="1:9">
      <c r="A16" t="s">
        <v>42</v>
      </c>
      <c r="B16">
        <v>0.7</v>
      </c>
      <c r="G16">
        <v>0.7</v>
      </c>
      <c r="H16" s="4">
        <f t="shared" si="0"/>
        <v>1.6212283417652078E-4</v>
      </c>
      <c r="I16" s="4">
        <f>$B$20*$B$12*$B$13*$B$3*G16/($B$11*$B$4*($B$10+$B$9))</f>
        <v>3.2424566835304155E-4</v>
      </c>
    </row>
    <row r="17" spans="1:9">
      <c r="A17" t="s">
        <v>43</v>
      </c>
      <c r="B17">
        <f>0.00000000000043</f>
        <v>4.2999999999999999E-13</v>
      </c>
      <c r="C17" t="s">
        <v>81</v>
      </c>
      <c r="G17">
        <v>0.75</v>
      </c>
      <c r="H17" s="4">
        <f t="shared" si="0"/>
        <v>1.7370303661770083E-4</v>
      </c>
      <c r="I17" s="4">
        <f>$B$20*$B$12*$B$13*$B$3*G17/($B$11*$B$4*($B$10+$B$9))</f>
        <v>3.4740607323540166E-4</v>
      </c>
    </row>
    <row r="18" spans="1:9">
      <c r="A18" t="s">
        <v>44</v>
      </c>
      <c r="B18">
        <f>6.022E+23</f>
        <v>6.0220000000000003E+23</v>
      </c>
      <c r="C18" t="s">
        <v>45</v>
      </c>
      <c r="G18">
        <v>0.8</v>
      </c>
      <c r="H18" s="4">
        <f t="shared" si="0"/>
        <v>1.8528323905888091E-4</v>
      </c>
      <c r="I18" s="4">
        <f>$B$20*$B$12*$B$13*$B$3*G18/($B$11*$B$4*($B$10+$B$9))</f>
        <v>3.7056647811776181E-4</v>
      </c>
    </row>
    <row r="19" spans="1:9">
      <c r="G19">
        <v>0.85</v>
      </c>
      <c r="H19" s="4">
        <f t="shared" si="0"/>
        <v>1.9686344150006093E-4</v>
      </c>
      <c r="I19" s="4">
        <f>$B$20*$B$12*$B$13*$B$3*G19/($B$11*$B$4*($B$10+$B$9))</f>
        <v>3.9372688300012186E-4</v>
      </c>
    </row>
    <row r="20" spans="1:9">
      <c r="A20" t="s">
        <v>49</v>
      </c>
      <c r="B20">
        <v>2</v>
      </c>
      <c r="G20">
        <v>0.9</v>
      </c>
      <c r="H20" s="4">
        <f t="shared" si="0"/>
        <v>2.0844364394124101E-4</v>
      </c>
      <c r="I20" s="4">
        <f>$B$20*$B$12*$B$13*$B$3*G20/($B$11*$B$4*($B$10+$B$9))</f>
        <v>4.1688728788248202E-4</v>
      </c>
    </row>
    <row r="21" spans="1:9">
      <c r="G21">
        <v>0.95</v>
      </c>
      <c r="H21" s="4">
        <f t="shared" si="0"/>
        <v>2.2002384638242106E-4</v>
      </c>
      <c r="I21" s="4">
        <f>$B$20*$B$12*$B$13*$B$3*G21/($B$11*$B$4*($B$10+$B$9))</f>
        <v>4.4004769276484212E-4</v>
      </c>
    </row>
    <row r="22" spans="1:9">
      <c r="G22">
        <v>1</v>
      </c>
      <c r="H22" s="4">
        <f t="shared" si="0"/>
        <v>2.3160404882360111E-4</v>
      </c>
      <c r="I22" s="4">
        <f>$B$20*$B$12*$B$13*$B$3*G22/($B$11*$B$4*($B$10+$B$9))</f>
        <v>4.6320809764720223E-4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E9E29-4147-A641-8228-4AA12D902B25}">
  <dimension ref="A1:I19"/>
  <sheetViews>
    <sheetView workbookViewId="0">
      <selection activeCell="G23" sqref="G23"/>
    </sheetView>
  </sheetViews>
  <sheetFormatPr baseColWidth="10" defaultRowHeight="16"/>
  <sheetData>
    <row r="1" spans="1:9">
      <c r="A1" t="s">
        <v>51</v>
      </c>
      <c r="B1" t="s">
        <v>82</v>
      </c>
      <c r="C1" t="s">
        <v>85</v>
      </c>
      <c r="D1" s="5"/>
    </row>
    <row r="2" spans="1:9">
      <c r="A2">
        <v>0</v>
      </c>
      <c r="B2">
        <v>3.0030000000000001</v>
      </c>
      <c r="C2" s="13">
        <f>$B$19</f>
        <v>69.579831932773118</v>
      </c>
      <c r="H2" s="6"/>
    </row>
    <row r="3" spans="1:9">
      <c r="A3">
        <v>5.5E-2</v>
      </c>
      <c r="B3">
        <v>6.3019999999999996</v>
      </c>
      <c r="C3" s="13">
        <f t="shared" ref="C3:C7" si="0">$B$19</f>
        <v>69.579831932773118</v>
      </c>
      <c r="H3" s="6"/>
    </row>
    <row r="4" spans="1:9">
      <c r="A4">
        <v>9.2999999999999999E-2</v>
      </c>
      <c r="B4">
        <v>29.760999999999999</v>
      </c>
      <c r="C4" s="13">
        <f t="shared" si="0"/>
        <v>69.579831932773118</v>
      </c>
      <c r="H4" s="6"/>
    </row>
    <row r="5" spans="1:9">
      <c r="A5">
        <v>0.18099999999999999</v>
      </c>
      <c r="B5">
        <v>52.002000000000002</v>
      </c>
      <c r="C5" s="13">
        <f t="shared" si="0"/>
        <v>69.579831932773118</v>
      </c>
      <c r="H5" s="6"/>
    </row>
    <row r="6" spans="1:9">
      <c r="A6">
        <v>0.40500000000000003</v>
      </c>
      <c r="B6">
        <v>60.305999999999997</v>
      </c>
      <c r="C6" s="13">
        <f t="shared" si="0"/>
        <v>69.579831932773118</v>
      </c>
      <c r="H6" s="6"/>
    </row>
    <row r="7" spans="1:9">
      <c r="A7">
        <v>0.99</v>
      </c>
      <c r="B7">
        <v>68.653000000000006</v>
      </c>
      <c r="C7" s="13">
        <f t="shared" si="0"/>
        <v>69.579831932773118</v>
      </c>
      <c r="H7" s="6"/>
    </row>
    <row r="10" spans="1:9">
      <c r="A10" s="2" t="s">
        <v>53</v>
      </c>
      <c r="E10" s="2" t="s">
        <v>63</v>
      </c>
      <c r="I10" s="2"/>
    </row>
    <row r="11" spans="1:9">
      <c r="A11" t="s">
        <v>54</v>
      </c>
      <c r="B11">
        <v>0.1</v>
      </c>
      <c r="C11" t="s">
        <v>30</v>
      </c>
      <c r="E11" t="s">
        <v>64</v>
      </c>
      <c r="F11">
        <f>B2</f>
        <v>3.0030000000000001</v>
      </c>
      <c r="G11" t="s">
        <v>83</v>
      </c>
    </row>
    <row r="12" spans="1:9">
      <c r="A12" t="s">
        <v>55</v>
      </c>
      <c r="B12">
        <v>2.2999999999999998</v>
      </c>
      <c r="C12" t="s">
        <v>30</v>
      </c>
      <c r="E12" t="s">
        <v>65</v>
      </c>
      <c r="F12" s="6">
        <f>$B$19*F13/(1+$F$13)</f>
        <v>3.0030030684267368</v>
      </c>
      <c r="G12" t="s">
        <v>83</v>
      </c>
    </row>
    <row r="13" spans="1:9">
      <c r="A13" t="s">
        <v>56</v>
      </c>
      <c r="B13">
        <v>0.12</v>
      </c>
      <c r="C13" t="s">
        <v>84</v>
      </c>
      <c r="E13" s="7" t="s">
        <v>66</v>
      </c>
      <c r="F13" s="8">
        <v>4.5105829154847635E-2</v>
      </c>
    </row>
    <row r="14" spans="1:9">
      <c r="A14" t="s">
        <v>57</v>
      </c>
      <c r="B14">
        <v>0.11</v>
      </c>
      <c r="C14" t="s">
        <v>30</v>
      </c>
    </row>
    <row r="15" spans="1:9">
      <c r="A15" t="s">
        <v>58</v>
      </c>
      <c r="B15">
        <v>0.42</v>
      </c>
      <c r="C15" t="s">
        <v>30</v>
      </c>
      <c r="E15" t="s">
        <v>64</v>
      </c>
      <c r="F15">
        <f>B7</f>
        <v>68.653000000000006</v>
      </c>
      <c r="G15" t="s">
        <v>83</v>
      </c>
    </row>
    <row r="16" spans="1:9">
      <c r="A16" t="s">
        <v>59</v>
      </c>
      <c r="B16">
        <v>0.4</v>
      </c>
      <c r="C16" t="s">
        <v>1</v>
      </c>
      <c r="E16" t="s">
        <v>67</v>
      </c>
      <c r="F16">
        <v>1</v>
      </c>
    </row>
    <row r="17" spans="1:7">
      <c r="E17" t="s">
        <v>65</v>
      </c>
      <c r="F17" s="6">
        <f>B19*($F$13+$F$18*$F$16)/(1+$F$13+$F$18*$F$16)</f>
        <v>68.653015761541411</v>
      </c>
      <c r="G17" t="s">
        <v>83</v>
      </c>
    </row>
    <row r="18" spans="1:7">
      <c r="A18" s="2" t="s">
        <v>62</v>
      </c>
      <c r="E18" s="9" t="s">
        <v>68</v>
      </c>
      <c r="F18" s="14">
        <v>74.028931604076433</v>
      </c>
    </row>
    <row r="19" spans="1:7">
      <c r="A19" t="s">
        <v>60</v>
      </c>
      <c r="B19" s="13">
        <f>$B$16*$B$13*($B$11/($B$14+$B$11))*($B$12/($B$12+$B$15))*3600</f>
        <v>69.579831932773118</v>
      </c>
      <c r="C19" t="s">
        <v>83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6E2DF-3406-1E46-9914-49279EA4A600}">
  <dimension ref="A1:K21"/>
  <sheetViews>
    <sheetView zoomScale="110" workbookViewId="0">
      <selection activeCell="E19" sqref="E19"/>
    </sheetView>
  </sheetViews>
  <sheetFormatPr baseColWidth="10" defaultRowHeight="16"/>
  <cols>
    <col min="8" max="9" width="12.1640625" bestFit="1" customWidth="1"/>
  </cols>
  <sheetData>
    <row r="1" spans="1:11">
      <c r="A1" t="s">
        <v>51</v>
      </c>
      <c r="B1" t="s">
        <v>72</v>
      </c>
      <c r="C1" t="s">
        <v>52</v>
      </c>
      <c r="D1" t="s">
        <v>87</v>
      </c>
      <c r="F1" t="s">
        <v>67</v>
      </c>
      <c r="G1" t="s">
        <v>71</v>
      </c>
      <c r="H1" t="s">
        <v>73</v>
      </c>
      <c r="I1" t="s">
        <v>75</v>
      </c>
      <c r="K1" s="5"/>
    </row>
    <row r="2" spans="1:11">
      <c r="A2">
        <v>0</v>
      </c>
      <c r="B2">
        <f>A2/$A$7</f>
        <v>0</v>
      </c>
      <c r="C2">
        <v>3.0030000000000001</v>
      </c>
      <c r="D2" s="6">
        <v>0.58999999999999986</v>
      </c>
      <c r="E2" s="6"/>
      <c r="F2" s="6">
        <f>(B2/$I$14)^$I$13/(1+(B2/$I$14)^$I$13)</f>
        <v>0</v>
      </c>
      <c r="G2">
        <f>$B$19*($B$20+$B$21*F2)/(1+$B$20+$B$21*F2)</f>
        <v>3.0030030684267368</v>
      </c>
      <c r="H2">
        <f>G2-C2</f>
        <v>3.0684267366964946E-6</v>
      </c>
      <c r="I2">
        <f>H2^2</f>
        <v>9.415242638473899E-12</v>
      </c>
    </row>
    <row r="3" spans="1:11">
      <c r="A3">
        <v>5.5E-2</v>
      </c>
      <c r="B3">
        <f t="shared" ref="B3:B7" si="0">A3/$A$7</f>
        <v>5.5555555555555559E-2</v>
      </c>
      <c r="C3">
        <v>6.3019999999999996</v>
      </c>
      <c r="D3" s="6">
        <v>1.2000000000000002</v>
      </c>
      <c r="E3" s="6"/>
      <c r="F3" s="6">
        <f>(B3/$I$14)^$I$13/(1+(B3/$I$14)^$I$13)</f>
        <v>2.0732721282154319E-3</v>
      </c>
      <c r="G3">
        <f>$B$19*($B$20+$B$21*F3)/(1+$B$20+$B$21*F3)</f>
        <v>11.528328955139726</v>
      </c>
      <c r="H3">
        <f>G3-C3</f>
        <v>5.2263289551397261</v>
      </c>
      <c r="I3">
        <f>H3^2</f>
        <v>27.314514347331901</v>
      </c>
    </row>
    <row r="4" spans="1:11">
      <c r="A4">
        <v>9.2999999999999999E-2</v>
      </c>
      <c r="B4">
        <f t="shared" si="0"/>
        <v>9.3939393939393934E-2</v>
      </c>
      <c r="C4">
        <v>29.760999999999999</v>
      </c>
      <c r="D4" s="6">
        <v>5.6999999999999993</v>
      </c>
      <c r="E4" s="6"/>
      <c r="F4" s="6">
        <f>(B4/$I$14)^$I$13/(1+(B4/$I$14)^$I$13)</f>
        <v>7.6241958481993392E-3</v>
      </c>
      <c r="G4">
        <f>$B$19*($B$20+$B$21*F4)/(1+$B$20+$B$21*F4)</f>
        <v>26.349573312700254</v>
      </c>
      <c r="H4">
        <f>G4-C4</f>
        <v>-3.4114266872997447</v>
      </c>
      <c r="I4">
        <f t="shared" ref="I3:I7" si="1">H4^2</f>
        <v>11.637832042820911</v>
      </c>
    </row>
    <row r="5" spans="1:11">
      <c r="A5">
        <v>0.18099999999999999</v>
      </c>
      <c r="B5">
        <f t="shared" si="0"/>
        <v>0.18282828282828281</v>
      </c>
      <c r="C5">
        <v>52.002000000000002</v>
      </c>
      <c r="D5" s="6">
        <v>10.199999999999996</v>
      </c>
      <c r="E5" s="6"/>
      <c r="F5" s="6">
        <f>(B5/$I$14)^$I$13/(1+(B5/$I$14)^$I$13)</f>
        <v>3.8758968327014628E-2</v>
      </c>
      <c r="G5">
        <f>$B$19*($B$20+$B$21*F5)/(1+$B$20+$B$21*F5)</f>
        <v>51.804439873777866</v>
      </c>
      <c r="H5">
        <f>G5-C5</f>
        <v>-0.19756012622213603</v>
      </c>
      <c r="I5">
        <f t="shared" si="1"/>
        <v>3.9030003472906319E-2</v>
      </c>
    </row>
    <row r="6" spans="1:11">
      <c r="A6">
        <v>0.40500000000000003</v>
      </c>
      <c r="B6">
        <f t="shared" si="0"/>
        <v>0.40909090909090912</v>
      </c>
      <c r="C6">
        <v>60.305999999999997</v>
      </c>
      <c r="D6" s="6">
        <v>11.799999999999997</v>
      </c>
      <c r="E6" s="6"/>
      <c r="F6" s="6">
        <f>(B6/$I$14)^$I$13/(1+(B6/$I$14)^$I$13)</f>
        <v>0.23047147482549002</v>
      </c>
      <c r="G6">
        <f>$B$19*($B$20+$B$21*F6)/(1+$B$20+$B$21*F6)</f>
        <v>65.737056905125911</v>
      </c>
      <c r="H6">
        <f>G6-C6</f>
        <v>5.4310569051259137</v>
      </c>
      <c r="I6">
        <f t="shared" si="1"/>
        <v>29.496379106715867</v>
      </c>
    </row>
    <row r="7" spans="1:11">
      <c r="A7">
        <v>0.99</v>
      </c>
      <c r="B7">
        <f t="shared" si="0"/>
        <v>1</v>
      </c>
      <c r="C7">
        <v>68.653000000000006</v>
      </c>
      <c r="D7" s="6">
        <v>13.299999999999997</v>
      </c>
      <c r="E7" s="6"/>
      <c r="F7" s="6">
        <f>(B7/$I$14)^$I$13/(1+(B7/$I$14)^$I$13)</f>
        <v>0.73491874573705729</v>
      </c>
      <c r="G7">
        <f>$B$19*($B$20+$B$21*F7)/(1+$B$20+$B$21*F7)</f>
        <v>68.325018840214184</v>
      </c>
      <c r="H7">
        <f>G7-C7</f>
        <v>-0.32798115978582132</v>
      </c>
      <c r="I7">
        <f t="shared" si="1"/>
        <v>0.10757164117445246</v>
      </c>
    </row>
    <row r="9" spans="1:11" s="11" customFormat="1" ht="68">
      <c r="H9" s="11" t="s">
        <v>74</v>
      </c>
      <c r="I9" s="11">
        <f>SUM(I2:I7)</f>
        <v>68.595327141525459</v>
      </c>
    </row>
    <row r="12" spans="1:11">
      <c r="A12" s="2" t="s">
        <v>86</v>
      </c>
      <c r="F12" s="2"/>
      <c r="H12" s="2" t="s">
        <v>69</v>
      </c>
    </row>
    <row r="13" spans="1:11">
      <c r="A13" t="s">
        <v>54</v>
      </c>
      <c r="B13">
        <v>0.1</v>
      </c>
      <c r="C13" t="s">
        <v>30</v>
      </c>
      <c r="H13" s="9" t="s">
        <v>29</v>
      </c>
      <c r="I13" s="10">
        <v>2.4897403878005289</v>
      </c>
    </row>
    <row r="14" spans="1:11">
      <c r="A14" t="s">
        <v>55</v>
      </c>
      <c r="B14">
        <v>2.2999999999999998</v>
      </c>
      <c r="C14" t="s">
        <v>30</v>
      </c>
      <c r="G14" s="6"/>
      <c r="H14" s="9" t="s">
        <v>70</v>
      </c>
      <c r="I14" s="10">
        <v>0.66393552814481405</v>
      </c>
    </row>
    <row r="15" spans="1:11">
      <c r="A15" t="s">
        <v>56</v>
      </c>
      <c r="B15">
        <v>0.12</v>
      </c>
      <c r="C15" t="s">
        <v>24</v>
      </c>
    </row>
    <row r="16" spans="1:11">
      <c r="A16" t="s">
        <v>57</v>
      </c>
      <c r="B16">
        <v>0.11</v>
      </c>
      <c r="C16" t="s">
        <v>30</v>
      </c>
    </row>
    <row r="17" spans="1:3">
      <c r="A17" t="s">
        <v>58</v>
      </c>
      <c r="B17">
        <v>0.42</v>
      </c>
      <c r="C17" t="s">
        <v>30</v>
      </c>
    </row>
    <row r="18" spans="1:3">
      <c r="A18" t="s">
        <v>59</v>
      </c>
      <c r="B18">
        <v>0.4</v>
      </c>
      <c r="C18" t="s">
        <v>1</v>
      </c>
    </row>
    <row r="19" spans="1:3">
      <c r="A19" t="s">
        <v>60</v>
      </c>
      <c r="B19" s="6">
        <f>$B$18*$B$15*($B$13/($B$16+$B$13))*($B$14/($B$14+$B$17))*3600</f>
        <v>69.579831932773118</v>
      </c>
      <c r="C19" t="s">
        <v>61</v>
      </c>
    </row>
    <row r="20" spans="1:3">
      <c r="A20" s="17" t="s">
        <v>27</v>
      </c>
      <c r="B20" s="18">
        <v>4.5105829154847635E-2</v>
      </c>
    </row>
    <row r="21" spans="1:3">
      <c r="A21" s="15" t="s">
        <v>28</v>
      </c>
      <c r="B21" s="16">
        <v>74.028931604076433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9CA48-73CA-9444-A75B-C225D0F7D0DB}">
  <dimension ref="A1:J24"/>
  <sheetViews>
    <sheetView tabSelected="1" workbookViewId="0">
      <selection activeCell="M7" sqref="M7:M8"/>
    </sheetView>
  </sheetViews>
  <sheetFormatPr baseColWidth="10" defaultRowHeight="16"/>
  <cols>
    <col min="7" max="7" width="12.1640625" bestFit="1" customWidth="1"/>
  </cols>
  <sheetData>
    <row r="1" spans="1:10">
      <c r="A1" t="s">
        <v>51</v>
      </c>
      <c r="B1" t="s">
        <v>82</v>
      </c>
      <c r="C1" t="s">
        <v>89</v>
      </c>
      <c r="D1" s="5"/>
      <c r="E1" t="s">
        <v>67</v>
      </c>
      <c r="F1" t="s">
        <v>71</v>
      </c>
      <c r="G1" t="s">
        <v>90</v>
      </c>
      <c r="H1" t="s">
        <v>91</v>
      </c>
      <c r="J1" t="s">
        <v>87</v>
      </c>
    </row>
    <row r="2" spans="1:10">
      <c r="A2">
        <v>0</v>
      </c>
      <c r="B2">
        <v>3.0030000000000001</v>
      </c>
      <c r="C2" s="13">
        <f>A2/$A$7</f>
        <v>0</v>
      </c>
      <c r="E2" s="6">
        <f>(C2/$F$24)^$F$23/(1+(A2/$F$24)^$F$23)</f>
        <v>0</v>
      </c>
      <c r="F2">
        <f>$B$17*($F$14+$F$19*E2)/(1+$F$14+$F$19*E2)</f>
        <v>3.0030030684267368</v>
      </c>
      <c r="G2">
        <f>F2-B2</f>
        <v>3.0684267366964946E-6</v>
      </c>
      <c r="H2" s="6">
        <f>G2^2</f>
        <v>9.415242638473899E-12</v>
      </c>
      <c r="J2" s="6">
        <v>0.58999999999999986</v>
      </c>
    </row>
    <row r="3" spans="1:10">
      <c r="A3">
        <v>5.5E-2</v>
      </c>
      <c r="B3">
        <v>6.3019999999999996</v>
      </c>
      <c r="C3" s="13">
        <f t="shared" ref="C3:C7" si="0">A3/$A$7</f>
        <v>5.5555555555555559E-2</v>
      </c>
      <c r="E3" s="6">
        <f t="shared" ref="E3:E7" si="1">(C3/$F$24)^$F$23/(1+(A3/$F$24)^$F$23)</f>
        <v>1.5423418900411283E-3</v>
      </c>
      <c r="F3">
        <f>$B$17*($F$14+$F$19*E3)/(1+$F$14+$F$19*E3)</f>
        <v>11.619574045752564</v>
      </c>
      <c r="G3">
        <f t="shared" ref="G3:G7" si="2">F3-B3</f>
        <v>5.3175740457525649</v>
      </c>
      <c r="H3" s="6">
        <f t="shared" ref="H3:H7" si="3">G3^2</f>
        <v>28.276593732061301</v>
      </c>
      <c r="J3" s="6">
        <v>1.2000000000000002</v>
      </c>
    </row>
    <row r="4" spans="1:10">
      <c r="A4">
        <v>9.2999999999999999E-2</v>
      </c>
      <c r="B4">
        <v>29.760999999999999</v>
      </c>
      <c r="C4" s="13">
        <f t="shared" si="0"/>
        <v>9.3939393939393934E-2</v>
      </c>
      <c r="E4" s="6">
        <f t="shared" si="1"/>
        <v>5.5961540417566119E-3</v>
      </c>
      <c r="F4">
        <f>$B$17*($F$14+$F$19*E4)/(1+$F$14+$F$19*E4)</f>
        <v>26.331352424274215</v>
      </c>
      <c r="G4">
        <f t="shared" si="2"/>
        <v>-3.4296475757257845</v>
      </c>
      <c r="H4" s="6">
        <f t="shared" si="3"/>
        <v>11.76248249368175</v>
      </c>
      <c r="J4" s="6">
        <v>5.6999999999999993</v>
      </c>
    </row>
    <row r="5" spans="1:10">
      <c r="A5">
        <v>0.18099999999999999</v>
      </c>
      <c r="B5">
        <v>52.002000000000002</v>
      </c>
      <c r="C5" s="13">
        <f t="shared" si="0"/>
        <v>0.18282828282828281</v>
      </c>
      <c r="E5" s="6">
        <f t="shared" si="1"/>
        <v>2.8177870060359305E-2</v>
      </c>
      <c r="F5">
        <f>$B$17*($F$14+$F$19*E5)/(1+$F$14+$F$19*E5)</f>
        <v>51.663627505549911</v>
      </c>
      <c r="G5">
        <f t="shared" si="2"/>
        <v>-0.33837249445009121</v>
      </c>
      <c r="H5" s="6">
        <f t="shared" si="3"/>
        <v>0.11449594500037701</v>
      </c>
      <c r="J5" s="6">
        <v>10.199999999999996</v>
      </c>
    </row>
    <row r="6" spans="1:10">
      <c r="A6">
        <v>0.40500000000000003</v>
      </c>
      <c r="B6">
        <v>60.305999999999997</v>
      </c>
      <c r="C6" s="13">
        <f t="shared" si="0"/>
        <v>0.40909090909090912</v>
      </c>
      <c r="E6" s="6">
        <f t="shared" si="1"/>
        <v>0.17450544023989548</v>
      </c>
      <c r="F6">
        <f>$B$17*($F$14+$F$19*E6)/(1+$F$14+$F$19*E6)</f>
        <v>65.843811146310202</v>
      </c>
      <c r="G6">
        <f t="shared" si="2"/>
        <v>5.5378111463102044</v>
      </c>
      <c r="H6" s="6">
        <f t="shared" si="3"/>
        <v>30.667352292197542</v>
      </c>
      <c r="J6" s="6">
        <v>11.799999999999997</v>
      </c>
    </row>
    <row r="7" spans="1:10">
      <c r="A7">
        <v>0.99</v>
      </c>
      <c r="B7">
        <v>68.653000000000006</v>
      </c>
      <c r="C7" s="13">
        <f t="shared" si="0"/>
        <v>1</v>
      </c>
      <c r="E7" s="6">
        <f>(C7/$F$24)^$F$23/(1+(A7/$F$24)^$F$23)</f>
        <v>0.66554230447230545</v>
      </c>
      <c r="F7">
        <f>$B$17*($F$14+$F$19*E7)/(1+$F$14+$F$19*E7)</f>
        <v>68.557937079228623</v>
      </c>
      <c r="G7">
        <f t="shared" si="2"/>
        <v>-9.5062920771383119E-2</v>
      </c>
      <c r="H7" s="6">
        <f t="shared" si="3"/>
        <v>9.0369589055862634E-3</v>
      </c>
      <c r="J7" s="6">
        <v>13.299999999999997</v>
      </c>
    </row>
    <row r="9" spans="1:10">
      <c r="G9" t="s">
        <v>92</v>
      </c>
      <c r="H9" s="6">
        <f>SUM(H2:H7)</f>
        <v>70.82996142185597</v>
      </c>
    </row>
    <row r="10" spans="1:10">
      <c r="A10" s="2" t="s">
        <v>86</v>
      </c>
      <c r="I10" s="2"/>
    </row>
    <row r="11" spans="1:10">
      <c r="A11" t="s">
        <v>54</v>
      </c>
      <c r="B11">
        <v>0.1</v>
      </c>
      <c r="C11" t="s">
        <v>30</v>
      </c>
      <c r="E11" s="2" t="s">
        <v>88</v>
      </c>
    </row>
    <row r="12" spans="1:10">
      <c r="A12" t="s">
        <v>55</v>
      </c>
      <c r="B12">
        <v>2.2999999999999998</v>
      </c>
      <c r="C12" t="s">
        <v>30</v>
      </c>
      <c r="E12" t="s">
        <v>64</v>
      </c>
      <c r="F12">
        <f>B2</f>
        <v>3.0030000000000001</v>
      </c>
      <c r="G12" t="s">
        <v>83</v>
      </c>
    </row>
    <row r="13" spans="1:10">
      <c r="A13" t="s">
        <v>56</v>
      </c>
      <c r="B13">
        <v>0.12</v>
      </c>
      <c r="C13" t="s">
        <v>84</v>
      </c>
      <c r="E13" t="s">
        <v>65</v>
      </c>
      <c r="F13" s="6">
        <f>$B$17*F14/(1+$F$14)</f>
        <v>3.0030030684267368</v>
      </c>
      <c r="G13" t="s">
        <v>83</v>
      </c>
    </row>
    <row r="14" spans="1:10">
      <c r="A14" t="s">
        <v>57</v>
      </c>
      <c r="B14">
        <v>0.11</v>
      </c>
      <c r="C14" t="s">
        <v>30</v>
      </c>
      <c r="E14" s="7" t="s">
        <v>66</v>
      </c>
      <c r="F14" s="8">
        <v>4.5105829154847635E-2</v>
      </c>
    </row>
    <row r="15" spans="1:10">
      <c r="A15" t="s">
        <v>58</v>
      </c>
      <c r="B15">
        <v>0.42</v>
      </c>
      <c r="C15" t="s">
        <v>30</v>
      </c>
    </row>
    <row r="16" spans="1:10">
      <c r="A16" t="s">
        <v>59</v>
      </c>
      <c r="B16">
        <v>0.4</v>
      </c>
      <c r="C16" t="s">
        <v>1</v>
      </c>
      <c r="E16" t="s">
        <v>64</v>
      </c>
      <c r="F16">
        <f>B7</f>
        <v>68.653000000000006</v>
      </c>
      <c r="G16" t="s">
        <v>83</v>
      </c>
    </row>
    <row r="17" spans="1:7">
      <c r="A17" t="s">
        <v>60</v>
      </c>
      <c r="B17" s="13">
        <f>$B$16*$B$13*($B$11/($B$14+$B$11))*($B$12/($B$12+$B$15))*3600</f>
        <v>69.579831932773118</v>
      </c>
      <c r="C17" t="s">
        <v>83</v>
      </c>
      <c r="E17" t="s">
        <v>67</v>
      </c>
      <c r="F17">
        <f>(1/$B$21)^$B$20/(1+(1/$B$21)^$B$20)</f>
        <v>0.73491874573705729</v>
      </c>
    </row>
    <row r="18" spans="1:7">
      <c r="E18" t="s">
        <v>65</v>
      </c>
      <c r="F18" s="6">
        <f>B17*($F$14+$F$19*$F$17)/(1+$F$14+$F$19*$F$17)</f>
        <v>68.653061256880932</v>
      </c>
      <c r="G18" t="s">
        <v>83</v>
      </c>
    </row>
    <row r="19" spans="1:7">
      <c r="A19" s="2" t="s">
        <v>94</v>
      </c>
      <c r="E19" s="9" t="s">
        <v>68</v>
      </c>
      <c r="F19" s="14">
        <v>100.73578532529733</v>
      </c>
    </row>
    <row r="20" spans="1:7">
      <c r="A20" s="15" t="s">
        <v>29</v>
      </c>
      <c r="B20" s="16">
        <v>2.4897403878005289</v>
      </c>
    </row>
    <row r="21" spans="1:7">
      <c r="A21" s="15" t="s">
        <v>70</v>
      </c>
      <c r="B21" s="16">
        <v>0.66393552814481405</v>
      </c>
    </row>
    <row r="22" spans="1:7">
      <c r="E22" s="2" t="s">
        <v>93</v>
      </c>
    </row>
    <row r="23" spans="1:7">
      <c r="E23" s="9" t="s">
        <v>29</v>
      </c>
      <c r="F23" s="9">
        <v>2.4611253176456001</v>
      </c>
    </row>
    <row r="24" spans="1:7">
      <c r="E24" s="9" t="s">
        <v>70</v>
      </c>
      <c r="F24" s="9">
        <v>0.7708238524117218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2d</vt:lpstr>
      <vt:lpstr>3b,c</vt:lpstr>
      <vt:lpstr>4a</vt:lpstr>
      <vt:lpstr>4b,c</vt:lpstr>
      <vt:lpstr>Extra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Tan</dc:creator>
  <cp:lastModifiedBy>Julie Tan</cp:lastModifiedBy>
  <dcterms:created xsi:type="dcterms:W3CDTF">2020-05-19T20:17:37Z</dcterms:created>
  <dcterms:modified xsi:type="dcterms:W3CDTF">2020-05-22T07:08:04Z</dcterms:modified>
</cp:coreProperties>
</file>