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ors" sheetId="1" r:id="rId4"/>
    <sheet state="visible" name="Line" sheetId="2" r:id="rId5"/>
    <sheet state="visible" name="Seasonal" sheetId="3" r:id="rId6"/>
    <sheet state="visible" name="Other demand" sheetId="4" r:id="rId7"/>
    <sheet state="visible" name="Energy Scope" sheetId="5" r:id="rId8"/>
    <sheet state="visible" name="Heating demand" sheetId="6" r:id="rId9"/>
    <sheet state="visible" name="Industry Sector" sheetId="7" r:id="rId10"/>
    <sheet state="visible" name="District heating" sheetId="8" r:id="rId11"/>
    <sheet state="visible" name="Transport Sector" sheetId="9" r:id="rId12"/>
    <sheet state="visible" name="Housing Sector" sheetId="10" r:id="rId13"/>
    <sheet state="visible" name="Services" sheetId="11" r:id="rId14"/>
    <sheet state="visible" name="Tabellenblatt25" sheetId="12" r:id="rId15"/>
    <sheet state="visible" name="All table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Equivalent to Final consumption Demand sectors = 228 PJ</t>
      </text>
    </comment>
    <comment authorId="0" ref="E46">
      <text>
        <t xml:space="preserve">Equivalent to Final consumption Demand sectors = 228 PJ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2">
      <text>
        <t xml:space="preserve">In the long term, the other renewables energy source group is made up of around 60 % environmental heat (used with heat pumps) and around 25 % biogas/biomethane.
The remainder is divided roughly equally between solar thermal energy and biofuels as well as a small amount of waste heat (1 PJ).</t>
      </text>
    </comment>
  </commentList>
</comments>
</file>

<file path=xl/sharedStrings.xml><?xml version="1.0" encoding="utf-8"?>
<sst xmlns="http://schemas.openxmlformats.org/spreadsheetml/2006/main" count="1494" uniqueCount="507">
  <si>
    <t>Electricity Generation by source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</si>
  <si>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</si>
  <si>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</si>
  <si>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</si>
  <si>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</si>
  <si>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</si>
  <si>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</si>
  <si>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</si>
  <si>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</si>
  <si>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</si>
  <si>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</si>
  <si>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</si>
  <si>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</si>
  <si>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2050</t>
  </si>
  <si>
    <t>Run_of_river_power</t>
  </si>
  <si>
    <t>Storage_power_plants</t>
  </si>
  <si>
    <t>Pumped_storage</t>
  </si>
  <si>
    <t>PV</t>
  </si>
  <si>
    <t>Wind</t>
  </si>
  <si>
    <t>Biomasse</t>
  </si>
  <si>
    <t>Other</t>
  </si>
  <si>
    <t>Total Generation</t>
  </si>
  <si>
    <t>EP2050+</t>
  </si>
  <si>
    <t>Final Energy demand in PJ</t>
  </si>
  <si>
    <t>Sector / Year</t>
  </si>
  <si>
    <t>Industry</t>
  </si>
  <si>
    <t>Transport</t>
  </si>
  <si>
    <t>Services</t>
  </si>
  <si>
    <t xml:space="preserve">Agriculture </t>
  </si>
  <si>
    <t>Housing</t>
  </si>
  <si>
    <t>Demand energy (scenario zero basis)</t>
  </si>
  <si>
    <t>Electricity consumption by sector in PJ</t>
  </si>
  <si>
    <t>Sector/ Year</t>
  </si>
  <si>
    <t>Final consumption Demand sectors</t>
  </si>
  <si>
    <t>Agriculture</t>
  </si>
  <si>
    <t>Conversion (Big HP, H₂, CCS / NET)</t>
  </si>
  <si>
    <t>Heat pump operation</t>
  </si>
  <si>
    <t>Hydrogen production</t>
  </si>
  <si>
    <t>CCS / NET</t>
  </si>
  <si>
    <t>Total (domestic incl. LaWi, incl. parts of the conversion)</t>
  </si>
  <si>
    <t>Total demand (excel)</t>
  </si>
  <si>
    <t>Simplified</t>
  </si>
  <si>
    <t>El. Demand PJ</t>
  </si>
  <si>
    <t>Inflexible demand</t>
  </si>
  <si>
    <t>Flexible electrolysis</t>
  </si>
  <si>
    <t>Pumped storage_consumption</t>
  </si>
  <si>
    <t>Flexible E Mobility</t>
  </si>
  <si>
    <t>Sum demand</t>
  </si>
  <si>
    <t>Flexible HP</t>
  </si>
  <si>
    <t>Proportions of each sector per demand</t>
  </si>
  <si>
    <t>Monthly El. Demand by Sector (energy scope)</t>
  </si>
  <si>
    <t xml:space="preserve">Januray </t>
  </si>
  <si>
    <t>Total electric demand monthly in PJ</t>
  </si>
  <si>
    <t>Heating</t>
  </si>
  <si>
    <t>Service</t>
  </si>
  <si>
    <t>Total Industry Proportion</t>
  </si>
  <si>
    <t xml:space="preserve">Total Housing Proportion </t>
  </si>
  <si>
    <t>Total Service Proportion</t>
  </si>
  <si>
    <t>Total Transport Proportion</t>
  </si>
  <si>
    <t>Total Agriculture Proportion</t>
  </si>
  <si>
    <t>Total Sum</t>
  </si>
  <si>
    <t>ENERGY SCOPE</t>
  </si>
  <si>
    <t>Electric demand per sector per month in PJ</t>
  </si>
  <si>
    <t xml:space="preserve">EP2050+ final el. demand </t>
  </si>
  <si>
    <t>Residential</t>
  </si>
  <si>
    <t>Total demand</t>
  </si>
  <si>
    <t>Electric demand per month</t>
  </si>
  <si>
    <t>Inflexible demand (VSC)</t>
  </si>
  <si>
    <t>Sufficiency cut out per sector</t>
  </si>
  <si>
    <t>Sector</t>
  </si>
  <si>
    <t>Sufficiency in January</t>
  </si>
  <si>
    <t>Sufficiency in February</t>
  </si>
  <si>
    <t>Sufficiency in March</t>
  </si>
  <si>
    <t>Sufficiency in November</t>
  </si>
  <si>
    <t>Sufficiency in December</t>
  </si>
  <si>
    <t>Total</t>
  </si>
  <si>
    <t>Transports</t>
  </si>
  <si>
    <t>Sufficiency needs</t>
  </si>
  <si>
    <t>-3.13	-3.39	-2.50	-3.12</t>
  </si>
  <si>
    <t>New Scenario with sufficiency</t>
  </si>
  <si>
    <t xml:space="preserve">Sectoral demand  in PJ </t>
  </si>
  <si>
    <t>Total Prod</t>
  </si>
  <si>
    <t>Sufficiency in April</t>
  </si>
  <si>
    <t>Sufficiency in May</t>
  </si>
  <si>
    <t>Sufficiency in June</t>
  </si>
  <si>
    <t>Sufficiency in July</t>
  </si>
  <si>
    <t>Sufficiency in August</t>
  </si>
  <si>
    <t>Sufficiency in September</t>
  </si>
  <si>
    <t>Sufficiency in October</t>
  </si>
  <si>
    <t xml:space="preserve"> v</t>
  </si>
  <si>
    <t>Electricity generation and demand [PJ]</t>
  </si>
  <si>
    <t>Electricity generation and demand [TWh]</t>
  </si>
  <si>
    <t>Hydropower</t>
  </si>
  <si>
    <t>Wind energy</t>
  </si>
  <si>
    <t>Biomass</t>
  </si>
  <si>
    <t>Biogas</t>
  </si>
  <si>
    <t>Geothermie</t>
  </si>
  <si>
    <t>All renewables</t>
  </si>
  <si>
    <t>Demand elec (scenario zero basis)</t>
  </si>
  <si>
    <t>Energy Demand by source of production [PJ]</t>
  </si>
  <si>
    <t>Demand Energy (scenraio BaU)</t>
  </si>
  <si>
    <t>El. consumption</t>
  </si>
  <si>
    <t>Other renewable</t>
  </si>
  <si>
    <t>District Heating</t>
  </si>
  <si>
    <t>PtX</t>
  </si>
  <si>
    <t>Waste and industrial waste</t>
  </si>
  <si>
    <t>Wood</t>
  </si>
  <si>
    <t>Non renewable</t>
  </si>
  <si>
    <t>Petroleum product</t>
  </si>
  <si>
    <t>Gaz</t>
  </si>
  <si>
    <t xml:space="preserve">Electricity demand [PJ] </t>
  </si>
  <si>
    <t xml:space="preserve">Electricity demand [TWh] </t>
  </si>
  <si>
    <t>Final consumption</t>
  </si>
  <si>
    <t>dont E-mobility</t>
  </si>
  <si>
    <t>dont HP</t>
  </si>
  <si>
    <t>Electrolysis, Big HP, CCS</t>
  </si>
  <si>
    <t>Losses</t>
  </si>
  <si>
    <t>National consumption</t>
  </si>
  <si>
    <t>10^15 J /hab</t>
  </si>
  <si>
    <t>Electricity consumption and generation [PJ]</t>
  </si>
  <si>
    <t>Electricity consumption and generation [TWh] (-&gt; excel h by h)</t>
  </si>
  <si>
    <t>Hydro</t>
  </si>
  <si>
    <t>Nuclear</t>
  </si>
  <si>
    <t>Fossile</t>
  </si>
  <si>
    <t>Renewable</t>
  </si>
  <si>
    <t>Generation brute</t>
  </si>
  <si>
    <t>Demand storage pump</t>
  </si>
  <si>
    <t>Generation net</t>
  </si>
  <si>
    <t>Import/Export</t>
  </si>
  <si>
    <t>National Consumption</t>
  </si>
  <si>
    <t>Storage pump</t>
  </si>
  <si>
    <t>Consumption with storage pump</t>
  </si>
  <si>
    <t xml:space="preserve"> </t>
  </si>
  <si>
    <t>Production El. with renewables [PJ]</t>
  </si>
  <si>
    <t>Production El. with renewables [TWh]</t>
  </si>
  <si>
    <t>EE curtailment</t>
  </si>
  <si>
    <t>Waste</t>
  </si>
  <si>
    <t>Total generation</t>
  </si>
  <si>
    <t xml:space="preserve">Total Generation </t>
  </si>
  <si>
    <t>Total with hydro</t>
  </si>
  <si>
    <t>Total with Hydro</t>
  </si>
  <si>
    <t>Population</t>
  </si>
  <si>
    <t xml:space="preserve">Demand without efficiency </t>
  </si>
  <si>
    <t>Efficiency gains 
(zero basis)</t>
  </si>
  <si>
    <t>Sufficiency needs 
(zero basis)</t>
  </si>
  <si>
    <t>Efficiency gains
 (BaU)</t>
  </si>
  <si>
    <t>Sufficiency needs
(BaU)</t>
  </si>
  <si>
    <t>In TWh</t>
  </si>
  <si>
    <t>Demand elec 
Winter (zero Basis)</t>
  </si>
  <si>
    <t>Total production</t>
  </si>
  <si>
    <t>Renew</t>
  </si>
  <si>
    <t>Import</t>
  </si>
  <si>
    <t>Demand elec 
Summer (zero Basis)</t>
  </si>
  <si>
    <t xml:space="preserve">Total production </t>
  </si>
  <si>
    <t xml:space="preserve">Enegy Scope 2050+ </t>
  </si>
  <si>
    <t>Final energy consumption per application [GWh]</t>
  </si>
  <si>
    <t>Spring</t>
  </si>
  <si>
    <t>Summer</t>
  </si>
  <si>
    <t>Autumn</t>
  </si>
  <si>
    <t>Winter</t>
  </si>
  <si>
    <t>Transport electric</t>
  </si>
  <si>
    <t>Industry electric</t>
  </si>
  <si>
    <t>Industry other</t>
  </si>
  <si>
    <t>Space heating and hot water other</t>
  </si>
  <si>
    <t xml:space="preserve"> HP</t>
  </si>
  <si>
    <t>Other electric</t>
  </si>
  <si>
    <t xml:space="preserve">Total Demand En. </t>
  </si>
  <si>
    <t>Energy Scope 2050+ [GWh]</t>
  </si>
  <si>
    <t xml:space="preserve">Electricity generation &amp; consumption </t>
  </si>
  <si>
    <t>Seasonal storage</t>
  </si>
  <si>
    <t>Nuclear power plants</t>
  </si>
  <si>
    <t>Cogeneration</t>
  </si>
  <si>
    <t>Solar photovoltaics</t>
  </si>
  <si>
    <t>Wind turbines</t>
  </si>
  <si>
    <t>Hydro large dam</t>
  </si>
  <si>
    <t>Hydro run-of-river</t>
  </si>
  <si>
    <t>Geothermal</t>
  </si>
  <si>
    <t>Total Demand El.</t>
  </si>
  <si>
    <t>Enegy Scope</t>
  </si>
  <si>
    <t>Total demand En. Monthly</t>
  </si>
  <si>
    <t>Final energy consumption per application [PJ]</t>
  </si>
  <si>
    <t>Energy scope new version EP2050+</t>
  </si>
  <si>
    <t>Scenario without district heating</t>
  </si>
  <si>
    <t xml:space="preserve">Total </t>
  </si>
  <si>
    <t>Enegy Scope 2050+ [GWh]</t>
  </si>
  <si>
    <t>Transport other</t>
  </si>
  <si>
    <t>Transport électrique</t>
  </si>
  <si>
    <t>Industrie électrique</t>
  </si>
  <si>
    <t>Industrie autre</t>
  </si>
  <si>
    <t>Chauffage et eau chaude pompe à chaleur</t>
  </si>
  <si>
    <t>Space heating and hot water electric</t>
  </si>
  <si>
    <t>Autre électrique</t>
  </si>
  <si>
    <t>Total per month</t>
  </si>
  <si>
    <t>Space heating and hot water HP</t>
  </si>
  <si>
    <r>
      <rPr>
        <rFont val="Arial"/>
        <b/>
        <color theme="1"/>
        <sz val="11.0"/>
      </rPr>
      <t xml:space="preserve">Final energy consumption per </t>
    </r>
    <r>
      <rPr>
        <rFont val="Arial"/>
        <b/>
        <color theme="1"/>
        <sz val="11.0"/>
        <u/>
      </rPr>
      <t xml:space="preserve">application </t>
    </r>
    <r>
      <rPr>
        <rFont val="Arial"/>
        <b/>
        <color theme="1"/>
        <sz val="11.0"/>
      </rPr>
      <t>[PJ]</t>
    </r>
  </si>
  <si>
    <t xml:space="preserve">Proportion </t>
  </si>
  <si>
    <t>Enegy Scope 2050+ [PJ]</t>
  </si>
  <si>
    <t xml:space="preserve">Industry electric </t>
  </si>
  <si>
    <t>Industry electri and other</t>
  </si>
  <si>
    <t>Industry other and el.</t>
  </si>
  <si>
    <r>
      <rPr>
        <rFont val="Arial"/>
        <color theme="1"/>
        <sz val="11.0"/>
      </rPr>
      <t xml:space="preserve">Total </t>
    </r>
    <r>
      <rPr>
        <rFont val="Arial"/>
        <b/>
        <color theme="1"/>
        <sz val="11.0"/>
      </rPr>
      <t>electric</t>
    </r>
    <r>
      <rPr>
        <rFont val="Arial"/>
        <color theme="1"/>
        <sz val="11.0"/>
      </rPr>
      <t xml:space="preserve"> demand monthly</t>
    </r>
  </si>
  <si>
    <t>Energy Scope 2050+</t>
  </si>
  <si>
    <t>Electricity generation &amp; consumption  [GWh]</t>
  </si>
  <si>
    <t>Total Demand El. Monthly</t>
  </si>
  <si>
    <r>
      <rPr>
        <rFont val="Arial"/>
        <b/>
        <color rgb="FF000000"/>
        <sz val="11.0"/>
      </rPr>
      <t xml:space="preserve">Electricity generation &amp; </t>
    </r>
    <r>
      <rPr>
        <rFont val="Arial"/>
        <b/>
        <color rgb="FF000000"/>
        <sz val="11.0"/>
        <u/>
      </rPr>
      <t xml:space="preserve">consumption  </t>
    </r>
    <r>
      <rPr>
        <rFont val="Arial"/>
        <b/>
        <color rgb="FF000000"/>
        <sz val="11.0"/>
      </rPr>
      <t>[PJ]</t>
    </r>
  </si>
  <si>
    <t>Sufficiency needs of electricity [PJ]</t>
  </si>
  <si>
    <t>Total Generation El. Monthly</t>
  </si>
  <si>
    <t>Sufficiency needs of electricity</t>
  </si>
  <si>
    <t>Other uses = Electricity that is consumed for other purposes that have not been previously mentioned such as lighting, cooking, IT, ventilation and air-conditioning systems, etc.</t>
  </si>
  <si>
    <t>PJ</t>
  </si>
  <si>
    <t>Proportion</t>
  </si>
  <si>
    <t>Drives, processes</t>
  </si>
  <si>
    <t>Air conditioning, ventilation &amp; building services</t>
  </si>
  <si>
    <t>Lighting</t>
  </si>
  <si>
    <t>I&amp;C, entertainment media</t>
  </si>
  <si>
    <t>Other uses</t>
  </si>
  <si>
    <t>process heat</t>
  </si>
  <si>
    <t>Air conditioning, ventilation and building services</t>
  </si>
  <si>
    <t>Lightning</t>
  </si>
  <si>
    <t>Flexible mobility</t>
  </si>
  <si>
    <t xml:space="preserve">Conversion </t>
  </si>
  <si>
    <t>Overall</t>
  </si>
  <si>
    <t>Conversion</t>
  </si>
  <si>
    <t>Energie renouvelables et non-renouvelables 2050 plus en GWh</t>
  </si>
  <si>
    <t>Janvier</t>
  </si>
  <si>
    <t>Fevrier</t>
  </si>
  <si>
    <t>Mars</t>
  </si>
  <si>
    <t>Avril</t>
  </si>
  <si>
    <t>Mai</t>
  </si>
  <si>
    <t>Juin</t>
  </si>
  <si>
    <t>Juillet</t>
  </si>
  <si>
    <t xml:space="preserve">Aout </t>
  </si>
  <si>
    <t>Septembre</t>
  </si>
  <si>
    <t>Octobre</t>
  </si>
  <si>
    <t>Novembre</t>
  </si>
  <si>
    <t>Décembre</t>
  </si>
  <si>
    <t>Pompes à chaleur</t>
  </si>
  <si>
    <t>Solaire Photovoltaïque</t>
  </si>
  <si>
    <t>Éolienn</t>
  </si>
  <si>
    <t>Hydraulique</t>
  </si>
  <si>
    <t>Géothermie</t>
  </si>
  <si>
    <t>Solaire thermique</t>
  </si>
  <si>
    <t>Nucléaire</t>
  </si>
  <si>
    <t>Import d'électricité</t>
  </si>
  <si>
    <t>Centrales à gaz</t>
  </si>
  <si>
    <t>Mazout</t>
  </si>
  <si>
    <t>Carburants fossils</t>
  </si>
  <si>
    <t>Energie renouvelables et non-renouvelables 2050 plus en PJ</t>
  </si>
  <si>
    <t>Consommation et Production d'électricité GWh</t>
  </si>
  <si>
    <t>Stockage saisonnier</t>
  </si>
  <si>
    <t>Charbon</t>
  </si>
  <si>
    <t>Cogénération</t>
  </si>
  <si>
    <t>Éoliennes</t>
  </si>
  <si>
    <t>Centrales Hydrauliques (barrage)</t>
  </si>
  <si>
    <t>Centrales Hydrauliques (fil-de-l'eau)</t>
  </si>
  <si>
    <t xml:space="preserve">Electricity demand for space heating and hot water in 2050 </t>
  </si>
  <si>
    <t xml:space="preserve">in PJ </t>
  </si>
  <si>
    <t xml:space="preserve">Proportion of sectors </t>
  </si>
  <si>
    <t>Fuel</t>
  </si>
  <si>
    <t>Gas</t>
  </si>
  <si>
    <t>Electricity</t>
  </si>
  <si>
    <t>Heat Pump</t>
  </si>
  <si>
    <t>District heating</t>
  </si>
  <si>
    <t>Others</t>
  </si>
  <si>
    <t>Final energy consumption in the industrial sector by use</t>
  </si>
  <si>
    <t>Development 2000 to 2060 in PJ</t>
  </si>
  <si>
    <t>Intended use</t>
  </si>
  <si>
    <t>Space heating and hot water</t>
  </si>
  <si>
    <t>Process heat</t>
  </si>
  <si>
    <t>Sum</t>
  </si>
  <si>
    <t>Electricity consumption in the industrial sector by purpose</t>
  </si>
  <si>
    <t>Figure 130: ZERO basis scenario: Energy consumption structure in the industrial sector in 2050</t>
  </si>
  <si>
    <t>Energy consumption structure by purpose and energy source groups, consumption level in 2050 in PJ and savings compared to 2020 in percent</t>
  </si>
  <si>
    <t>in PJ</t>
  </si>
  <si>
    <t>Purpose</t>
  </si>
  <si>
    <t>Source</t>
  </si>
  <si>
    <t>Pourcentage-</t>
  </si>
  <si>
    <t>Space heating &amp; hot water</t>
  </si>
  <si>
    <t>-</t>
  </si>
  <si>
    <t>Renewable Energy source&amp; DH</t>
  </si>
  <si>
    <t>Fossile Energy source</t>
  </si>
  <si>
    <t>Renewable Energy source &amp; DH</t>
  </si>
  <si>
    <t>Cooling, ventilation, building services</t>
  </si>
  <si>
    <t>ICT and entertainment media</t>
  </si>
  <si>
    <t>Other applications</t>
  </si>
  <si>
    <t>Demand in 2050</t>
  </si>
  <si>
    <t>14,15</t>
  </si>
  <si>
    <t>Drives processes</t>
  </si>
  <si>
    <t>Final energy consumption (TJ 2020) per industry subsector</t>
  </si>
  <si>
    <t>Chemicals/ pharamceuticals</t>
  </si>
  <si>
    <t>Food products</t>
  </si>
  <si>
    <t>Fabricated metal products</t>
  </si>
  <si>
    <t xml:space="preserve">Cement </t>
  </si>
  <si>
    <t>Other industries</t>
  </si>
  <si>
    <t>Paper products</t>
  </si>
  <si>
    <t>Basic metals</t>
  </si>
  <si>
    <t>Machines &amp; equipment</t>
  </si>
  <si>
    <t>Other non-ferric minerals</t>
  </si>
  <si>
    <t>Construction</t>
  </si>
  <si>
    <t>Non ferric metals</t>
  </si>
  <si>
    <t>Textiles</t>
  </si>
  <si>
    <t>district heating</t>
  </si>
  <si>
    <t>industrial waste</t>
  </si>
  <si>
    <t>coal</t>
  </si>
  <si>
    <t>natural gas</t>
  </si>
  <si>
    <t xml:space="preserve">heating oil mid and heavy </t>
  </si>
  <si>
    <t>heating oil extra light</t>
  </si>
  <si>
    <t>eletricity</t>
  </si>
  <si>
    <t>Proportionof electricity</t>
  </si>
  <si>
    <t>Electricity demand per sub-sector in PJ</t>
  </si>
  <si>
    <t>Arpil</t>
  </si>
  <si>
    <t>Jully</t>
  </si>
  <si>
    <t>Other industries*</t>
  </si>
  <si>
    <t xml:space="preserve">*mining, manufacture and assembly of wood products, 
 manufacture of accessories for the automotive industry, repair and maintenance of vehicles or boats. </t>
  </si>
  <si>
    <t>Sufficiency scenario in sub sectors of industry (PJ)</t>
  </si>
  <si>
    <t>Proportions</t>
  </si>
  <si>
    <t>Yearly demand 2050</t>
  </si>
  <si>
    <t xml:space="preserve">Demand 2050 </t>
  </si>
  <si>
    <t>Sufficiency</t>
  </si>
  <si>
    <t>Chemicals/ pharmaceuticals</t>
  </si>
  <si>
    <t>TJ</t>
  </si>
  <si>
    <t>INDUSTRIAL</t>
  </si>
  <si>
    <t>SERVICES</t>
  </si>
  <si>
    <t>Food</t>
  </si>
  <si>
    <t>Textile-Leather</t>
  </si>
  <si>
    <t>Paper-Printing</t>
  </si>
  <si>
    <t>Chemicals-Pharmaceuticals</t>
  </si>
  <si>
    <t>Cement-Concrete</t>
  </si>
  <si>
    <t>Other-Non-Ferrous-Minerals</t>
  </si>
  <si>
    <t>Metals-Iron</t>
  </si>
  <si>
    <t>Non-ferrous-Metals</t>
  </si>
  <si>
    <t>Metal device</t>
  </si>
  <si>
    <t>Machinery-Appliances</t>
  </si>
  <si>
    <t>Other-Industrial</t>
  </si>
  <si>
    <t>Trading</t>
  </si>
  <si>
    <t>Hotels-restaurants</t>
  </si>
  <si>
    <t>Credit-Insurance</t>
  </si>
  <si>
    <t>Administration</t>
  </si>
  <si>
    <t>Education</t>
  </si>
  <si>
    <t>Social-Work</t>
  </si>
  <si>
    <t>DISTRICT HEATING SUPPLY</t>
  </si>
  <si>
    <t>11'787</t>
  </si>
  <si>
    <t>6'839</t>
  </si>
  <si>
    <t>4'948</t>
  </si>
  <si>
    <t>2'560</t>
  </si>
  <si>
    <t>3'072</t>
  </si>
  <si>
    <t>1'636</t>
  </si>
  <si>
    <t>1'295</t>
  </si>
  <si>
    <t>DISTRICT HEATING DELIVERY</t>
  </si>
  <si>
    <t>1'944</t>
  </si>
  <si>
    <t>1'539</t>
  </si>
  <si>
    <t>1'134</t>
  </si>
  <si>
    <t xml:space="preserve">Figure 91: District heating consumption by sector in PJ </t>
  </si>
  <si>
    <t>Sektor</t>
  </si>
  <si>
    <t>Haushalte</t>
  </si>
  <si>
    <t>Dienstleistungen</t>
  </si>
  <si>
    <t>Industrie</t>
  </si>
  <si>
    <t>Landwirtschaft</t>
  </si>
  <si>
    <t>Summe</t>
  </si>
  <si>
    <t>Figure 202: District heating generation (scenario comparison)</t>
  </si>
  <si>
    <t>TWh</t>
  </si>
  <si>
    <t>WWB</t>
  </si>
  <si>
    <t>ZERO Basis</t>
  </si>
  <si>
    <t>ZERO A</t>
  </si>
  <si>
    <t>ZERO B</t>
  </si>
  <si>
    <t>ZERO C</t>
  </si>
  <si>
    <t>KVA</t>
  </si>
  <si>
    <t>Sonstige*</t>
  </si>
  <si>
    <t>Wärmepumpen</t>
  </si>
  <si>
    <t>Erdgas</t>
  </si>
  <si>
    <t>H₂</t>
  </si>
  <si>
    <t>MWIP</t>
  </si>
  <si>
    <t>Other*</t>
  </si>
  <si>
    <t>HP</t>
  </si>
  <si>
    <t>Natural gas</t>
  </si>
  <si>
    <t>*Nuclear energy, waste heat, other renewable energies</t>
  </si>
  <si>
    <t>Evolution de la consommation d'énergie dans le scénario ZERO Basis</t>
  </si>
  <si>
    <t>LCV</t>
  </si>
  <si>
    <t>light commercial veh. &lt;3.5 t (LDGV: goods; LDPV: passenger)</t>
  </si>
  <si>
    <t>Development by vehicle type and fuel, in PJ</t>
  </si>
  <si>
    <t>HGV</t>
  </si>
  <si>
    <t>heavy goods vehicles, mix (trucks, truck trailers, artic. trucks)</t>
  </si>
  <si>
    <t>Vehicle type</t>
  </si>
  <si>
    <t>Proportion 2050</t>
  </si>
  <si>
    <t>pass. car</t>
  </si>
  <si>
    <t>petrol</t>
  </si>
  <si>
    <t>diesel</t>
  </si>
  <si>
    <t>CNG</t>
  </si>
  <si>
    <t>electricity</t>
  </si>
  <si>
    <t>hydrogen</t>
  </si>
  <si>
    <t>Total pass. car</t>
  </si>
  <si>
    <t>Total LCV</t>
  </si>
  <si>
    <t>Total HGV</t>
  </si>
  <si>
    <t>coach</t>
  </si>
  <si>
    <t>Total coach</t>
  </si>
  <si>
    <t>urban bus</t>
  </si>
  <si>
    <t>Total urban bus</t>
  </si>
  <si>
    <t>motorcycle</t>
  </si>
  <si>
    <t>Total motorcycle</t>
  </si>
  <si>
    <t>Total Transports</t>
  </si>
  <si>
    <t>Evolution de la consommation d'électricité dans le scénario ZERO Basis</t>
  </si>
  <si>
    <t xml:space="preserve">Sufficiency in October	</t>
  </si>
  <si>
    <t>Pass. car</t>
  </si>
  <si>
    <t>Urban bus</t>
  </si>
  <si>
    <t>Motorcycle</t>
  </si>
  <si>
    <t>Space heating</t>
  </si>
  <si>
    <t>Hot water</t>
  </si>
  <si>
    <t xml:space="preserve">Electric consumption by purpose </t>
  </si>
  <si>
    <t>%</t>
  </si>
  <si>
    <t>Heating difference between winter and summer months</t>
  </si>
  <si>
    <t>Energy difference with summer (4.6PJ)</t>
  </si>
  <si>
    <t>Proportion over the year</t>
  </si>
  <si>
    <t>Savings per month (-50%)</t>
  </si>
  <si>
    <t>Energy difference with summer after applying sufficiency measures</t>
  </si>
  <si>
    <t>Table 04-01: Development in the number of electrical appliances</t>
  </si>
  <si>
    <t>Development in the period 2000 to 2060, in thousands</t>
  </si>
  <si>
    <t>Device</t>
  </si>
  <si>
    <t>Ref basis</t>
  </si>
  <si>
    <t>Dishwasher</t>
  </si>
  <si>
    <t>A(ppliance)</t>
  </si>
  <si>
    <t>Fridge</t>
  </si>
  <si>
    <t>Combined fridge and freezer</t>
  </si>
  <si>
    <t>Deep Freezer</t>
  </si>
  <si>
    <t>Freezer</t>
  </si>
  <si>
    <t>Waschmaschine</t>
  </si>
  <si>
    <t>HH*</t>
  </si>
  <si>
    <t xml:space="preserve">Washer dryer </t>
  </si>
  <si>
    <t>Tumble dryer</t>
  </si>
  <si>
    <t>TV</t>
  </si>
  <si>
    <t>Settop-boxen</t>
  </si>
  <si>
    <t>MWh/a</t>
  </si>
  <si>
    <t>PJ/a</t>
  </si>
  <si>
    <t>Efficiency</t>
  </si>
  <si>
    <t>PJ/month</t>
  </si>
  <si>
    <t>Video</t>
  </si>
  <si>
    <t xml:space="preserve">Freezer </t>
  </si>
  <si>
    <t>PC Desktop</t>
  </si>
  <si>
    <t xml:space="preserve">Cooler only </t>
  </si>
  <si>
    <t>PC Laptop</t>
  </si>
  <si>
    <t>Cooler combined</t>
  </si>
  <si>
    <t>Tablet</t>
  </si>
  <si>
    <t>Replace cooler by combined</t>
  </si>
  <si>
    <t>Printer</t>
  </si>
  <si>
    <t>Sufficiency consumption</t>
  </si>
  <si>
    <t>Monitore</t>
  </si>
  <si>
    <t>Freezer + Cooler</t>
  </si>
  <si>
    <t>Washing drying 2020</t>
  </si>
  <si>
    <t>Washing drying 2050</t>
  </si>
  <si>
    <t>Drying 2050</t>
  </si>
  <si>
    <t>Table 04-02: Specific Electricity Consumption for Existing Electrical Equipment in the ZERO Scenarios</t>
  </si>
  <si>
    <t>Development in the period 2000 to 2060, in kWh/y</t>
  </si>
  <si>
    <t>Table 04-02: Specific Electricity Consumption for New Electrical Equipment in the ZERO Scenarios</t>
  </si>
  <si>
    <t>Development in the period 2000 to 2060, in kWh /y</t>
  </si>
  <si>
    <t>Electricity consumption for Existing Equipment in 2050</t>
  </si>
  <si>
    <t>MWh/y</t>
  </si>
  <si>
    <t>PJ/y</t>
  </si>
  <si>
    <t>PJ/mth</t>
  </si>
  <si>
    <t>PJ/4 month</t>
  </si>
  <si>
    <t>Electricity demand by use PJ</t>
  </si>
  <si>
    <t>Hotwater</t>
  </si>
  <si>
    <t xml:space="preserve">Driving Processes </t>
  </si>
  <si>
    <t>ICT</t>
  </si>
  <si>
    <t>Mobilität, Traktion</t>
  </si>
  <si>
    <t>Drives, Process heat</t>
  </si>
  <si>
    <t>Electricity demand in PJ</t>
  </si>
  <si>
    <t>Trade</t>
  </si>
  <si>
    <t>Transport, news (in units)</t>
  </si>
  <si>
    <t>Hospitality without holidays</t>
  </si>
  <si>
    <t>Finance</t>
  </si>
  <si>
    <t>Public administration</t>
  </si>
  <si>
    <t>schools</t>
  </si>
  <si>
    <t>Health care</t>
  </si>
  <si>
    <t>Other (in buildings)</t>
  </si>
  <si>
    <t>Transport, news (except for buildings)</t>
  </si>
  <si>
    <t>Other (outside buildings)</t>
  </si>
  <si>
    <t>Guest weight share of holidaymakers</t>
  </si>
  <si>
    <t>Scenario sufficiency</t>
  </si>
  <si>
    <t>Savings</t>
  </si>
  <si>
    <t xml:space="preserve">Increase between summer and winter </t>
  </si>
  <si>
    <t xml:space="preserve">Difference with summer demand </t>
  </si>
  <si>
    <t xml:space="preserve">Suppose same increase for light </t>
  </si>
  <si>
    <t>Percentage of increase</t>
  </si>
  <si>
    <t>Table 43: Services sector - Specific electricity consumption for lighting for selected sectors in kWh/m2/a</t>
  </si>
  <si>
    <t>Efficiency gains for 2050</t>
  </si>
  <si>
    <t>Food, large shop or shopping centre</t>
  </si>
  <si>
    <t>Non-food, large shop / shopping centre</t>
  </si>
  <si>
    <t>Restaurants and Bars</t>
  </si>
  <si>
    <t>Medical practices</t>
  </si>
  <si>
    <t>Other healthcare</t>
  </si>
  <si>
    <t>Mean</t>
  </si>
  <si>
    <t>⬇️</t>
  </si>
  <si>
    <t>J</t>
  </si>
  <si>
    <t>kJ</t>
  </si>
  <si>
    <t>MJ</t>
  </si>
  <si>
    <t>GJ</t>
  </si>
  <si>
    <t>Wh</t>
  </si>
  <si>
    <t>kWh</t>
  </si>
  <si>
    <t>MWh</t>
  </si>
  <si>
    <t>GWh</t>
  </si>
  <si>
    <t xml:space="preserve">Savings calculated with suffciency measures per sector and sub-sector for winter months in 2050 </t>
  </si>
  <si>
    <t>Sub sectors</t>
  </si>
  <si>
    <t>Yearly energy savings</t>
  </si>
  <si>
    <t>Energy savings</t>
  </si>
  <si>
    <t>Demand 2050</t>
  </si>
  <si>
    <t xml:space="preserve">Residential </t>
  </si>
  <si>
    <t xml:space="preserve">Transport </t>
  </si>
  <si>
    <t>All sector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</si>
</sst>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0E+00"/>
  </numFmts>
  <fonts count="54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&quot;Segoe WPC&quot;"/>
    </font>
    <font>
      <sz val="11.0"/>
      <color rgb="FF000000"/>
      <name val="&quot;Segoe WPC&quot;"/>
    </font>
    <font>
      <color theme="1"/>
      <name val="Arial"/>
      <scheme val="minor"/>
    </font>
    <font>
      <b/>
      <sz val="16.0"/>
      <color rgb="FF434343"/>
      <name val="Times New Roman"/>
    </font>
    <font>
      <b/>
      <sz val="11.0"/>
      <color rgb="FF434343"/>
      <name val="Roboto"/>
    </font>
    <font>
      <sz val="11.0"/>
      <color rgb="FF434343"/>
      <name val="Roboto"/>
    </font>
    <font>
      <sz val="11.0"/>
      <color rgb="FF000000"/>
      <name val="&quot;Franklin Gothic Book&quot;"/>
    </font>
    <font>
      <sz val="11.0"/>
      <color rgb="FF000000"/>
      <name val="Arial"/>
    </font>
    <font>
      <b/>
      <sz val="11.0"/>
      <color theme="1"/>
      <name val="Arial"/>
    </font>
    <font>
      <b/>
      <sz val="16.0"/>
      <color rgb="FF404040"/>
      <name val="&quot;Times New Roman&quot;"/>
    </font>
    <font>
      <b/>
      <sz val="11.0"/>
      <color rgb="FF000000"/>
      <name val="&quot;Franklin Gothic Demi&quot;"/>
    </font>
    <font>
      <sz val="11.0"/>
      <color rgb="FF000000"/>
      <name val="&quot;Franklin Gothic Demi&quot;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&quot;Franklin Gothic Demi&quot;"/>
    </font>
    <font>
      <sz val="11.0"/>
      <color theme="1"/>
      <name val="Calibri"/>
    </font>
    <font>
      <b/>
      <sz val="12.0"/>
      <color rgb="FF000000"/>
      <name val="Calibri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&quot;Franklin Gothic Book&quot;"/>
    </font>
    <font>
      <b/>
      <sz val="12.0"/>
      <color rgb="FF000000"/>
      <name val="Arial"/>
    </font>
    <font>
      <b/>
      <sz val="12.0"/>
      <color rgb="FF000000"/>
      <name val="&quot;Franklin Gothic Book&quot;"/>
    </font>
    <font>
      <sz val="12.0"/>
      <color rgb="FF000000"/>
      <name val="Arial"/>
      <scheme val="minor"/>
    </font>
    <font>
      <b/>
      <sz val="11.0"/>
      <color rgb="FF000000"/>
      <name val="Consolas"/>
    </font>
    <font>
      <i/>
      <sz val="11.0"/>
      <color rgb="FF000000"/>
      <name val="Arial"/>
    </font>
    <font>
      <sz val="11.0"/>
      <color rgb="FF000000"/>
      <name val="Arial"/>
      <scheme val="minor"/>
    </font>
    <font>
      <b/>
      <color theme="1"/>
      <name val="Arial"/>
    </font>
    <font>
      <b/>
      <sz val="11.0"/>
      <color rgb="FF434343"/>
      <name val="Arial"/>
    </font>
    <font>
      <color theme="1"/>
      <name val="Arial"/>
    </font>
    <font>
      <sz val="11.0"/>
      <color rgb="FF1F1F1F"/>
      <name val="&quot;Google Sans&quot;"/>
    </font>
    <font>
      <sz val="11.0"/>
      <color rgb="FFA6A6A6"/>
      <name val="&quot;Franklin Gothic Book&quot;"/>
    </font>
    <font>
      <sz val="11.0"/>
      <color theme="1"/>
      <name val="&quot;Franklin Gothic Book&quot;"/>
    </font>
    <font>
      <strike/>
      <sz val="11.0"/>
      <color rgb="FF000000"/>
      <name val="&quot;Franklin Gothic Book&quot;"/>
    </font>
    <font>
      <strike/>
      <color theme="1"/>
      <name val="Arial"/>
      <scheme val="minor"/>
    </font>
    <font>
      <strike/>
      <sz val="11.0"/>
      <color rgb="FF000000"/>
      <name val="Arial"/>
    </font>
    <font>
      <sz val="12.0"/>
      <color rgb="FF404040"/>
      <name val="Arial"/>
    </font>
    <font>
      <sz val="12.0"/>
      <color rgb="FF404040"/>
      <name val="&quot;Franklin Gothic Book&quot;"/>
    </font>
    <font>
      <b/>
      <sz val="11.0"/>
      <color rgb="FF000000"/>
      <name val="&quot;Franklin Gothic Book&quot;"/>
    </font>
    <font/>
    <font>
      <color rgb="FF000000"/>
      <name val="Arial"/>
    </font>
    <font>
      <b/>
      <color rgb="FF000000"/>
      <name val="Arial"/>
    </font>
    <font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3.0"/>
      <color theme="1"/>
      <name val="Times New Roman"/>
    </font>
    <font>
      <b/>
      <sz val="11.0"/>
      <color rgb="FF333333"/>
      <name val="Arial"/>
    </font>
    <font>
      <sz val="12.0"/>
      <color rgb="FFA6A6A6"/>
      <name val="&quot;Franklin Gothic Book&quot;"/>
    </font>
    <font>
      <b/>
      <sz val="12.0"/>
      <color rgb="FF000000"/>
      <name val="Arial"/>
      <scheme val="minor"/>
    </font>
    <font>
      <sz val="12.0"/>
      <color rgb="FF1F1F1F"/>
      <name val="&quot;Google Sans&quot;"/>
    </font>
    <font>
      <sz val="22.0"/>
      <color theme="1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828282"/>
        <bgColor rgb="FF828282"/>
      </patternFill>
    </fill>
    <fill>
      <patternFill patternType="solid">
        <fgColor rgb="FFD0E0E3"/>
        <bgColor rgb="FFD0E0E3"/>
      </patternFill>
    </fill>
    <fill>
      <patternFill patternType="solid">
        <fgColor rgb="FFF0F1F2"/>
        <bgColor rgb="FFF0F1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6DD"/>
        <bgColor rgb="FFFFE6DD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ECECEC"/>
        <bgColor rgb="FFECECEC"/>
      </patternFill>
    </fill>
    <fill>
      <patternFill patternType="solid">
        <fgColor rgb="FFBDBDBD"/>
        <bgColor rgb="FFBDBDBD"/>
      </patternFill>
    </fill>
    <fill>
      <patternFill patternType="solid">
        <fgColor rgb="FFF46524"/>
        <bgColor rgb="FFF46524"/>
      </patternFill>
    </fill>
    <fill>
      <patternFill patternType="solid">
        <fgColor rgb="FFCFE2F3"/>
        <bgColor rgb="FFCFE2F3"/>
      </patternFill>
    </fill>
    <fill>
      <patternFill patternType="solid">
        <fgColor rgb="FFECECED"/>
        <bgColor rgb="FFECECED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666F77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80808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top style="thin">
        <color rgb="FF666F77"/>
      </top>
      <bottom style="thin">
        <color rgb="FF666F77"/>
      </bottom>
    </border>
    <border>
      <left style="thin">
        <color rgb="FF000000"/>
      </left>
      <top style="thin">
        <color rgb="FF666F77"/>
      </top>
      <bottom style="thin">
        <color rgb="FF666F77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" fillId="2" fontId="3" numFmtId="164" xfId="0" applyAlignment="1" applyBorder="1" applyFill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" fillId="0" fontId="4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right" vertical="bottom"/>
    </xf>
    <xf borderId="1" fillId="0" fontId="7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5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 shrinkToFit="0" vertical="bottom" wrapText="1"/>
    </xf>
    <xf borderId="1" fillId="3" fontId="9" numFmtId="0" xfId="0" applyAlignment="1" applyBorder="1" applyFill="1" applyFont="1">
      <alignment horizontal="right" readingOrder="0" shrinkToFit="0" vertical="bottom" wrapText="1"/>
    </xf>
    <xf borderId="1" fillId="3" fontId="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3" fontId="8" numFmtId="0" xfId="0" applyAlignment="1" applyBorder="1" applyFont="1">
      <alignment horizontal="right" readingOrder="0" shrinkToFit="0" vertical="bottom" wrapText="1"/>
    </xf>
    <xf borderId="1" fillId="3" fontId="9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" fillId="4" fontId="12" numFmtId="0" xfId="0" applyAlignment="1" applyBorder="1" applyFill="1" applyFont="1">
      <alignment readingOrder="0" shrinkToFit="0" vertical="bottom" wrapText="1"/>
    </xf>
    <xf borderId="1" fillId="4" fontId="12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center"/>
    </xf>
    <xf borderId="1" fillId="4" fontId="9" numFmtId="0" xfId="0" applyAlignment="1" applyBorder="1" applyFont="1">
      <alignment readingOrder="0" shrinkToFit="0" vertical="bottom" wrapText="1"/>
    </xf>
    <xf borderId="4" fillId="0" fontId="16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center" readingOrder="0" vertical="bottom"/>
    </xf>
    <xf borderId="1" fillId="0" fontId="10" numFmtId="164" xfId="0" applyAlignment="1" applyBorder="1" applyFont="1" applyNumberForma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1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7" numFmtId="164" xfId="0" applyAlignment="1" applyFont="1" applyNumberFormat="1">
      <alignment horizontal="center" readingOrder="0"/>
    </xf>
    <xf borderId="0" fillId="0" fontId="16" numFmtId="0" xfId="0" applyAlignment="1" applyFont="1">
      <alignment horizontal="right" readingOrder="0" shrinkToFit="0" vertical="bottom" wrapText="1"/>
    </xf>
    <xf borderId="0" fillId="0" fontId="19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20" numFmtId="0" xfId="0" applyAlignment="1" applyFont="1">
      <alignment shrinkToFit="0" vertical="bottom" wrapText="0"/>
    </xf>
    <xf borderId="1" fillId="0" fontId="9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horizontal="center" readingOrder="0" shrinkToFit="0" vertical="bottom" wrapText="0"/>
    </xf>
    <xf borderId="0" fillId="0" fontId="4" numFmtId="164" xfId="0" applyFont="1" applyNumberFormat="1"/>
    <xf borderId="0" fillId="5" fontId="4" numFmtId="0" xfId="0" applyFill="1" applyFont="1"/>
    <xf borderId="0" fillId="5" fontId="10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5" fontId="10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0" fillId="0" fontId="22" numFmtId="0" xfId="0" applyAlignment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center" readingOrder="0" vertical="center"/>
    </xf>
    <xf borderId="1" fillId="0" fontId="15" numFmtId="164" xfId="0" applyAlignment="1" applyBorder="1" applyFont="1" applyNumberForma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3" numFmtId="164" xfId="0" applyAlignment="1" applyBorder="1" applyFont="1" applyNumberFormat="1">
      <alignment horizontal="center" vertical="center"/>
    </xf>
    <xf borderId="1" fillId="0" fontId="23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center" vertical="center"/>
    </xf>
    <xf borderId="0" fillId="5" fontId="17" numFmtId="0" xfId="0" applyAlignment="1" applyFont="1">
      <alignment horizontal="center" vertical="center"/>
    </xf>
    <xf borderId="1" fillId="0" fontId="15" numFmtId="0" xfId="0" applyAlignment="1" applyBorder="1" applyFont="1">
      <alignment horizontal="left" readingOrder="0" shrinkToFit="0" vertical="center" wrapText="1"/>
    </xf>
    <xf borderId="1" fillId="0" fontId="15" numFmtId="10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0" fillId="5" fontId="18" numFmtId="0" xfId="0" applyAlignment="1" applyFont="1">
      <alignment horizontal="center"/>
    </xf>
    <xf borderId="0" fillId="5" fontId="18" numFmtId="0" xfId="0" applyAlignment="1" applyFont="1">
      <alignment horizontal="center"/>
    </xf>
    <xf borderId="1" fillId="0" fontId="15" numFmtId="0" xfId="0" applyAlignment="1" applyBorder="1" applyFont="1">
      <alignment horizontal="right" readingOrder="0" shrinkToFit="0" vertical="center" wrapText="1"/>
    </xf>
    <xf borderId="1" fillId="0" fontId="15" numFmtId="10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0" fillId="5" fontId="18" numFmtId="0" xfId="0" applyAlignment="1" applyFont="1">
      <alignment horizontal="center" readingOrder="0"/>
    </xf>
    <xf borderId="0" fillId="5" fontId="18" numFmtId="0" xfId="0" applyAlignment="1" applyFont="1">
      <alignment horizontal="center" readingOrder="0"/>
    </xf>
    <xf borderId="0" fillId="5" fontId="18" numFmtId="10" xfId="0" applyAlignment="1" applyFont="1" applyNumberFormat="1">
      <alignment horizontal="center"/>
    </xf>
    <xf borderId="0" fillId="5" fontId="18" numFmtId="0" xfId="0" applyAlignment="1" applyFont="1">
      <alignment horizontal="center" readingOrder="0"/>
    </xf>
    <xf borderId="1" fillId="0" fontId="14" numFmtId="0" xfId="0" applyAlignment="1" applyBorder="1" applyFont="1">
      <alignment horizontal="right" readingOrder="0" shrinkToFit="0" vertical="center" wrapText="1"/>
    </xf>
    <xf borderId="1" fillId="0" fontId="18" numFmtId="10" xfId="0" applyAlignment="1" applyBorder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1" fillId="0" fontId="24" numFmtId="0" xfId="0" applyAlignment="1" applyBorder="1" applyFont="1">
      <alignment horizontal="right" readingOrder="0"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1" fillId="0" fontId="23" numFmtId="4" xfId="0" applyAlignment="1" applyBorder="1" applyFont="1" applyNumberFormat="1">
      <alignment horizontal="center" readingOrder="0" vertical="center"/>
    </xf>
    <xf borderId="1" fillId="0" fontId="23" numFmtId="2" xfId="0" applyAlignment="1" applyBorder="1" applyFont="1" applyNumberFormat="1">
      <alignment horizontal="center" readingOrder="0" vertical="center"/>
    </xf>
    <xf borderId="0" fillId="5" fontId="17" numFmtId="0" xfId="0" applyAlignment="1" applyFont="1">
      <alignment horizontal="center" readingOrder="0"/>
    </xf>
    <xf borderId="0" fillId="5" fontId="17" numFmtId="0" xfId="0" applyAlignment="1" applyFont="1">
      <alignment horizontal="center" readingOrder="0"/>
    </xf>
    <xf borderId="1" fillId="0" fontId="2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center" readingOrder="0"/>
    </xf>
    <xf borderId="1" fillId="0" fontId="23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horizontal="center" readingOrder="0" shrinkToFit="0" wrapText="1"/>
    </xf>
    <xf borderId="1" fillId="0" fontId="15" numFmtId="2" xfId="0" applyAlignment="1" applyBorder="1" applyFont="1" applyNumberFormat="1">
      <alignment horizontal="center" readingOrder="0" shrinkToFit="0" vertical="center" wrapText="1"/>
    </xf>
    <xf borderId="1" fillId="0" fontId="27" numFmtId="2" xfId="0" applyAlignment="1" applyBorder="1" applyFont="1" applyNumberFormat="1">
      <alignment horizontal="center" readingOrder="0" vertical="center"/>
    </xf>
    <xf borderId="0" fillId="0" fontId="28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2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readingOrder="0" shrinkToFit="0" wrapText="1"/>
    </xf>
    <xf borderId="1" fillId="0" fontId="27" numFmtId="2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 shrinkToFit="0" wrapText="1"/>
    </xf>
    <xf borderId="2" fillId="0" fontId="9" numFmtId="0" xfId="0" applyAlignment="1" applyBorder="1" applyFont="1">
      <alignment horizontal="center" readingOrder="0" shrinkToFit="0" wrapText="1"/>
    </xf>
    <xf borderId="1" fillId="0" fontId="29" numFmtId="0" xfId="0" applyAlignment="1" applyBorder="1" applyFont="1">
      <alignment horizontal="center" readingOrder="0" shrinkToFit="0" wrapText="1"/>
    </xf>
    <xf borderId="1" fillId="0" fontId="30" numFmtId="164" xfId="0" applyAlignment="1" applyBorder="1" applyFont="1" applyNumberFormat="1">
      <alignment horizontal="center"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30" numFmtId="2" xfId="0" applyAlignment="1" applyBorder="1" applyFont="1" applyNumberFormat="1">
      <alignment horizontal="center" shrinkToFit="0" wrapText="1"/>
    </xf>
    <xf borderId="1" fillId="0" fontId="18" numFmtId="2" xfId="0" applyAlignment="1" applyBorder="1" applyFont="1" applyNumberFormat="1">
      <alignment horizontal="center"/>
    </xf>
    <xf borderId="1" fillId="6" fontId="29" numFmtId="0" xfId="0" applyAlignment="1" applyBorder="1" applyFill="1" applyFont="1">
      <alignment horizontal="center" readingOrder="0" shrinkToFit="0" wrapText="1"/>
    </xf>
    <xf borderId="1" fillId="6" fontId="18" numFmtId="164" xfId="0" applyAlignment="1" applyBorder="1" applyFont="1" applyNumberFormat="1">
      <alignment horizontal="center" readingOrder="0" shrinkToFit="0" vertical="bottom" wrapText="1"/>
    </xf>
    <xf borderId="1" fillId="0" fontId="18" numFmtId="164" xfId="0" applyAlignment="1" applyBorder="1" applyFont="1" applyNumberFormat="1">
      <alignment horizontal="center" readingOrder="0"/>
    </xf>
    <xf borderId="1" fillId="6" fontId="1" numFmtId="164" xfId="0" applyAlignment="1" applyBorder="1" applyFont="1" applyNumberFormat="1">
      <alignment horizontal="center" readingOrder="0" shrinkToFit="0" wrapText="1"/>
    </xf>
    <xf borderId="6" fillId="7" fontId="31" numFmtId="2" xfId="0" applyAlignment="1" applyBorder="1" applyFill="1" applyFont="1" applyNumberFormat="1">
      <alignment horizontal="center" readingOrder="0" shrinkToFit="0" vertical="bottom" wrapText="1"/>
    </xf>
    <xf borderId="7" fillId="7" fontId="31" numFmtId="2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1" fillId="7" fontId="17" numFmtId="164" xfId="0" applyAlignment="1" applyBorder="1" applyFont="1" applyNumberFormat="1">
      <alignment horizontal="center" shrinkToFit="0" wrapText="1"/>
    </xf>
    <xf borderId="1" fillId="7" fontId="17" numFmtId="164" xfId="0" applyAlignment="1" applyBorder="1" applyFont="1" applyNumberFormat="1">
      <alignment horizontal="center"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2" xfId="0" applyAlignment="1" applyFont="1" applyNumberFormat="1">
      <alignment horizontal="center" readingOrder="0"/>
    </xf>
    <xf borderId="0" fillId="0" fontId="18" numFmtId="2" xfId="0" applyAlignment="1" applyFont="1" applyNumberFormat="1">
      <alignment horizontal="center" readingOrder="0" shrinkToFit="0" wrapText="1"/>
    </xf>
    <xf borderId="0" fillId="0" fontId="30" numFmtId="2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 shrinkToFit="0" wrapText="1"/>
    </xf>
    <xf borderId="0" fillId="0" fontId="18" numFmtId="2" xfId="0" applyAlignment="1" applyFont="1" applyNumberFormat="1">
      <alignment horizontal="center" readingOrder="0"/>
    </xf>
    <xf borderId="1" fillId="0" fontId="16" numFmtId="2" xfId="0" applyAlignment="1" applyBorder="1" applyFont="1" applyNumberFormat="1">
      <alignment horizontal="center" readingOrder="0" vertical="bottom"/>
    </xf>
    <xf borderId="1" fillId="0" fontId="18" numFmtId="164" xfId="0" applyAlignment="1" applyBorder="1" applyFont="1" applyNumberFormat="1">
      <alignment horizontal="center" readingOrder="0" shrinkToFit="0" vertical="bottom" wrapText="1"/>
    </xf>
    <xf borderId="1" fillId="0" fontId="18" numFmtId="0" xfId="0" applyAlignment="1" applyBorder="1" applyFont="1">
      <alignment horizontal="center"/>
    </xf>
    <xf borderId="1" fillId="0" fontId="17" numFmtId="164" xfId="0" applyAlignment="1" applyBorder="1" applyFont="1" applyNumberFormat="1">
      <alignment horizontal="center" shrinkToFit="0" wrapText="1"/>
    </xf>
    <xf borderId="1" fillId="0" fontId="17" numFmtId="2" xfId="0" applyAlignment="1" applyBorder="1" applyFont="1" applyNumberFormat="1">
      <alignment horizont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8" numFmtId="2" xfId="0" applyAlignment="1" applyBorder="1" applyFont="1" applyNumberFormat="1">
      <alignment horizontal="center" readingOrder="0" vertical="center"/>
    </xf>
    <xf borderId="1" fillId="0" fontId="18" numFmtId="2" xfId="0" applyAlignment="1" applyBorder="1" applyFont="1" applyNumberFormat="1">
      <alignment horizontal="center" readingOrder="0" shrinkToFit="0" vertical="center" wrapText="1"/>
    </xf>
    <xf borderId="0" fillId="0" fontId="4" numFmtId="2" xfId="0" applyFont="1" applyNumberFormat="1"/>
    <xf borderId="0" fillId="0" fontId="4" numFmtId="2" xfId="0" applyAlignment="1" applyFont="1" applyNumberFormat="1">
      <alignment readingOrder="0"/>
    </xf>
    <xf borderId="0" fillId="0" fontId="7" numFmtId="0" xfId="0" applyFont="1"/>
    <xf borderId="0" fillId="8" fontId="7" numFmtId="0" xfId="0" applyFill="1" applyFont="1"/>
    <xf borderId="1" fillId="0" fontId="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5" fontId="7" numFmtId="0" xfId="0" applyFont="1"/>
    <xf borderId="0" fillId="6" fontId="6" numFmtId="0" xfId="0" applyAlignment="1" applyFont="1">
      <alignment readingOrder="0" shrinkToFit="0" wrapText="1"/>
    </xf>
    <xf borderId="1" fillId="6" fontId="1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left" readingOrder="0" shrinkToFit="0" wrapText="1"/>
    </xf>
    <xf borderId="1" fillId="6" fontId="9" numFmtId="0" xfId="0" applyAlignment="1" applyBorder="1" applyFont="1">
      <alignment horizontal="left" readingOrder="0" shrinkToFit="0" wrapText="1"/>
    </xf>
    <xf borderId="1" fillId="9" fontId="9" numFmtId="0" xfId="0" applyAlignment="1" applyBorder="1" applyFill="1" applyFont="1">
      <alignment horizontal="left" readingOrder="0" shrinkToFit="0" wrapText="1"/>
    </xf>
    <xf borderId="1" fillId="9" fontId="17" numFmtId="0" xfId="0" applyAlignment="1" applyBorder="1" applyFont="1">
      <alignment horizontal="center" readingOrder="0"/>
    </xf>
    <xf borderId="1" fillId="9" fontId="1" numFmtId="164" xfId="0" applyAlignment="1" applyBorder="1" applyFont="1" applyNumberFormat="1">
      <alignment horizontal="center" readingOrder="0" shrinkToFit="0" wrapText="1"/>
    </xf>
    <xf borderId="1" fillId="6" fontId="9" numFmtId="0" xfId="0" applyAlignment="1" applyBorder="1" applyFont="1">
      <alignment horizontal="center" readingOrder="0"/>
    </xf>
    <xf borderId="1" fillId="6" fontId="18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1" fillId="0" fontId="17" numFmtId="0" xfId="0" applyAlignment="1" applyBorder="1" applyFont="1">
      <alignment horizontal="center" readingOrder="0" shrinkToFit="0" wrapText="1"/>
    </xf>
    <xf borderId="0" fillId="0" fontId="22" numFmtId="0" xfId="0" applyAlignment="1" applyFont="1">
      <alignment horizontal="center" shrinkToFit="0" wrapText="1"/>
    </xf>
    <xf borderId="8" fillId="0" fontId="17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horizontal="center" shrinkToFit="0" wrapText="1"/>
    </xf>
    <xf borderId="9" fillId="0" fontId="17" numFmtId="0" xfId="0" applyAlignment="1" applyBorder="1" applyFont="1">
      <alignment horizontal="center" readingOrder="0" shrinkToFit="0" wrapText="1"/>
    </xf>
    <xf borderId="9" fillId="0" fontId="6" numFmtId="11" xfId="0" applyAlignment="1" applyBorder="1" applyFont="1" applyNumberFormat="1">
      <alignment horizontal="center" readingOrder="0" shrinkToFit="0" wrapText="1"/>
    </xf>
    <xf borderId="9" fillId="0" fontId="6" numFmtId="0" xfId="0" applyAlignment="1" applyBorder="1" applyFont="1">
      <alignment horizontal="center" readingOrder="0" shrinkToFit="0" wrapText="1"/>
    </xf>
    <xf borderId="10" fillId="0" fontId="17" numFmtId="0" xfId="0" applyAlignment="1" applyBorder="1" applyFont="1">
      <alignment horizontal="center" readingOrder="0" shrinkToFit="0" wrapText="1"/>
    </xf>
    <xf borderId="9" fillId="0" fontId="22" numFmtId="0" xfId="0" applyAlignment="1" applyBorder="1" applyFont="1">
      <alignment readingOrder="0"/>
    </xf>
    <xf borderId="9" fillId="0" fontId="4" numFmtId="0" xfId="0" applyBorder="1" applyFont="1"/>
    <xf borderId="1" fillId="0" fontId="17" numFmtId="0" xfId="0" applyAlignment="1" applyBorder="1" applyFont="1">
      <alignment horizontal="center" readingOrder="0" shrinkToFit="0" vertical="center" wrapText="1"/>
    </xf>
    <xf borderId="1" fillId="6" fontId="18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/>
    </xf>
    <xf borderId="1" fillId="0" fontId="18" numFmtId="164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  <xf borderId="1" fillId="0" fontId="17" numFmtId="164" xfId="0" applyAlignment="1" applyBorder="1" applyFont="1" applyNumberFormat="1">
      <alignment horizontal="center"/>
    </xf>
    <xf borderId="1" fillId="0" fontId="18" numFmtId="164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164" xfId="0" applyAlignment="1" applyBorder="1" applyFont="1" applyNumberFormat="1">
      <alignment horizontal="center" readingOrder="0"/>
    </xf>
    <xf borderId="0" fillId="8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8" fontId="32" numFmtId="0" xfId="0" applyAlignment="1" applyFont="1">
      <alignment horizontal="center" vertical="bottom"/>
    </xf>
    <xf borderId="1" fillId="0" fontId="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18" numFmtId="1" xfId="0" applyAlignment="1" applyBorder="1" applyFont="1" applyNumberFormat="1">
      <alignment horizontal="center" readingOrder="0"/>
    </xf>
    <xf borderId="1" fillId="0" fontId="9" numFmtId="164" xfId="0" applyAlignment="1" applyBorder="1" applyFont="1" applyNumberFormat="1">
      <alignment horizontal="center" readingOrder="0" shrinkToFit="0" wrapText="1"/>
    </xf>
    <xf borderId="0" fillId="8" fontId="6" numFmtId="0" xfId="0" applyFont="1"/>
    <xf borderId="0" fillId="0" fontId="9" numFmtId="0" xfId="0" applyAlignment="1" applyFont="1">
      <alignment horizontal="left" readingOrder="0" shrinkToFit="0" wrapText="1"/>
    </xf>
    <xf borderId="1" fillId="0" fontId="18" numFmtId="0" xfId="0" applyAlignment="1" applyBorder="1" applyFont="1">
      <alignment horizontal="left" readingOrder="0"/>
    </xf>
    <xf borderId="1" fillId="0" fontId="17" numFmtId="1" xfId="0" applyAlignment="1" applyBorder="1" applyFont="1" applyNumberFormat="1">
      <alignment horizontal="center"/>
    </xf>
    <xf borderId="1" fillId="0" fontId="18" numFmtId="0" xfId="0" applyAlignment="1" applyBorder="1" applyFont="1">
      <alignment horizontal="left" readingOrder="0"/>
    </xf>
    <xf borderId="1" fillId="0" fontId="17" numFmtId="1" xfId="0" applyAlignment="1" applyBorder="1" applyFont="1" applyNumberFormat="1">
      <alignment horizontal="center"/>
    </xf>
    <xf borderId="1" fillId="6" fontId="1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readingOrder="0"/>
    </xf>
    <xf borderId="1" fillId="0" fontId="7" numFmtId="0" xfId="0" applyBorder="1" applyFont="1"/>
    <xf borderId="1" fillId="0" fontId="7" numFmtId="164" xfId="0" applyBorder="1" applyFont="1" applyNumberFormat="1"/>
    <xf borderId="0" fillId="0" fontId="9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7" numFmtId="0" xfId="0" applyAlignment="1" applyFont="1">
      <alignment horizontal="center" readingOrder="0"/>
    </xf>
    <xf borderId="0" fillId="5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18" numFmtId="0" xfId="0" applyFont="1"/>
    <xf borderId="0" fillId="0" fontId="18" numFmtId="0" xfId="0" applyAlignment="1" applyFont="1">
      <alignment readingOrder="0"/>
    </xf>
    <xf borderId="1" fillId="5" fontId="7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8" fontId="7" numFmtId="0" xfId="0" applyAlignment="1" applyBorder="1" applyFont="1">
      <alignment horizontal="center" readingOrder="0"/>
    </xf>
    <xf borderId="9" fillId="0" fontId="17" numFmtId="0" xfId="0" applyAlignment="1" applyBorder="1" applyFont="1">
      <alignment readingOrder="0"/>
    </xf>
    <xf borderId="0" fillId="0" fontId="18" numFmtId="0" xfId="0" applyAlignment="1" applyFont="1">
      <alignment horizontal="center" readingOrder="0" shrinkToFit="0" wrapText="1"/>
    </xf>
    <xf borderId="1" fillId="0" fontId="18" numFmtId="3" xfId="0" applyAlignment="1" applyBorder="1" applyFont="1" applyNumberFormat="1">
      <alignment horizontal="center" readingOrder="0" shrinkToFit="0" wrapText="1"/>
    </xf>
    <xf borderId="1" fillId="0" fontId="18" numFmtId="3" xfId="0" applyAlignment="1" applyBorder="1" applyFont="1" applyNumberFormat="1">
      <alignment horizontal="center" shrinkToFit="0" wrapText="1"/>
    </xf>
    <xf borderId="0" fillId="0" fontId="18" numFmtId="0" xfId="0" applyAlignment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horizontal="center" shrinkToFit="0" vertical="center" wrapText="1"/>
    </xf>
    <xf borderId="0" fillId="5" fontId="34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1" fillId="0" fontId="18" numFmtId="164" xfId="0" applyAlignment="1" applyBorder="1" applyFont="1" applyNumberFormat="1">
      <alignment horizontal="center" readingOrder="0" vertical="center"/>
    </xf>
    <xf borderId="1" fillId="0" fontId="17" numFmtId="11" xfId="0" applyAlignment="1" applyBorder="1" applyFont="1" applyNumberFormat="1">
      <alignment horizontal="center" readingOrder="0" vertical="center"/>
    </xf>
    <xf borderId="1" fillId="0" fontId="17" numFmtId="11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4" xfId="0" applyAlignment="1" applyBorder="1" applyFont="1" applyNumberFormat="1">
      <alignment horizontal="center" readingOrder="0" shrinkToFit="0" vertical="center" wrapText="1"/>
    </xf>
    <xf borderId="1" fillId="0" fontId="17" numFmtId="164" xfId="0" applyAlignment="1" applyBorder="1" applyFont="1" applyNumberFormat="1">
      <alignment horizontal="center" readingOrder="0" vertical="center"/>
    </xf>
    <xf borderId="1" fillId="0" fontId="17" numFmtId="164" xfId="0" applyAlignment="1" applyBorder="1" applyFont="1" applyNumberFormat="1">
      <alignment horizontal="center" vertical="center"/>
    </xf>
    <xf borderId="1" fillId="0" fontId="18" numFmtId="164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readingOrder="0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 vertical="center"/>
    </xf>
    <xf borderId="1" fillId="0" fontId="16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4" fillId="10" fontId="18" numFmtId="0" xfId="0" applyAlignment="1" applyBorder="1" applyFill="1" applyFont="1">
      <alignment horizontal="center" readingOrder="0" shrinkToFit="0" vertical="center" wrapText="1"/>
    </xf>
    <xf borderId="1" fillId="10" fontId="17" numFmtId="164" xfId="0" applyAlignment="1" applyBorder="1" applyFont="1" applyNumberFormat="1">
      <alignment horizontal="center" shrinkToFit="0" vertical="center" wrapText="1"/>
    </xf>
    <xf borderId="1" fillId="10" fontId="17" numFmtId="10" xfId="0" applyAlignment="1" applyBorder="1" applyFont="1" applyNumberFormat="1">
      <alignment horizontal="center" shrinkToFit="0" vertical="center" wrapText="1"/>
    </xf>
    <xf borderId="1" fillId="0" fontId="18" numFmtId="164" xfId="0" applyAlignment="1" applyBorder="1" applyFont="1" applyNumberFormat="1">
      <alignment horizontal="center" vertical="center"/>
    </xf>
    <xf borderId="4" fillId="0" fontId="18" numFmtId="0" xfId="0" applyAlignment="1" applyBorder="1" applyFont="1">
      <alignment horizontal="right" readingOrder="0" shrinkToFit="0" vertical="center" wrapText="1"/>
    </xf>
    <xf borderId="1" fillId="0" fontId="17" numFmtId="164" xfId="0" applyAlignment="1" applyBorder="1" applyFont="1" applyNumberFormat="1">
      <alignment horizontal="center" shrinkToFit="0" vertical="center" wrapText="1"/>
    </xf>
    <xf borderId="1" fillId="0" fontId="17" numFmtId="10" xfId="0" applyAlignment="1" applyBorder="1" applyFont="1" applyNumberFormat="1">
      <alignment horizontal="center" shrinkToFit="0" vertical="center" wrapText="1"/>
    </xf>
    <xf borderId="1" fillId="0" fontId="17" numFmtId="10" xfId="0" applyAlignment="1" applyBorder="1" applyFont="1" applyNumberFormat="1">
      <alignment horizontal="center" readingOrder="0" shrinkToFit="0" vertical="center" wrapText="1"/>
    </xf>
    <xf borderId="1" fillId="10" fontId="18" numFmtId="0" xfId="0" applyAlignment="1" applyBorder="1" applyFont="1">
      <alignment horizontal="center" readingOrder="0" shrinkToFit="0" vertical="center" wrapText="1"/>
    </xf>
    <xf borderId="1" fillId="11" fontId="17" numFmtId="164" xfId="0" applyAlignment="1" applyBorder="1" applyFill="1" applyFont="1" applyNumberFormat="1">
      <alignment horizontal="center" shrinkToFit="0" vertical="center" wrapText="1"/>
    </xf>
    <xf borderId="0" fillId="11" fontId="17" numFmtId="0" xfId="0" applyAlignment="1" applyFont="1">
      <alignment horizontal="center" shrinkToFit="0" vertical="center" wrapText="1"/>
    </xf>
    <xf borderId="1" fillId="10" fontId="18" numFmtId="0" xfId="0" applyAlignment="1" applyBorder="1" applyFont="1">
      <alignment horizontal="center" readingOrder="0"/>
    </xf>
    <xf borderId="1" fillId="0" fontId="18" numFmtId="164" xfId="0" applyAlignment="1" applyBorder="1" applyFont="1" applyNumberFormat="1">
      <alignment horizontal="center"/>
    </xf>
    <xf borderId="1" fillId="10" fontId="17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readingOrder="0"/>
    </xf>
    <xf borderId="1" fillId="0" fontId="10" numFmtId="0" xfId="0" applyAlignment="1" applyBorder="1" applyFont="1">
      <alignment horizontal="center" readingOrder="0" vertical="center"/>
    </xf>
    <xf borderId="1" fillId="11" fontId="17" numFmtId="164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readingOrder="0"/>
    </xf>
    <xf borderId="10" fillId="12" fontId="8" numFmtId="0" xfId="0" applyAlignment="1" applyBorder="1" applyFill="1" applyFont="1">
      <alignment readingOrder="0" shrinkToFit="0" vertical="bottom" wrapText="0"/>
    </xf>
    <xf borderId="10" fillId="12" fontId="35" numFmtId="0" xfId="0" applyAlignment="1" applyBorder="1" applyFont="1">
      <alignment shrinkToFit="0" vertical="bottom" wrapText="0"/>
    </xf>
    <xf borderId="12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2" fillId="0" fontId="4" numFmtId="0" xfId="0" applyBorder="1" applyFont="1"/>
    <xf borderId="0" fillId="12" fontId="9" numFmtId="0" xfId="0" applyAlignment="1" applyFont="1">
      <alignment readingOrder="0" shrinkToFit="0" vertical="bottom" wrapText="0"/>
    </xf>
    <xf borderId="0" fillId="12" fontId="35" numFmtId="0" xfId="0" applyAlignment="1" applyFont="1">
      <alignment shrinkToFit="0" vertical="bottom" wrapText="0"/>
    </xf>
    <xf borderId="0" fillId="12" fontId="8" numFmtId="0" xfId="0" applyAlignment="1" applyFont="1">
      <alignment readingOrder="0" shrinkToFit="0" vertical="bottom" wrapText="0"/>
    </xf>
    <xf borderId="13" fillId="12" fontId="9" numFmtId="0" xfId="0" applyAlignment="1" applyBorder="1" applyFont="1">
      <alignment readingOrder="0" shrinkToFit="0" vertical="bottom" wrapText="0"/>
    </xf>
    <xf borderId="13" fillId="12" fontId="35" numFmtId="0" xfId="0" applyAlignment="1" applyBorder="1" applyFont="1">
      <alignment shrinkToFit="0" vertical="bottom" wrapText="0"/>
    </xf>
    <xf borderId="13" fillId="12" fontId="8" numFmtId="0" xfId="0" applyAlignment="1" applyBorder="1" applyFont="1">
      <alignment readingOrder="0" shrinkToFit="0" vertical="bottom" wrapText="0"/>
    </xf>
    <xf borderId="14" fillId="0" fontId="4" numFmtId="0" xfId="0" applyBorder="1" applyFont="1"/>
    <xf borderId="9" fillId="12" fontId="1" numFmtId="0" xfId="0" applyAlignment="1" applyBorder="1" applyFont="1">
      <alignment readingOrder="0" shrinkToFit="0" vertical="bottom" wrapText="0"/>
    </xf>
    <xf borderId="9" fillId="12" fontId="35" numFmtId="0" xfId="0" applyAlignment="1" applyBorder="1" applyFont="1">
      <alignment shrinkToFit="0" vertical="bottom" wrapText="0"/>
    </xf>
    <xf borderId="9" fillId="12" fontId="8" numFmtId="0" xfId="0" applyAlignment="1" applyBorder="1" applyFont="1">
      <alignment readingOrder="0" shrinkToFit="0" vertical="bottom" wrapText="0"/>
    </xf>
    <xf borderId="9" fillId="12" fontId="8" numFmtId="10" xfId="0" applyAlignment="1" applyBorder="1" applyFont="1" applyNumberFormat="1">
      <alignment readingOrder="0" shrinkToFit="0" vertical="bottom" wrapText="0"/>
    </xf>
    <xf borderId="10" fillId="0" fontId="4" numFmtId="0" xfId="0" applyBorder="1" applyFont="1"/>
    <xf borderId="10" fillId="0" fontId="4" numFmtId="0" xfId="0" applyAlignment="1" applyBorder="1" applyFont="1">
      <alignment readingOrder="0"/>
    </xf>
    <xf borderId="15" fillId="0" fontId="4" numFmtId="10" xfId="0" applyBorder="1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16" fillId="0" fontId="4" numFmtId="10" xfId="0" applyBorder="1" applyFont="1" applyNumberFormat="1"/>
    <xf borderId="17" fillId="0" fontId="4" numFmtId="10" xfId="0" applyBorder="1" applyFont="1" applyNumberFormat="1"/>
    <xf borderId="10" fillId="12" fontId="36" numFmtId="0" xfId="0" applyAlignment="1" applyBorder="1" applyFont="1">
      <alignment readingOrder="0" shrinkToFit="0" vertical="bottom" wrapText="0"/>
    </xf>
    <xf borderId="10" fillId="12" fontId="36" numFmtId="10" xfId="0" applyAlignment="1" applyBorder="1" applyFont="1" applyNumberFormat="1">
      <alignment readingOrder="0" shrinkToFit="0" vertical="bottom" wrapText="0"/>
    </xf>
    <xf borderId="12" fillId="0" fontId="36" numFmtId="0" xfId="0" applyAlignment="1" applyBorder="1" applyFont="1">
      <alignment readingOrder="0" shrinkToFit="0" vertical="bottom" wrapText="0"/>
    </xf>
    <xf borderId="0" fillId="0" fontId="36" numFmtId="0" xfId="0" applyAlignment="1" applyFont="1">
      <alignment readingOrder="0" shrinkToFit="0" vertical="bottom" wrapText="0"/>
    </xf>
    <xf borderId="0" fillId="12" fontId="36" numFmtId="0" xfId="0" applyAlignment="1" applyFont="1">
      <alignment readingOrder="0" shrinkToFit="0" vertical="bottom" wrapText="0"/>
    </xf>
    <xf borderId="0" fillId="12" fontId="36" numFmtId="10" xfId="0" applyAlignment="1" applyFont="1" applyNumberFormat="1">
      <alignment readingOrder="0" shrinkToFit="0" vertical="bottom" wrapText="0"/>
    </xf>
    <xf borderId="13" fillId="12" fontId="36" numFmtId="0" xfId="0" applyAlignment="1" applyBorder="1" applyFont="1">
      <alignment readingOrder="0" shrinkToFit="0" vertical="bottom" wrapText="0"/>
    </xf>
    <xf borderId="13" fillId="12" fontId="36" numFmtId="10" xfId="0" applyAlignment="1" applyBorder="1" applyFont="1" applyNumberFormat="1">
      <alignment readingOrder="0" shrinkToFit="0" vertical="bottom" wrapText="0"/>
    </xf>
    <xf borderId="9" fillId="0" fontId="4" numFmtId="10" xfId="0" applyBorder="1" applyFont="1" applyNumberFormat="1"/>
    <xf borderId="12" fillId="0" fontId="4" numFmtId="0" xfId="0" applyBorder="1" applyFont="1"/>
    <xf borderId="0" fillId="0" fontId="4" numFmtId="10" xfId="0" applyFont="1" applyNumberFormat="1"/>
    <xf borderId="10" fillId="12" fontId="9" numFmtId="0" xfId="0" applyAlignment="1" applyBorder="1" applyFont="1">
      <alignment readingOrder="0" shrinkToFit="0" vertical="bottom" wrapText="0"/>
    </xf>
    <xf borderId="10" fillId="0" fontId="4" numFmtId="10" xfId="0" applyBorder="1" applyFont="1" applyNumberFormat="1"/>
    <xf borderId="0" fillId="0" fontId="4" numFmtId="10" xfId="0" applyFont="1" applyNumberFormat="1"/>
    <xf borderId="0" fillId="12" fontId="37" numFmtId="0" xfId="0" applyAlignment="1" applyFont="1">
      <alignment readingOrder="0" shrinkToFit="0" vertical="bottom" wrapText="0"/>
    </xf>
    <xf borderId="0" fillId="0" fontId="38" numFmtId="0" xfId="0" applyFont="1"/>
    <xf borderId="0" fillId="12" fontId="39" numFmtId="0" xfId="0" applyAlignment="1" applyFont="1">
      <alignment readingOrder="0" shrinkToFit="0" vertical="bottom" wrapText="0"/>
    </xf>
    <xf borderId="10" fillId="0" fontId="22" numFmtId="0" xfId="0" applyAlignment="1" applyBorder="1" applyFont="1">
      <alignment readingOrder="0"/>
    </xf>
    <xf borderId="1" fillId="3" fontId="36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/>
    </xf>
    <xf borderId="18" fillId="3" fontId="36" numFmtId="0" xfId="0" applyAlignment="1" applyBorder="1" applyFont="1">
      <alignment horizontal="center" vertical="bottom"/>
    </xf>
    <xf borderId="10" fillId="12" fontId="8" numFmtId="0" xfId="0" applyAlignment="1" applyBorder="1" applyFont="1">
      <alignment horizontal="right" readingOrder="0" shrinkToFit="0" vertical="bottom" wrapText="0"/>
    </xf>
    <xf borderId="12" fillId="0" fontId="8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12" fontId="8" numFmtId="0" xfId="0" applyAlignment="1" applyFont="1">
      <alignment horizontal="right" readingOrder="0" shrinkToFit="0" vertical="bottom" wrapText="0"/>
    </xf>
    <xf borderId="0" fillId="12" fontId="9" numFmtId="0" xfId="0" applyAlignment="1" applyFont="1">
      <alignment horizontal="right" readingOrder="0" shrinkToFit="0" vertical="bottom" wrapText="0"/>
    </xf>
    <xf borderId="17" fillId="0" fontId="4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9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0" fontId="4" numFmtId="10" xfId="0" applyBorder="1" applyFont="1" applyNumberFormat="1"/>
    <xf borderId="19" fillId="12" fontId="8" numFmtId="0" xfId="0" applyAlignment="1" applyBorder="1" applyFont="1">
      <alignment shrinkToFit="0" vertical="bottom" wrapText="0"/>
    </xf>
    <xf borderId="19" fillId="12" fontId="8" numFmtId="0" xfId="0" applyAlignment="1" applyBorder="1" applyFont="1">
      <alignment horizontal="right" readingOrder="0" shrinkToFit="0" vertical="bottom" wrapText="0"/>
    </xf>
    <xf borderId="0" fillId="12" fontId="9" numFmtId="0" xfId="0" applyAlignment="1" applyFont="1">
      <alignment readingOrder="0" shrinkToFit="0" vertical="bottom" wrapText="0"/>
    </xf>
    <xf borderId="0" fillId="12" fontId="8" numFmtId="10" xfId="0" applyAlignment="1" applyFont="1" applyNumberFormat="1">
      <alignment horizontal="right" readingOrder="0" shrinkToFit="0" vertical="bottom" wrapText="0"/>
    </xf>
    <xf borderId="0" fillId="12" fontId="8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shrinkToFit="0" vertical="bottom" wrapText="0"/>
    </xf>
    <xf borderId="14" fillId="0" fontId="40" numFmtId="0" xfId="0" applyAlignment="1" applyBorder="1" applyFont="1">
      <alignment readingOrder="0" shrinkToFit="0" vertical="bottom" wrapText="0"/>
    </xf>
    <xf borderId="9" fillId="0" fontId="4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readingOrder="0" shrinkToFit="0" vertical="bottom" wrapText="0"/>
    </xf>
    <xf borderId="18" fillId="0" fontId="13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readingOrder="0" shrinkToFit="0" vertical="bottom" wrapText="1"/>
    </xf>
    <xf borderId="1" fillId="4" fontId="12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41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10" xfId="0" applyAlignment="1" applyBorder="1" applyFont="1" applyNumberFormat="1">
      <alignment horizontal="center" readingOrder="0" shrinkToFit="0" vertical="bottom" wrapText="0"/>
    </xf>
    <xf borderId="1" fillId="0" fontId="8" numFmtId="2" xfId="0" applyAlignment="1" applyBorder="1" applyFont="1" applyNumberForma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vertical="center"/>
    </xf>
    <xf borderId="1" fillId="13" fontId="8" numFmtId="0" xfId="0" applyAlignment="1" applyBorder="1" applyFill="1" applyFont="1">
      <alignment readingOrder="0" shrinkToFit="0" vertical="bottom" wrapText="0"/>
    </xf>
    <xf borderId="1" fillId="13" fontId="8" numFmtId="0" xfId="0" applyAlignment="1" applyBorder="1" applyFont="1">
      <alignment shrinkToFit="0" vertical="bottom" wrapText="0"/>
    </xf>
    <xf borderId="1" fillId="13" fontId="9" numFmtId="0" xfId="0" applyAlignment="1" applyBorder="1" applyFont="1">
      <alignment readingOrder="0" shrinkToFit="0" vertical="bottom" wrapText="0"/>
    </xf>
    <xf borderId="2" fillId="13" fontId="9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readingOrder="0" shrinkToFit="0" vertical="bottom" wrapText="1"/>
    </xf>
    <xf borderId="8" fillId="5" fontId="1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ont="1">
      <alignment readingOrder="0" shrinkToFit="0" vertical="bottom" wrapText="0"/>
    </xf>
    <xf borderId="1" fillId="5" fontId="42" numFmtId="0" xfId="0" applyAlignment="1" applyBorder="1" applyFont="1">
      <alignment readingOrder="0" shrinkToFit="0" vertical="bottom" wrapText="0"/>
    </xf>
    <xf borderId="2" fillId="5" fontId="8" numFmtId="0" xfId="0" applyAlignment="1" applyBorder="1" applyFont="1">
      <alignment readingOrder="0" shrinkToFit="0" vertical="bottom" wrapText="0"/>
    </xf>
    <xf borderId="1" fillId="5" fontId="8" numFmtId="10" xfId="0" applyAlignment="1" applyBorder="1" applyFont="1" applyNumberFormat="1">
      <alignment readingOrder="0" shrinkToFit="0" vertical="bottom" wrapText="0"/>
    </xf>
    <xf borderId="1" fillId="8" fontId="9" numFmtId="0" xfId="0" applyAlignment="1" applyBorder="1" applyFont="1">
      <alignment readingOrder="0" shrinkToFit="0" vertical="bottom" wrapText="1"/>
    </xf>
    <xf borderId="20" fillId="8" fontId="43" numFmtId="0" xfId="0" applyBorder="1" applyFont="1"/>
    <xf borderId="1" fillId="8" fontId="8" numFmtId="0" xfId="0" applyAlignment="1" applyBorder="1" applyFont="1">
      <alignment readingOrder="0" shrinkToFit="0" vertical="bottom" wrapText="0"/>
    </xf>
    <xf borderId="2" fillId="8" fontId="8" numFmtId="0" xfId="0" applyAlignment="1" applyBorder="1" applyFont="1">
      <alignment readingOrder="0" shrinkToFit="0" vertical="bottom" wrapText="0"/>
    </xf>
    <xf borderId="1" fillId="8" fontId="8" numFmtId="10" xfId="0" applyAlignment="1" applyBorder="1" applyFont="1" applyNumberFormat="1">
      <alignment readingOrder="0" shrinkToFit="0" vertical="bottom" wrapText="0"/>
    </xf>
    <xf borderId="1" fillId="10" fontId="8" numFmtId="0" xfId="0" applyAlignment="1" applyBorder="1" applyFont="1">
      <alignment readingOrder="0" shrinkToFit="0" vertical="bottom" wrapText="1"/>
    </xf>
    <xf borderId="20" fillId="5" fontId="43" numFmtId="0" xfId="0" applyBorder="1" applyFont="1"/>
    <xf borderId="1" fillId="5" fontId="8" numFmtId="0" xfId="0" applyAlignment="1" applyBorder="1" applyFont="1">
      <alignment readingOrder="0" shrinkToFit="0" vertical="bottom" wrapText="0"/>
    </xf>
    <xf borderId="2" fillId="10" fontId="8" numFmtId="0" xfId="0" applyAlignment="1" applyBorder="1" applyFont="1">
      <alignment readingOrder="0" shrinkToFit="0" vertical="bottom" wrapText="0"/>
    </xf>
    <xf borderId="1" fillId="10" fontId="8" numFmtId="10" xfId="0" applyAlignment="1" applyBorder="1" applyFont="1" applyNumberFormat="1">
      <alignment readingOrder="0" shrinkToFit="0" vertical="bottom" wrapText="0"/>
    </xf>
    <xf borderId="8" fillId="8" fontId="9" numFmtId="0" xfId="0" applyAlignment="1" applyBorder="1" applyFont="1">
      <alignment readingOrder="0" shrinkToFit="0" vertical="bottom" wrapText="1"/>
    </xf>
    <xf borderId="18" fillId="8" fontId="43" numFmtId="0" xfId="0" applyBorder="1" applyFont="1"/>
    <xf borderId="8" fillId="8" fontId="8" numFmtId="0" xfId="0" applyAlignment="1" applyBorder="1" applyFont="1">
      <alignment readingOrder="0" shrinkToFit="0" vertical="bottom" wrapText="0"/>
    </xf>
    <xf borderId="11" fillId="8" fontId="8" numFmtId="0" xfId="0" applyAlignment="1" applyBorder="1" applyFont="1">
      <alignment readingOrder="0" shrinkToFit="0" vertical="bottom" wrapText="0"/>
    </xf>
    <xf borderId="21" fillId="5" fontId="9" numFmtId="0" xfId="0" applyAlignment="1" applyBorder="1" applyFont="1">
      <alignment readingOrder="0" shrinkToFit="0" vertical="bottom" wrapText="1"/>
    </xf>
    <xf borderId="22" fillId="5" fontId="42" numFmtId="0" xfId="0" applyAlignment="1" applyBorder="1" applyFont="1">
      <alignment horizontal="center" readingOrder="0" shrinkToFit="0" vertical="center" wrapText="1"/>
    </xf>
    <xf borderId="21" fillId="5" fontId="9" numFmtId="0" xfId="0" applyAlignment="1" applyBorder="1" applyFont="1">
      <alignment readingOrder="0" shrinkToFit="0" vertical="bottom" wrapText="0"/>
    </xf>
    <xf borderId="21" fillId="5" fontId="42" numFmtId="0" xfId="0" applyAlignment="1" applyBorder="1" applyFont="1">
      <alignment readingOrder="0" shrinkToFit="0" vertical="bottom" wrapText="0"/>
    </xf>
    <xf borderId="23" fillId="5" fontId="8" numFmtId="0" xfId="0" applyAlignment="1" applyBorder="1" applyFont="1">
      <alignment readingOrder="0" shrinkToFit="0" vertical="bottom" wrapText="0"/>
    </xf>
    <xf borderId="24" fillId="10" fontId="8" numFmtId="0" xfId="0" applyAlignment="1" applyBorder="1" applyFont="1">
      <alignment readingOrder="0" shrinkToFit="0" vertical="bottom" wrapText="1"/>
    </xf>
    <xf borderId="25" fillId="8" fontId="43" numFmtId="0" xfId="0" applyBorder="1" applyFont="1"/>
    <xf borderId="24" fillId="8" fontId="8" numFmtId="0" xfId="0" applyAlignment="1" applyBorder="1" applyFont="1">
      <alignment readingOrder="0" shrinkToFit="0" vertical="bottom" wrapText="0"/>
    </xf>
    <xf borderId="26" fillId="10" fontId="8" numFmtId="0" xfId="0" applyAlignment="1" applyBorder="1" applyFont="1">
      <alignment readingOrder="0" shrinkToFit="0" vertical="bottom" wrapText="0"/>
    </xf>
    <xf borderId="18" fillId="5" fontId="9" numFmtId="0" xfId="0" applyAlignment="1" applyBorder="1" applyFont="1">
      <alignment readingOrder="0" shrinkToFit="0" vertical="bottom" wrapText="1"/>
    </xf>
    <xf borderId="20" fillId="5" fontId="1" numFmtId="0" xfId="0" applyAlignment="1" applyBorder="1" applyFont="1">
      <alignment horizontal="center" readingOrder="0" shrinkToFit="0" vertical="center" wrapText="1"/>
    </xf>
    <xf borderId="18" fillId="5" fontId="42" numFmtId="0" xfId="0" applyAlignment="1" applyBorder="1" applyFont="1">
      <alignment readingOrder="0" shrinkToFit="0" vertical="bottom" wrapText="0"/>
    </xf>
    <xf borderId="14" fillId="5" fontId="8" numFmtId="0" xfId="0" applyAlignment="1" applyBorder="1" applyFont="1">
      <alignment readingOrder="0" shrinkToFit="0" vertical="bottom" wrapText="0"/>
    </xf>
    <xf borderId="8" fillId="10" fontId="8" numFmtId="0" xfId="0" applyAlignment="1" applyBorder="1" applyFont="1">
      <alignment readingOrder="0" shrinkToFit="0" vertical="bottom" wrapText="1"/>
    </xf>
    <xf borderId="11" fillId="10" fontId="8" numFmtId="0" xfId="0" applyAlignment="1" applyBorder="1" applyFont="1">
      <alignment readingOrder="0" shrinkToFit="0" vertical="bottom" wrapText="0"/>
    </xf>
    <xf borderId="27" fillId="5" fontId="9" numFmtId="0" xfId="0" applyAlignment="1" applyBorder="1" applyFont="1">
      <alignment horizontal="left" readingOrder="0"/>
    </xf>
    <xf borderId="22" fillId="5" fontId="1" numFmtId="0" xfId="0" applyAlignment="1" applyBorder="1" applyFont="1">
      <alignment horizontal="center" readingOrder="0" shrinkToFit="0" vertical="center" wrapText="1"/>
    </xf>
    <xf borderId="0" fillId="5" fontId="9" numFmtId="0" xfId="0" applyAlignment="1" applyFont="1">
      <alignment horizontal="left" readingOrder="0"/>
    </xf>
    <xf borderId="21" fillId="5" fontId="8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5" fontId="42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bottom" wrapText="0"/>
    </xf>
    <xf borderId="0" fillId="8" fontId="1" numFmtId="0" xfId="0" applyAlignment="1" applyFont="1">
      <alignment readingOrder="0" shrinkToFit="0" vertical="bottom" wrapText="1"/>
    </xf>
    <xf borderId="0" fillId="8" fontId="42" numFmtId="0" xfId="0" applyAlignment="1" applyFont="1">
      <alignment horizontal="center" readingOrder="0" shrinkToFit="0" vertical="center" wrapText="1"/>
    </xf>
    <xf borderId="0" fillId="8" fontId="8" numFmtId="0" xfId="0" applyAlignment="1" applyFont="1">
      <alignment readingOrder="0" shrinkToFit="0" vertical="bottom" wrapText="0"/>
    </xf>
    <xf borderId="1" fillId="14" fontId="44" numFmtId="0" xfId="0" applyAlignment="1" applyBorder="1" applyFill="1" applyFont="1">
      <alignment horizontal="center" readingOrder="0" shrinkToFit="0" wrapText="1"/>
    </xf>
    <xf borderId="2" fillId="14" fontId="44" numFmtId="0" xfId="0" applyAlignment="1" applyBorder="1" applyFont="1">
      <alignment horizontal="center" readingOrder="0" shrinkToFit="0" wrapText="1"/>
    </xf>
    <xf borderId="4" fillId="14" fontId="43" numFmtId="0" xfId="0" applyBorder="1" applyFont="1"/>
    <xf borderId="0" fillId="5" fontId="9" numFmtId="0" xfId="0" applyAlignment="1" applyFont="1">
      <alignment horizontal="center" readingOrder="0" shrinkToFit="0" wrapText="1"/>
    </xf>
    <xf borderId="6" fillId="5" fontId="9" numFmtId="0" xfId="0" applyAlignment="1" applyBorder="1" applyFont="1">
      <alignment horizontal="center" readingOrder="0" shrinkToFit="0" wrapText="1"/>
    </xf>
    <xf borderId="4" fillId="5" fontId="9" numFmtId="10" xfId="0" applyAlignment="1" applyBorder="1" applyFont="1" applyNumberFormat="1">
      <alignment horizontal="center" readingOrder="0" shrinkToFit="0" wrapText="1"/>
    </xf>
    <xf borderId="2" fillId="5" fontId="9" numFmtId="0" xfId="0" applyAlignment="1" applyBorder="1" applyFont="1">
      <alignment horizontal="center" readingOrder="0" shrinkToFit="0" wrapText="1"/>
    </xf>
    <xf borderId="0" fillId="5" fontId="29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shrinkToFit="0" wrapText="1"/>
    </xf>
    <xf borderId="6" fillId="7" fontId="9" numFmtId="0" xfId="0" applyAlignment="1" applyBorder="1" applyFont="1">
      <alignment horizontal="center" readingOrder="0" shrinkToFit="0" wrapText="1"/>
    </xf>
    <xf borderId="4" fillId="7" fontId="44" numFmtId="10" xfId="0" applyAlignment="1" applyBorder="1" applyFont="1" applyNumberFormat="1">
      <alignment horizontal="center" readingOrder="0" shrinkToFit="0" wrapText="1"/>
    </xf>
    <xf borderId="2" fillId="7" fontId="44" numFmtId="0" xfId="0" applyAlignment="1" applyBorder="1" applyFont="1">
      <alignment horizontal="center" readingOrder="0" shrinkToFit="0" wrapText="1"/>
    </xf>
    <xf borderId="0" fillId="5" fontId="29" numFmtId="9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4" fillId="7" fontId="9" numFmtId="10" xfId="0" applyAlignment="1" applyBorder="1" applyFont="1" applyNumberFormat="1">
      <alignment horizontal="center" readingOrder="0" shrinkToFit="0" wrapText="1"/>
    </xf>
    <xf borderId="2" fillId="7" fontId="9" numFmtId="0" xfId="0" applyAlignment="1" applyBorder="1" applyFont="1">
      <alignment horizontal="center" readingOrder="0" shrinkToFit="0" wrapText="1"/>
    </xf>
    <xf borderId="6" fillId="5" fontId="1" numFmtId="0" xfId="0" applyAlignment="1" applyBorder="1" applyFont="1">
      <alignment horizontal="center" readingOrder="0" shrinkToFit="0" wrapText="1"/>
    </xf>
    <xf borderId="4" fillId="5" fontId="4" numFmtId="0" xfId="0" applyAlignment="1" applyBorder="1" applyFont="1">
      <alignment horizontal="center" shrinkToFit="0" vertical="bottom" wrapText="1"/>
    </xf>
    <xf borderId="1" fillId="0" fontId="18" numFmtId="3" xfId="0" applyAlignment="1" applyBorder="1" applyFont="1" applyNumberFormat="1">
      <alignment readingOrder="0" shrinkToFit="0" wrapText="1"/>
    </xf>
    <xf borderId="1" fillId="0" fontId="18" numFmtId="3" xfId="0" applyAlignment="1" applyBorder="1" applyFont="1" applyNumberFormat="1">
      <alignment horizontal="center" readingOrder="0" shrinkToFit="0" vertical="center" wrapText="1"/>
    </xf>
    <xf borderId="1" fillId="0" fontId="18" numFmtId="3" xfId="0" applyAlignment="1" applyBorder="1" applyFont="1" applyNumberFormat="1">
      <alignment horizontal="center" readingOrder="0" vertical="center"/>
    </xf>
    <xf borderId="1" fillId="0" fontId="4" numFmtId="3" xfId="0" applyBorder="1" applyFont="1" applyNumberFormat="1"/>
    <xf borderId="1" fillId="0" fontId="18" numFmtId="3" xfId="0" applyAlignment="1" applyBorder="1" applyFont="1" applyNumberFormat="1">
      <alignment horizontal="center"/>
    </xf>
    <xf borderId="1" fillId="0" fontId="18" numFmtId="10" xfId="0" applyAlignment="1" applyBorder="1" applyFont="1" applyNumberFormat="1">
      <alignment horizontal="center"/>
    </xf>
    <xf borderId="1" fillId="0" fontId="4" numFmtId="10" xfId="0" applyBorder="1" applyFont="1" applyNumberFormat="1"/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1" fillId="0" fontId="18" numFmtId="0" xfId="0" applyAlignment="1" applyBorder="1" applyFont="1">
      <alignment horizontal="center" readingOrder="0"/>
    </xf>
    <xf borderId="1" fillId="15" fontId="18" numFmtId="3" xfId="0" applyAlignment="1" applyBorder="1" applyFill="1" applyFont="1" applyNumberFormat="1">
      <alignment horizontal="center" readingOrder="0" shrinkToFit="0" vertical="center" wrapText="1"/>
    </xf>
    <xf borderId="1" fillId="0" fontId="18" numFmtId="10" xfId="0" applyAlignment="1" applyBorder="1" applyFont="1" applyNumberFormat="1">
      <alignment readingOrder="0"/>
    </xf>
    <xf borderId="1" fillId="0" fontId="18" numFmtId="164" xfId="0" applyBorder="1" applyFont="1" applyNumberFormat="1"/>
    <xf borderId="1" fillId="0" fontId="18" numFmtId="2" xfId="0" applyBorder="1" applyFont="1" applyNumberFormat="1"/>
    <xf borderId="1" fillId="0" fontId="30" numFmtId="2" xfId="0" applyBorder="1" applyFont="1" applyNumberFormat="1"/>
    <xf borderId="1" fillId="5" fontId="30" numFmtId="2" xfId="0" applyAlignment="1" applyBorder="1" applyFont="1" applyNumberFormat="1">
      <alignment readingOrder="0"/>
    </xf>
    <xf borderId="1" fillId="0" fontId="17" numFmtId="164" xfId="0" applyBorder="1" applyFont="1" applyNumberFormat="1"/>
    <xf borderId="1" fillId="0" fontId="17" numFmtId="2" xfId="0" applyBorder="1" applyFont="1" applyNumberFormat="1"/>
    <xf borderId="1" fillId="0" fontId="18" numFmtId="0" xfId="0" applyAlignment="1" applyBorder="1" applyFont="1">
      <alignment horizontal="left" readingOrder="0" shrinkToFit="0" vertical="center" wrapText="0"/>
    </xf>
    <xf borderId="1" fillId="0" fontId="17" numFmtId="0" xfId="0" applyBorder="1" applyFont="1"/>
    <xf borderId="8" fillId="14" fontId="18" numFmtId="0" xfId="0" applyAlignment="1" applyBorder="1" applyFont="1">
      <alignment horizontal="center" readingOrder="0" shrinkToFit="0" vertical="center" wrapText="1"/>
    </xf>
    <xf borderId="0" fillId="14" fontId="4" numFmtId="0" xfId="0" applyAlignment="1" applyFont="1">
      <alignment readingOrder="0"/>
    </xf>
    <xf borderId="8" fillId="14" fontId="18" numFmtId="0" xfId="0" applyAlignment="1" applyBorder="1" applyFont="1">
      <alignment horizontal="center" readingOrder="0" vertical="center"/>
    </xf>
    <xf borderId="2" fillId="14" fontId="18" numFmtId="0" xfId="0" applyAlignment="1" applyBorder="1" applyFont="1">
      <alignment horizontal="center" readingOrder="0"/>
    </xf>
    <xf borderId="2" fillId="14" fontId="16" numFmtId="0" xfId="0" applyAlignment="1" applyBorder="1" applyFont="1">
      <alignment horizontal="center" readingOrder="0" vertical="bottom"/>
    </xf>
    <xf borderId="0" fillId="14" fontId="18" numFmtId="0" xfId="0" applyAlignment="1" applyFont="1">
      <alignment horizontal="center" readingOrder="0"/>
    </xf>
    <xf borderId="18" fillId="5" fontId="43" numFmtId="0" xfId="0" applyBorder="1" applyFont="1"/>
    <xf borderId="1" fillId="14" fontId="18" numFmtId="0" xfId="0" applyAlignment="1" applyBorder="1" applyFont="1">
      <alignment horizontal="center" readingOrder="0"/>
    </xf>
    <xf borderId="18" fillId="14" fontId="16" numFmtId="0" xfId="0" applyAlignment="1" applyBorder="1" applyFont="1">
      <alignment horizontal="center" vertical="bottom"/>
    </xf>
    <xf borderId="17" fillId="14" fontId="16" numFmtId="0" xfId="0" applyAlignment="1" applyBorder="1" applyFont="1">
      <alignment horizontal="center" vertical="bottom"/>
    </xf>
    <xf borderId="1" fillId="7" fontId="18" numFmtId="3" xfId="0" applyAlignment="1" applyBorder="1" applyFont="1" applyNumberForma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0" shrinkToFit="0" wrapText="1"/>
    </xf>
    <xf borderId="1" fillId="7" fontId="18" numFmtId="10" xfId="0" applyAlignment="1" applyBorder="1" applyFont="1" applyNumberFormat="1">
      <alignment readingOrder="0"/>
    </xf>
    <xf borderId="1" fillId="7" fontId="18" numFmtId="164" xfId="0" applyBorder="1" applyFont="1" applyNumberFormat="1"/>
    <xf borderId="1" fillId="7" fontId="18" numFmtId="2" xfId="0" applyBorder="1" applyFont="1" applyNumberFormat="1"/>
    <xf borderId="1" fillId="7" fontId="30" numFmtId="10" xfId="0" applyAlignment="1" applyBorder="1" applyFont="1" applyNumberFormat="1">
      <alignment readingOrder="0"/>
    </xf>
    <xf borderId="0" fillId="7" fontId="18" numFmtId="2" xfId="0" applyFont="1" applyNumberFormat="1"/>
    <xf borderId="1" fillId="5" fontId="18" numFmtId="3" xfId="0" applyAlignment="1" applyBorder="1" applyFont="1" applyNumberFormat="1">
      <alignment horizontal="center" readingOrder="0" shrinkToFit="0" vertical="center" wrapText="1"/>
    </xf>
    <xf borderId="1" fillId="5" fontId="9" numFmtId="0" xfId="0" applyAlignment="1" applyBorder="1" applyFont="1">
      <alignment horizontal="center" readingOrder="0" shrinkToFit="0" wrapText="1"/>
    </xf>
    <xf borderId="1" fillId="5" fontId="18" numFmtId="10" xfId="0" applyAlignment="1" applyBorder="1" applyFont="1" applyNumberFormat="1">
      <alignment readingOrder="0"/>
    </xf>
    <xf borderId="1" fillId="5" fontId="18" numFmtId="164" xfId="0" applyBorder="1" applyFont="1" applyNumberFormat="1"/>
    <xf borderId="1" fillId="5" fontId="18" numFmtId="9" xfId="0" applyAlignment="1" applyBorder="1" applyFont="1" applyNumberFormat="1">
      <alignment readingOrder="0"/>
    </xf>
    <xf borderId="1" fillId="5" fontId="18" numFmtId="2" xfId="0" applyBorder="1" applyFont="1" applyNumberFormat="1"/>
    <xf borderId="1" fillId="5" fontId="30" numFmtId="10" xfId="0" applyAlignment="1" applyBorder="1" applyFont="1" applyNumberFormat="1">
      <alignment readingOrder="0"/>
    </xf>
    <xf borderId="0" fillId="5" fontId="18" numFmtId="2" xfId="0" applyFont="1" applyNumberFormat="1"/>
    <xf borderId="1" fillId="7" fontId="18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wrapText="1"/>
    </xf>
    <xf borderId="1" fillId="7" fontId="18" numFmtId="0" xfId="0" applyBorder="1" applyFont="1"/>
    <xf borderId="1" fillId="7" fontId="17" numFmtId="164" xfId="0" applyBorder="1" applyFont="1" applyNumberFormat="1"/>
    <xf borderId="1" fillId="7" fontId="17" numFmtId="2" xfId="0" applyBorder="1" applyFont="1" applyNumberFormat="1"/>
    <xf borderId="1" fillId="7" fontId="18" numFmtId="2" xfId="0" applyAlignment="1" applyBorder="1" applyFont="1" applyNumberFormat="1">
      <alignment horizontal="center"/>
    </xf>
    <xf borderId="1" fillId="7" fontId="18" numFmtId="2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 shrinkToFit="0" vertical="center" wrapText="1"/>
    </xf>
    <xf borderId="1" fillId="5" fontId="34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shrinkToFit="0" wrapText="1"/>
    </xf>
    <xf borderId="13" fillId="12" fontId="8" numFmtId="0" xfId="0" applyAlignment="1" applyBorder="1" applyFont="1">
      <alignment horizontal="right" readingOrder="0" shrinkToFit="0" vertical="bottom" wrapText="0"/>
    </xf>
    <xf borderId="28" fillId="16" fontId="16" numFmtId="0" xfId="0" applyAlignment="1" applyBorder="1" applyFill="1" applyFont="1">
      <alignment readingOrder="0" shrinkToFit="0" vertical="bottom" wrapText="0"/>
    </xf>
    <xf borderId="28" fillId="16" fontId="36" numFmtId="0" xfId="0" applyAlignment="1" applyBorder="1" applyFont="1">
      <alignment horizontal="right" readingOrder="0" shrinkToFit="0" vertical="bottom" wrapText="0"/>
    </xf>
    <xf borderId="28" fillId="16" fontId="36" numFmtId="0" xfId="0" applyAlignment="1" applyBorder="1" applyFont="1">
      <alignment shrinkToFit="0" vertical="bottom" wrapText="0"/>
    </xf>
    <xf borderId="0" fillId="16" fontId="36" numFmtId="0" xfId="0" applyAlignment="1" applyFont="1">
      <alignment shrinkToFit="0" vertical="bottom" wrapText="0"/>
    </xf>
    <xf borderId="0" fillId="16" fontId="36" numFmtId="0" xfId="0" applyAlignment="1" applyFont="1">
      <alignment horizontal="right" readingOrder="0" shrinkToFit="0" vertical="bottom" wrapText="0"/>
    </xf>
    <xf borderId="0" fillId="16" fontId="36" numFmtId="0" xfId="0" applyAlignment="1" applyFont="1">
      <alignment readingOrder="0" shrinkToFit="0" vertical="bottom" wrapText="0"/>
    </xf>
    <xf borderId="0" fillId="16" fontId="16" numFmtId="0" xfId="0" applyAlignment="1" applyFont="1">
      <alignment horizontal="right" readingOrder="0" shrinkToFit="0" vertical="bottom" wrapText="0"/>
    </xf>
    <xf borderId="13" fillId="16" fontId="36" numFmtId="0" xfId="0" applyAlignment="1" applyBorder="1" applyFont="1">
      <alignment readingOrder="0" shrinkToFit="0" vertical="bottom" wrapText="0"/>
    </xf>
    <xf borderId="13" fillId="16" fontId="36" numFmtId="0" xfId="0" applyAlignment="1" applyBorder="1" applyFont="1">
      <alignment horizontal="right" readingOrder="0" shrinkToFit="0" vertical="bottom" wrapText="0"/>
    </xf>
    <xf borderId="0" fillId="16" fontId="36" numFmtId="0" xfId="0" applyAlignment="1" applyFont="1">
      <alignment horizontal="right" readingOrder="0" shrinkToFit="0" vertical="bottom" wrapText="0"/>
    </xf>
    <xf borderId="29" fillId="16" fontId="36" numFmtId="0" xfId="0" applyAlignment="1" applyBorder="1" applyFont="1">
      <alignment horizontal="right" readingOrder="0" shrinkToFit="0" vertical="bottom" wrapText="0"/>
    </xf>
    <xf borderId="12" fillId="16" fontId="36" numFmtId="0" xfId="0" applyAlignment="1" applyBorder="1" applyFont="1">
      <alignment shrinkToFit="0" vertical="bottom" wrapText="0"/>
    </xf>
    <xf borderId="12" fillId="16" fontId="36" numFmtId="0" xfId="0" applyAlignment="1" applyBorder="1" applyFont="1">
      <alignment horizontal="right" readingOrder="0" shrinkToFit="0" vertical="bottom" wrapText="0"/>
    </xf>
    <xf borderId="0" fillId="16" fontId="16" numFmtId="0" xfId="0" applyAlignment="1" applyFont="1">
      <alignment readingOrder="0" shrinkToFit="0" vertical="bottom" wrapText="0"/>
    </xf>
    <xf borderId="2" fillId="14" fontId="11" numFmtId="0" xfId="0" applyAlignment="1" applyBorder="1" applyFont="1">
      <alignment readingOrder="0" shrinkToFit="0" vertical="bottom" wrapText="0"/>
    </xf>
    <xf borderId="3" fillId="14" fontId="11" numFmtId="0" xfId="0" applyAlignment="1" applyBorder="1" applyFont="1">
      <alignment readingOrder="0" shrinkToFit="0" vertical="bottom" wrapText="0"/>
    </xf>
    <xf borderId="4" fillId="14" fontId="11" numFmtId="0" xfId="0" applyAlignment="1" applyBorder="1" applyFont="1">
      <alignment readingOrder="0" shrinkToFit="0" vertical="bottom" wrapText="0"/>
    </xf>
    <xf borderId="1" fillId="14" fontId="11" numFmtId="0" xfId="0" applyAlignment="1" applyBorder="1" applyFont="1">
      <alignment shrinkToFit="0" vertical="bottom" wrapText="0"/>
    </xf>
    <xf borderId="24" fillId="14" fontId="11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2" fillId="5" fontId="41" numFmtId="0" xfId="0" applyAlignment="1" applyBorder="1" applyFont="1">
      <alignment readingOrder="0" shrinkToFit="0" vertical="bottom" wrapText="0"/>
    </xf>
    <xf borderId="3" fillId="5" fontId="41" numFmtId="0" xfId="0" applyAlignment="1" applyBorder="1" applyFont="1">
      <alignment readingOrder="0" shrinkToFit="0" vertical="bottom" wrapText="0"/>
    </xf>
    <xf borderId="1" fillId="5" fontId="41" numFmtId="0" xfId="0" applyAlignment="1" applyBorder="1" applyFont="1">
      <alignment shrinkToFit="0" vertical="bottom" wrapText="0"/>
    </xf>
    <xf borderId="22" fillId="5" fontId="41" numFmtId="0" xfId="0" applyAlignment="1" applyBorder="1" applyFont="1">
      <alignment shrinkToFit="0" vertical="bottom" wrapText="0"/>
    </xf>
    <xf borderId="8" fillId="7" fontId="9" numFmtId="0" xfId="0" applyAlignment="1" applyBorder="1" applyFont="1">
      <alignment readingOrder="0" shrinkToFit="0" vertical="bottom" wrapText="0"/>
    </xf>
    <xf borderId="8" fillId="7" fontId="13" numFmtId="0" xfId="0" applyAlignment="1" applyBorder="1" applyFont="1">
      <alignment horizontal="right" readingOrder="0" shrinkToFit="0" vertical="bottom" wrapText="0"/>
    </xf>
    <xf borderId="24" fillId="7" fontId="9" numFmtId="0" xfId="0" applyAlignment="1" applyBorder="1" applyFont="1">
      <alignment horizontal="right" readingOrder="0" shrinkToFit="0" vertical="bottom" wrapText="1"/>
    </xf>
    <xf borderId="21" fillId="5" fontId="8" numFmtId="0" xfId="0" applyAlignment="1" applyBorder="1" applyFont="1">
      <alignment horizontal="right" readingOrder="0" shrinkToFit="0" vertical="bottom" wrapText="0"/>
    </xf>
    <xf borderId="21" fillId="5" fontId="9" numFmtId="0" xfId="0" applyAlignment="1" applyBorder="1" applyFont="1">
      <alignment horizontal="right" readingOrder="0" shrinkToFit="0" vertical="bottom" wrapText="0"/>
    </xf>
    <xf borderId="22" fillId="7" fontId="8" numFmtId="10" xfId="0" applyAlignment="1" applyBorder="1" applyFont="1" applyNumberFormat="1">
      <alignment horizontal="right" readingOrder="0" shrinkToFit="0" vertical="bottom" wrapText="0"/>
    </xf>
    <xf borderId="1" fillId="7" fontId="8" numFmtId="0" xfId="0" applyAlignment="1" applyBorder="1" applyFont="1">
      <alignment horizontal="right" readingOrder="0" shrinkToFit="0" vertical="bottom" wrapText="0"/>
    </xf>
    <xf borderId="1" fillId="7" fontId="9" numFmtId="0" xfId="0" applyAlignment="1" applyBorder="1" applyFont="1">
      <alignment horizontal="right" readingOrder="0" shrinkToFit="0" vertical="bottom" wrapText="0"/>
    </xf>
    <xf borderId="20" fillId="7" fontId="43" numFmtId="0" xfId="0" applyBorder="1" applyFont="1"/>
    <xf borderId="1" fillId="5" fontId="8" numFmtId="0" xfId="0" applyAlignment="1" applyBorder="1" applyFont="1">
      <alignment horizontal="right" readingOrder="0" shrinkToFit="0" vertical="bottom" wrapText="0"/>
    </xf>
    <xf borderId="8" fillId="5" fontId="8" numFmtId="0" xfId="0" applyAlignment="1" applyBorder="1" applyFont="1">
      <alignment horizontal="right" readingOrder="0" shrinkToFit="0" vertical="bottom" wrapText="0"/>
    </xf>
    <xf borderId="8" fillId="7" fontId="1" numFmtId="0" xfId="0" applyAlignment="1" applyBorder="1" applyFont="1">
      <alignment readingOrder="0" shrinkToFit="0" vertical="bottom" wrapText="0"/>
    </xf>
    <xf borderId="8" fillId="7" fontId="8" numFmtId="0" xfId="0" applyAlignment="1" applyBorder="1" applyFont="1">
      <alignment readingOrder="0" shrinkToFit="0" vertical="bottom" wrapText="0"/>
    </xf>
    <xf borderId="8" fillId="7" fontId="42" numFmtId="0" xfId="0" applyAlignment="1" applyBorder="1" applyFont="1">
      <alignment horizontal="right" readingOrder="0" shrinkToFit="0" vertical="bottom" wrapText="0"/>
    </xf>
    <xf borderId="25" fillId="7" fontId="43" numFmtId="0" xfId="0" applyBorder="1" applyFont="1"/>
    <xf borderId="30" fillId="7" fontId="1" numFmtId="0" xfId="0" applyAlignment="1" applyBorder="1" applyFont="1">
      <alignment readingOrder="0" shrinkToFit="0" vertical="bottom" wrapText="0"/>
    </xf>
    <xf borderId="24" fillId="7" fontId="42" numFmtId="0" xfId="0" applyAlignment="1" applyBorder="1" applyFont="1">
      <alignment readingOrder="0" shrinkToFit="0" vertical="bottom" wrapText="0"/>
    </xf>
    <xf borderId="24" fillId="7" fontId="42" numFmtId="0" xfId="0" applyAlignment="1" applyBorder="1" applyFont="1">
      <alignment horizontal="right" readingOrder="0" shrinkToFit="0" vertical="bottom" wrapText="0"/>
    </xf>
    <xf borderId="0" fillId="0" fontId="22" numFmtId="0" xfId="0" applyFont="1"/>
    <xf borderId="31" fillId="5" fontId="8" numFmtId="0" xfId="0" applyAlignment="1" applyBorder="1" applyFont="1">
      <alignment readingOrder="0" shrinkToFit="0" vertical="bottom" wrapText="0"/>
    </xf>
    <xf borderId="18" fillId="5" fontId="8" numFmtId="0" xfId="0" applyAlignment="1" applyBorder="1" applyFont="1">
      <alignment readingOrder="0" shrinkToFit="0" vertical="bottom" wrapText="0"/>
    </xf>
    <xf borderId="18" fillId="5" fontId="8" numFmtId="0" xfId="0" applyAlignment="1" applyBorder="1" applyFont="1">
      <alignment horizontal="right" readingOrder="0" shrinkToFit="0" vertical="bottom" wrapText="0"/>
    </xf>
    <xf borderId="22" fillId="5" fontId="8" numFmtId="10" xfId="0" applyAlignment="1" applyBorder="1" applyFont="1" applyNumberFormat="1">
      <alignment horizontal="right" readingOrder="0" shrinkToFit="0" vertical="bottom" wrapText="0"/>
    </xf>
    <xf borderId="32" fillId="7" fontId="8" numFmtId="0" xfId="0" applyAlignment="1" applyBorder="1" applyFont="1">
      <alignment readingOrder="0" shrinkToFit="0" vertical="bottom" wrapText="0"/>
    </xf>
    <xf borderId="1" fillId="7" fontId="8" numFmtId="0" xfId="0" applyAlignment="1" applyBorder="1" applyFont="1">
      <alignment readingOrder="0" shrinkToFit="0" vertical="bottom" wrapText="0"/>
    </xf>
    <xf borderId="32" fillId="5" fontId="8" numFmtId="0" xfId="0" applyAlignment="1" applyBorder="1" applyFont="1">
      <alignment readingOrder="0" shrinkToFit="0" vertical="bottom" wrapText="0"/>
    </xf>
    <xf borderId="33" fillId="7" fontId="8" numFmtId="0" xfId="0" applyAlignment="1" applyBorder="1" applyFont="1">
      <alignment readingOrder="0" shrinkToFit="0" vertical="bottom" wrapText="0"/>
    </xf>
    <xf borderId="8" fillId="7" fontId="8" numFmtId="0" xfId="0" applyAlignment="1" applyBorder="1" applyFont="1">
      <alignment horizontal="right" readingOrder="0" shrinkToFit="0" vertical="bottom" wrapText="0"/>
    </xf>
    <xf borderId="30" fillId="5" fontId="1" numFmtId="0" xfId="0" applyAlignment="1" applyBorder="1" applyFont="1">
      <alignment readingOrder="0" shrinkToFit="0" vertical="bottom" wrapText="0"/>
    </xf>
    <xf borderId="24" fillId="5" fontId="8" numFmtId="0" xfId="0" applyAlignment="1" applyBorder="1" applyFont="1">
      <alignment readingOrder="0" shrinkToFit="0" vertical="bottom" wrapText="0"/>
    </xf>
    <xf borderId="24" fillId="5" fontId="42" numFmtId="0" xfId="0" applyAlignment="1" applyBorder="1" applyFont="1">
      <alignment horizontal="right" readingOrder="0" shrinkToFit="0" vertical="bottom" wrapText="0"/>
    </xf>
    <xf borderId="25" fillId="5" fontId="43" numFmtId="0" xfId="0" applyBorder="1" applyFont="1"/>
    <xf borderId="18" fillId="7" fontId="8" numFmtId="0" xfId="0" applyAlignment="1" applyBorder="1" applyFont="1">
      <alignment readingOrder="0" shrinkToFit="0" vertical="bottom" wrapText="0"/>
    </xf>
    <xf borderId="18" fillId="7" fontId="8" numFmtId="0" xfId="0" applyAlignment="1" applyBorder="1" applyFont="1">
      <alignment horizontal="right" readingOrder="0"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24" fillId="7" fontId="1" numFmtId="0" xfId="0" applyAlignment="1" applyBorder="1" applyFont="1">
      <alignment readingOrder="0" shrinkToFit="0" vertical="bottom" wrapText="0"/>
    </xf>
    <xf borderId="24" fillId="7" fontId="9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readingOrder="0" shrinkToFit="0" vertical="bottom" wrapText="0"/>
    </xf>
    <xf borderId="8" fillId="5" fontId="42" numFmtId="0" xfId="0" applyAlignment="1" applyBorder="1" applyFont="1">
      <alignment readingOrder="0" shrinkToFit="0" vertical="bottom" wrapText="0"/>
    </xf>
    <xf borderId="8" fillId="5" fontId="42" numFmtId="0" xfId="0" applyAlignment="1" applyBorder="1" applyFont="1">
      <alignment horizontal="right" readingOrder="0" shrinkToFit="0" vertical="bottom" wrapText="0"/>
    </xf>
    <xf borderId="21" fillId="7" fontId="8" numFmtId="0" xfId="0" applyAlignment="1" applyBorder="1" applyFont="1">
      <alignment readingOrder="0" shrinkToFit="0" vertical="bottom" wrapText="0"/>
    </xf>
    <xf borderId="21" fillId="7" fontId="8" numFmtId="0" xfId="0" applyAlignment="1" applyBorder="1" applyFont="1">
      <alignment horizontal="right" readingOrder="0" shrinkToFit="0" vertical="bottom" wrapText="0"/>
    </xf>
    <xf borderId="18" fillId="7" fontId="43" numFmtId="0" xfId="0" applyBorder="1" applyFont="1"/>
    <xf borderId="17" fillId="5" fontId="1" numFmtId="0" xfId="0" applyAlignment="1" applyBorder="1" applyFont="1">
      <alignment readingOrder="0" shrinkToFit="0" vertical="bottom" wrapText="0"/>
    </xf>
    <xf borderId="18" fillId="5" fontId="42" numFmtId="0" xfId="0" applyAlignment="1" applyBorder="1" applyFont="1">
      <alignment readingOrder="0" shrinkToFit="0" vertical="bottom" wrapText="0"/>
    </xf>
    <xf borderId="18" fillId="5" fontId="42" numFmtId="0" xfId="0" applyAlignment="1" applyBorder="1" applyFont="1">
      <alignment horizontal="right" readingOrder="0" shrinkToFit="0" vertical="bottom" wrapText="0"/>
    </xf>
    <xf borderId="0" fillId="5" fontId="42" numFmtId="0" xfId="0" applyAlignment="1" applyFont="1">
      <alignment horizontal="right" readingOrder="0" shrinkToFit="0" vertical="bottom" wrapText="0"/>
    </xf>
    <xf borderId="0" fillId="14" fontId="11" numFmtId="0" xfId="0" applyAlignment="1" applyFont="1">
      <alignment shrinkToFit="0" vertical="bottom" wrapText="0"/>
    </xf>
    <xf borderId="0" fillId="5" fontId="41" numFmtId="0" xfId="0" applyAlignment="1" applyFont="1">
      <alignment shrinkToFit="0" vertical="bottom" wrapText="0"/>
    </xf>
    <xf borderId="1" fillId="7" fontId="9" numFmtId="0" xfId="0" applyAlignment="1" applyBorder="1" applyFont="1">
      <alignment horizontal="right" readingOrder="0" shrinkToFit="0" vertical="bottom" wrapText="1"/>
    </xf>
    <xf borderId="0" fillId="7" fontId="9" numFmtId="0" xfId="0" applyAlignment="1" applyFont="1">
      <alignment horizontal="right" readingOrder="0" shrinkToFit="0" vertical="bottom" wrapText="1"/>
    </xf>
    <xf borderId="20" fillId="5" fontId="1" numFmtId="10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24" fillId="7" fontId="8" numFmtId="0" xfId="0" applyAlignment="1" applyBorder="1" applyFont="1">
      <alignment readingOrder="0" shrinkToFit="0" vertical="bottom" wrapText="0"/>
    </xf>
    <xf borderId="1" fillId="7" fontId="1" numFmtId="10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shrinkToFit="0" vertical="bottom" wrapText="0"/>
    </xf>
    <xf borderId="8" fillId="7" fontId="42" numFmtId="0" xfId="0" applyAlignment="1" applyBorder="1" applyFont="1">
      <alignment readingOrder="0" shrinkToFit="0" vertical="bottom" wrapText="0"/>
    </xf>
    <xf borderId="0" fillId="5" fontId="42" numFmtId="0" xfId="0" applyAlignment="1" applyFont="1">
      <alignment horizontal="right" shrinkToFit="0" vertical="bottom" wrapText="0"/>
    </xf>
    <xf borderId="2" fillId="14" fontId="9" numFmtId="0" xfId="0" applyAlignment="1" applyBorder="1" applyFont="1">
      <alignment horizontal="center" readingOrder="0" shrinkToFit="0" wrapText="1"/>
    </xf>
    <xf borderId="34" fillId="14" fontId="30" numFmtId="0" xfId="0" applyAlignment="1" applyBorder="1" applyFont="1">
      <alignment horizontal="center" readingOrder="0" shrinkToFit="0" wrapText="1"/>
    </xf>
    <xf borderId="7" fillId="14" fontId="43" numFmtId="0" xfId="0" applyBorder="1" applyFont="1"/>
    <xf borderId="32" fillId="14" fontId="9" numFmtId="0" xfId="0" applyAlignment="1" applyBorder="1" applyFont="1">
      <alignment horizontal="center" readingOrder="0" shrinkToFit="0" wrapText="1"/>
    </xf>
    <xf borderId="1" fillId="5" fontId="1" numFmtId="0" xfId="0" applyAlignment="1" applyBorder="1" applyFont="1">
      <alignment horizontal="center" readingOrder="0" shrinkToFit="0" wrapText="1"/>
    </xf>
    <xf borderId="1" fillId="5" fontId="1" numFmtId="10" xfId="0" applyAlignment="1" applyBorder="1" applyFont="1" applyNumberFormat="1">
      <alignment horizontal="right" readingOrder="0" shrinkToFit="0" wrapText="1"/>
    </xf>
    <xf borderId="6" fillId="5" fontId="25" numFmtId="0" xfId="0" applyAlignment="1" applyBorder="1" applyFont="1">
      <alignment horizontal="center" readingOrder="0" shrinkToFit="0" wrapText="1"/>
    </xf>
    <xf borderId="4" fillId="5" fontId="29" numFmtId="9" xfId="0" applyAlignment="1" applyBorder="1" applyFont="1" applyNumberFormat="1">
      <alignment horizontal="center" readingOrder="0" shrinkToFit="0" wrapText="1"/>
    </xf>
    <xf borderId="2" fillId="5" fontId="1" numFmtId="0" xfId="0" applyAlignment="1" applyBorder="1" applyFont="1">
      <alignment horizontal="center" readingOrder="0" shrinkToFit="0" wrapText="1"/>
    </xf>
    <xf borderId="32" fillId="5" fontId="1" numFmtId="0" xfId="0" applyAlignment="1" applyBorder="1" applyFont="1">
      <alignment horizontal="center" readingOrder="0" shrinkToFit="0" wrapText="1"/>
    </xf>
    <xf borderId="4" fillId="7" fontId="1" numFmtId="0" xfId="0" applyAlignment="1" applyBorder="1" applyFont="1">
      <alignment horizontal="center" readingOrder="0" shrinkToFit="0" wrapText="1"/>
    </xf>
    <xf borderId="1" fillId="7" fontId="1" numFmtId="10" xfId="0" applyAlignment="1" applyBorder="1" applyFont="1" applyNumberFormat="1">
      <alignment horizontal="right" readingOrder="0" shrinkToFit="0" wrapText="1"/>
    </xf>
    <xf borderId="6" fillId="7" fontId="25" numFmtId="0" xfId="0" applyAlignment="1" applyBorder="1" applyFont="1">
      <alignment horizontal="center" readingOrder="0" shrinkToFit="0" wrapText="1"/>
    </xf>
    <xf borderId="4" fillId="7" fontId="29" numFmtId="9" xfId="0" applyAlignment="1" applyBorder="1" applyFont="1" applyNumberFormat="1">
      <alignment horizontal="center" readingOrder="0" shrinkToFit="0" wrapText="1"/>
    </xf>
    <xf borderId="6" fillId="7" fontId="1" numFmtId="0" xfId="0" applyAlignment="1" applyBorder="1" applyFont="1">
      <alignment horizontal="center" readingOrder="0" shrinkToFit="0" wrapText="1"/>
    </xf>
    <xf borderId="4" fillId="7" fontId="29" numFmtId="10" xfId="0" applyAlignment="1" applyBorder="1" applyFont="1" applyNumberFormat="1">
      <alignment horizontal="center" readingOrder="0" shrinkToFit="0" wrapText="1"/>
    </xf>
    <xf borderId="6" fillId="7" fontId="4" numFmtId="0" xfId="0" applyAlignment="1" applyBorder="1" applyFont="1">
      <alignment horizontal="center" shrinkToFit="0" wrapText="1"/>
    </xf>
    <xf borderId="2" fillId="7" fontId="1" numFmtId="0" xfId="0" applyAlignment="1" applyBorder="1" applyFont="1">
      <alignment horizontal="center" readingOrder="0" shrinkToFit="0" wrapText="1"/>
    </xf>
    <xf borderId="32" fillId="7" fontId="1" numFmtId="0" xfId="0" applyAlignment="1" applyBorder="1" applyFont="1">
      <alignment horizontal="center" readingOrder="0" shrinkToFit="0" wrapText="1"/>
    </xf>
    <xf borderId="4" fillId="5" fontId="1" numFmtId="0" xfId="0" applyAlignment="1" applyBorder="1" applyFont="1">
      <alignment horizontal="center" readingOrder="0" shrinkToFit="0" wrapText="1"/>
    </xf>
    <xf borderId="4" fillId="5" fontId="29" numFmtId="10" xfId="0" applyAlignment="1" applyBorder="1" applyFont="1" applyNumberFormat="1">
      <alignment horizontal="center" readingOrder="0" shrinkToFit="0" wrapText="1"/>
    </xf>
    <xf borderId="6" fillId="5" fontId="4" numFmtId="0" xfId="0" applyAlignment="1" applyBorder="1" applyFont="1">
      <alignment horizontal="center" shrinkToFit="0" wrapText="1"/>
    </xf>
    <xf borderId="32" fillId="5" fontId="4" numFmtId="0" xfId="0" applyAlignment="1" applyBorder="1" applyFont="1">
      <alignment horizontal="center" shrinkToFit="0" wrapText="1"/>
    </xf>
    <xf borderId="32" fillId="7" fontId="4" numFmtId="0" xfId="0" applyAlignment="1" applyBorder="1" applyFont="1">
      <alignment horizontal="center" shrinkToFit="0" wrapText="1"/>
    </xf>
    <xf borderId="1" fillId="7" fontId="4" numFmtId="0" xfId="0" applyAlignment="1" applyBorder="1" applyFont="1">
      <alignment horizontal="center" shrinkToFit="0" vertical="bottom" wrapText="1"/>
    </xf>
    <xf borderId="4" fillId="7" fontId="4" numFmtId="0" xfId="0" applyAlignment="1" applyBorder="1" applyFont="1">
      <alignment horizontal="center" shrinkToFit="0" vertical="bottom" wrapText="1"/>
    </xf>
    <xf borderId="6" fillId="7" fontId="45" numFmtId="2" xfId="0" applyAlignment="1" applyBorder="1" applyFont="1" applyNumberFormat="1">
      <alignment horizontal="center" readingOrder="0" shrinkToFit="0" wrapText="1"/>
    </xf>
    <xf borderId="6" fillId="7" fontId="45" numFmtId="0" xfId="0" applyAlignment="1" applyBorder="1" applyFont="1">
      <alignment horizontal="center" readingOrder="0" shrinkToFit="0" wrapText="1"/>
    </xf>
    <xf borderId="32" fillId="7" fontId="45" numFmtId="2" xfId="0" applyAlignment="1" applyBorder="1" applyFont="1" applyNumberFormat="1">
      <alignment horizontal="center" readingOrder="0" shrinkToFit="0" wrapText="1"/>
    </xf>
    <xf borderId="1" fillId="12" fontId="9" numFmtId="0" xfId="0" applyAlignment="1" applyBorder="1" applyFont="1">
      <alignment readingOrder="0" shrinkToFit="0" vertical="bottom" wrapText="0"/>
    </xf>
    <xf borderId="1" fillId="12" fontId="8" numFmtId="0" xfId="0" applyAlignment="1" applyBorder="1" applyFont="1">
      <alignment horizontal="right" readingOrder="0" shrinkToFit="0" vertical="bottom" wrapText="0"/>
    </xf>
    <xf borderId="0" fillId="12" fontId="8" numFmtId="0" xfId="0" applyAlignment="1" applyFont="1">
      <alignment horizontal="right" readingOrder="0" shrinkToFit="0" vertical="bottom" wrapText="0"/>
    </xf>
    <xf borderId="1" fillId="12" fontId="35" numFmtId="0" xfId="0" applyAlignment="1" applyBorder="1" applyFont="1">
      <alignment shrinkToFit="0" vertical="bottom" wrapText="0"/>
    </xf>
    <xf borderId="1" fillId="12" fontId="8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readingOrder="0" shrinkToFit="0" vertical="bottom" wrapText="0"/>
    </xf>
    <xf borderId="1" fillId="12" fontId="9" numFmtId="0" xfId="0" applyAlignment="1" applyBorder="1" applyFont="1">
      <alignment horizontal="center" readingOrder="0" shrinkToFit="0" vertical="center" wrapText="0"/>
    </xf>
    <xf borderId="1" fillId="12" fontId="9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0"/>
    </xf>
    <xf borderId="1" fillId="12" fontId="1" numFmtId="0" xfId="0" applyAlignment="1" applyBorder="1" applyFont="1">
      <alignment readingOrder="0" shrinkToFit="0" vertical="bottom" wrapText="0"/>
    </xf>
    <xf borderId="1" fillId="12" fontId="42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readingOrder="0"/>
    </xf>
    <xf borderId="1" fillId="12" fontId="9" numFmtId="0" xfId="0" applyAlignment="1" applyBorder="1" applyFont="1">
      <alignment horizontal="right" readingOrder="0" shrinkToFit="0" vertical="bottom" wrapText="0"/>
    </xf>
    <xf borderId="0" fillId="12" fontId="9" numFmtId="0" xfId="0" applyAlignment="1" applyFont="1">
      <alignment horizontal="right" readingOrder="0" shrinkToFit="0" vertical="bottom" wrapText="0"/>
    </xf>
    <xf borderId="1" fillId="12" fontId="9" numFmtId="0" xfId="0" applyAlignment="1" applyBorder="1" applyFont="1">
      <alignment horizontal="left" readingOrder="0" shrinkToFit="0" vertical="bottom" wrapText="0"/>
    </xf>
    <xf borderId="0" fillId="12" fontId="8" numFmtId="0" xfId="0" applyAlignment="1" applyFont="1">
      <alignment horizontal="center" readingOrder="0" shrinkToFit="0" vertical="center" wrapText="0"/>
    </xf>
    <xf borderId="0" fillId="12" fontId="8" numFmtId="0" xfId="0" applyAlignment="1" applyFont="1">
      <alignment horizontal="center" readingOrder="0" shrinkToFit="0" vertical="center" wrapText="0"/>
    </xf>
    <xf borderId="1" fillId="0" fontId="18" numFmtId="0" xfId="0" applyAlignment="1" applyBorder="1" applyFont="1">
      <alignment horizontal="right" readingOrder="0"/>
    </xf>
    <xf borderId="1" fillId="12" fontId="8" numFmtId="0" xfId="0" applyAlignment="1" applyBorder="1" applyFont="1">
      <alignment horizontal="center" readingOrder="0" shrinkToFit="0" vertical="bottom" wrapText="0"/>
    </xf>
    <xf borderId="1" fillId="12" fontId="8" numFmtId="10" xfId="0" applyAlignment="1" applyBorder="1" applyFont="1" applyNumberFormat="1">
      <alignment horizontal="center" readingOrder="0" shrinkToFit="0" vertical="bottom" wrapText="0"/>
    </xf>
    <xf borderId="0" fillId="12" fontId="8" numFmtId="0" xfId="0" applyAlignment="1" applyFont="1">
      <alignment horizontal="center" readingOrder="0" shrinkToFit="0" vertical="bottom" wrapText="0"/>
    </xf>
    <xf borderId="0" fillId="12" fontId="8" numFmtId="0" xfId="0" applyAlignment="1" applyFont="1">
      <alignment horizontal="center" readingOrder="0" shrinkToFit="0" vertical="bottom" wrapText="0"/>
    </xf>
    <xf borderId="1" fillId="12" fontId="36" numFmtId="9" xfId="0" applyAlignment="1" applyBorder="1" applyFont="1" applyNumberFormat="1">
      <alignment horizontal="right" readingOrder="0" shrinkToFit="0" vertical="bottom" wrapText="0"/>
    </xf>
    <xf borderId="0" fillId="0" fontId="9" numFmtId="10" xfId="0" applyAlignment="1" applyFont="1" applyNumberFormat="1">
      <alignment horizontal="center" readingOrder="0" shrinkToFit="0" wrapText="1"/>
    </xf>
    <xf borderId="0" fillId="12" fontId="1" numFmtId="0" xfId="0" applyAlignment="1" applyFont="1">
      <alignment horizontal="center" readingOrder="0" shrinkToFit="0" vertical="bottom" wrapText="0"/>
    </xf>
    <xf borderId="6" fillId="14" fontId="30" numFmtId="0" xfId="0" applyAlignment="1" applyBorder="1" applyFont="1">
      <alignment horizontal="center" readingOrder="0" shrinkToFit="0" wrapText="1"/>
    </xf>
    <xf borderId="4" fillId="14" fontId="30" numFmtId="0" xfId="0" applyAlignment="1" applyBorder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6" fillId="5" fontId="30" numFmtId="0" xfId="0" applyAlignment="1" applyBorder="1" applyFont="1">
      <alignment horizontal="center" readingOrder="0" shrinkToFit="0" wrapText="1"/>
    </xf>
    <xf borderId="4" fillId="5" fontId="46" numFmtId="10" xfId="0" applyAlignment="1" applyBorder="1" applyFont="1" applyNumberFormat="1">
      <alignment horizontal="center" readingOrder="0" shrinkToFit="0" wrapText="1"/>
    </xf>
    <xf borderId="6" fillId="5" fontId="47" numFmtId="2" xfId="0" applyAlignment="1" applyBorder="1" applyFont="1" applyNumberFormat="1">
      <alignment horizontal="center" readingOrder="0" shrinkToFit="0" wrapText="1"/>
    </xf>
    <xf borderId="4" fillId="5" fontId="46" numFmtId="9" xfId="0" applyAlignment="1" applyBorder="1" applyFont="1" applyNumberFormat="1">
      <alignment horizontal="center" readingOrder="0" shrinkToFit="0" wrapText="1"/>
    </xf>
    <xf borderId="4" fillId="5" fontId="47" numFmtId="2" xfId="0" applyAlignment="1" applyBorder="1" applyFont="1" applyNumberFormat="1">
      <alignment horizontal="center" readingOrder="0" shrinkToFit="0" wrapText="1"/>
    </xf>
    <xf borderId="0" fillId="0" fontId="47" numFmtId="0" xfId="0" applyAlignment="1" applyFont="1">
      <alignment horizontal="center" readingOrder="0" shrinkToFit="0" wrapText="1"/>
    </xf>
    <xf borderId="6" fillId="7" fontId="30" numFmtId="0" xfId="0" applyAlignment="1" applyBorder="1" applyFont="1">
      <alignment horizontal="center" readingOrder="0" shrinkToFit="0" wrapText="1"/>
    </xf>
    <xf borderId="4" fillId="7" fontId="46" numFmtId="10" xfId="0" applyAlignment="1" applyBorder="1" applyFont="1" applyNumberFormat="1">
      <alignment horizontal="center" readingOrder="0" shrinkToFit="0" wrapText="1"/>
    </xf>
    <xf borderId="6" fillId="7" fontId="47" numFmtId="2" xfId="0" applyAlignment="1" applyBorder="1" applyFont="1" applyNumberFormat="1">
      <alignment horizontal="center" readingOrder="0" shrinkToFit="0" wrapText="1"/>
    </xf>
    <xf borderId="4" fillId="7" fontId="46" numFmtId="0" xfId="0" applyAlignment="1" applyBorder="1" applyFont="1">
      <alignment horizontal="center" readingOrder="0" shrinkToFit="0" wrapText="1"/>
    </xf>
    <xf borderId="6" fillId="7" fontId="18" numFmtId="0" xfId="0" applyAlignment="1" applyBorder="1" applyFont="1">
      <alignment horizontal="center" shrinkToFit="0" wrapText="1"/>
    </xf>
    <xf borderId="4" fillId="7" fontId="47" numFmtId="2" xfId="0" applyAlignment="1" applyBorder="1" applyFont="1" applyNumberFormat="1">
      <alignment horizontal="center" readingOrder="0" shrinkToFit="0" wrapText="1"/>
    </xf>
    <xf borderId="0" fillId="5" fontId="29" numFmtId="9" xfId="0" applyAlignment="1" applyFont="1" applyNumberFormat="1">
      <alignment horizontal="center" readingOrder="0"/>
    </xf>
    <xf borderId="4" fillId="7" fontId="46" numFmtId="9" xfId="0" applyAlignment="1" applyBorder="1" applyFont="1" applyNumberFormat="1">
      <alignment horizontal="center" readingOrder="0" shrinkToFit="0" wrapText="1"/>
    </xf>
    <xf borderId="4" fillId="5" fontId="46" numFmtId="0" xfId="0" applyAlignment="1" applyBorder="1" applyFont="1">
      <alignment horizontal="center" readingOrder="0" shrinkToFit="0" wrapText="1"/>
    </xf>
    <xf borderId="6" fillId="5" fontId="47" numFmtId="0" xfId="0" applyAlignment="1" applyBorder="1" applyFont="1">
      <alignment horizontal="center" readingOrder="0" shrinkToFit="0" wrapText="1"/>
    </xf>
    <xf borderId="4" fillId="5" fontId="18" numFmtId="0" xfId="0" applyAlignment="1" applyBorder="1" applyFont="1">
      <alignment horizontal="center" shrinkToFit="0" wrapText="1"/>
    </xf>
    <xf borderId="1" fillId="0" fontId="48" numFmtId="0" xfId="0" applyAlignment="1" applyBorder="1" applyFont="1">
      <alignment readingOrder="0" shrinkToFit="0" wrapText="0"/>
    </xf>
    <xf borderId="1" fillId="0" fontId="9" numFmtId="10" xfId="0" applyAlignment="1" applyBorder="1" applyFont="1" applyNumberFormat="1">
      <alignment horizontal="center" readingOrder="0" shrinkToFit="0" wrapText="1"/>
    </xf>
    <xf borderId="1" fillId="0" fontId="9" numFmtId="9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left" readingOrder="0" shrinkToFit="0" textRotation="0" vertical="center" wrapText="0"/>
    </xf>
    <xf borderId="3" fillId="0" fontId="11" numFmtId="0" xfId="0" applyAlignment="1" applyBorder="1" applyFont="1">
      <alignment horizontal="left" readingOrder="0" shrinkToFit="0" textRotation="0" vertical="center" wrapText="0"/>
    </xf>
    <xf borderId="4" fillId="0" fontId="11" numFmtId="0" xfId="0" applyAlignment="1" applyBorder="1" applyFont="1">
      <alignment horizontal="left" readingOrder="0" shrinkToFit="0" textRotation="0" vertical="center" wrapText="0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0" fontId="41" numFmtId="0" xfId="0" applyAlignment="1" applyBorder="1" applyFont="1">
      <alignment horizontal="left" readingOrder="0" shrinkToFit="0" vertical="center" wrapText="0"/>
    </xf>
    <xf borderId="4" fillId="0" fontId="41" numFmtId="0" xfId="0" applyAlignment="1" applyBorder="1" applyFont="1">
      <alignment horizontal="center" readingOrder="0" shrinkToFit="0" vertical="center" wrapText="0"/>
    </xf>
    <xf borderId="1" fillId="0" fontId="41" numFmtId="0" xfId="0" applyAlignment="1" applyBorder="1" applyFont="1">
      <alignment horizontal="center" shrinkToFit="0" vertical="center" wrapText="1"/>
    </xf>
    <xf borderId="1" fillId="0" fontId="41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2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1" xfId="0" applyAlignment="1" applyFont="1" applyNumberFormat="1">
      <alignment horizontal="center" readingOrder="0" shrinkToFit="0" vertical="bottom" wrapText="0"/>
    </xf>
    <xf borderId="0" fillId="0" fontId="8" numFmtId="2" xfId="0" applyAlignment="1" applyFont="1" applyNumberFormat="1">
      <alignment horizontal="right" readingOrder="0"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5" fontId="9" numFmtId="1" xfId="0" applyAlignment="1" applyFont="1" applyNumberFormat="1">
      <alignment horizontal="center" readingOrder="0"/>
    </xf>
    <xf borderId="0" fillId="0" fontId="9" numFmtId="2" xfId="0" applyAlignment="1" applyFont="1" applyNumberFormat="1">
      <alignment readingOrder="0" shrinkToFit="0" vertical="bottom" wrapText="0"/>
    </xf>
    <xf borderId="0" fillId="5" fontId="9" numFmtId="0" xfId="0" applyAlignment="1" applyFont="1">
      <alignment horizontal="right" readingOrder="0"/>
    </xf>
    <xf borderId="0" fillId="0" fontId="18" numFmtId="0" xfId="0" applyAlignment="1" applyFont="1">
      <alignment horizontal="center" shrinkToFit="0" wrapText="1"/>
    </xf>
    <xf borderId="0" fillId="0" fontId="8" numFmtId="0" xfId="0" applyAlignment="1" applyFont="1">
      <alignment shrinkToFit="0" vertical="bottom" wrapText="0"/>
    </xf>
    <xf borderId="0" fillId="0" fontId="4" numFmtId="0" xfId="0" applyFont="1"/>
    <xf borderId="0" fillId="0" fontId="4" numFmtId="4" xfId="0" applyFont="1" applyNumberFormat="1"/>
    <xf borderId="0" fillId="0" fontId="9" numFmtId="2" xfId="0" applyAlignment="1" applyFont="1" applyNumberFormat="1">
      <alignment horizontal="right" readingOrder="0" shrinkToFit="0" vertical="bottom" wrapText="0"/>
    </xf>
    <xf borderId="0" fillId="0" fontId="8" numFmtId="9" xfId="0" applyAlignment="1" applyFont="1" applyNumberFormat="1">
      <alignment horizontal="right"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2" fillId="0" fontId="40" numFmtId="0" xfId="0" applyAlignment="1" applyBorder="1" applyFont="1">
      <alignment horizontal="left" readingOrder="0" shrinkToFit="0" vertical="center" wrapText="0"/>
    </xf>
    <xf borderId="4" fillId="0" fontId="41" numFmtId="0" xfId="0" applyAlignment="1" applyBorder="1" applyFont="1">
      <alignment horizontal="left" readingOrder="0" shrinkToFit="0" vertical="center" wrapText="0"/>
    </xf>
    <xf borderId="1" fillId="0" fontId="41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2" xfId="0" applyAlignment="1" applyBorder="1" applyFont="1" applyNumberFormat="1">
      <alignment horizontal="center" readingOrder="0" shrinkToFit="0" vertical="center" wrapText="1"/>
    </xf>
    <xf borderId="0" fillId="0" fontId="9" numFmtId="2" xfId="0" applyAlignment="1" applyFont="1" applyNumberFormat="1">
      <alignment horizontal="center" readingOrder="0" shrinkToFit="0" vertical="center" wrapText="1"/>
    </xf>
    <xf borderId="0" fillId="17" fontId="9" numFmtId="2" xfId="0" applyAlignment="1" applyFill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5" fontId="49" numFmtId="0" xfId="0" applyAlignment="1" applyBorder="1" applyFont="1">
      <alignment readingOrder="0" shrinkToFit="0" wrapText="1"/>
    </xf>
    <xf borderId="1" fillId="12" fontId="24" numFmtId="0" xfId="0" applyAlignment="1" applyBorder="1" applyFont="1">
      <alignment horizontal="center" readingOrder="0" shrinkToFit="0" vertical="bottom" wrapText="0"/>
    </xf>
    <xf borderId="0" fillId="12" fontId="24" numFmtId="0" xfId="0" applyAlignment="1" applyFont="1">
      <alignment horizontal="center" readingOrder="0" shrinkToFit="0" vertical="bottom" wrapText="0"/>
    </xf>
    <xf borderId="1" fillId="12" fontId="27" numFmtId="0" xfId="0" applyAlignment="1" applyBorder="1" applyFont="1">
      <alignment readingOrder="0" shrinkToFit="0" vertical="bottom" wrapText="1"/>
    </xf>
    <xf borderId="1" fillId="12" fontId="24" numFmtId="10" xfId="0" applyAlignment="1" applyBorder="1" applyFont="1" applyNumberFormat="1">
      <alignment horizontal="center" readingOrder="0" shrinkToFit="0" vertical="bottom" wrapText="0"/>
    </xf>
    <xf borderId="1" fillId="12" fontId="24" numFmtId="2" xfId="0" applyAlignment="1" applyBorder="1" applyFont="1" applyNumberFormat="1">
      <alignment horizontal="center" readingOrder="0" shrinkToFit="0" vertical="bottom" wrapText="0"/>
    </xf>
    <xf borderId="1" fillId="0" fontId="27" numFmtId="0" xfId="0" applyAlignment="1" applyBorder="1" applyFont="1">
      <alignment readingOrder="0" shrinkToFit="0" wrapText="1"/>
    </xf>
    <xf borderId="1" fillId="12" fontId="50" numFmtId="0" xfId="0" applyAlignment="1" applyBorder="1" applyFont="1">
      <alignment horizontal="center" readingOrder="0" shrinkToFit="0" vertical="bottom" wrapText="0"/>
    </xf>
    <xf borderId="1" fillId="12" fontId="51" numFmtId="0" xfId="0" applyAlignment="1" applyBorder="1" applyFont="1">
      <alignment readingOrder="0" shrinkToFit="0" vertical="bottom" wrapText="1"/>
    </xf>
    <xf borderId="0" fillId="0" fontId="4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14" fontId="44" numFmtId="0" xfId="0" applyAlignment="1" applyBorder="1" applyFont="1">
      <alignment horizontal="center" readingOrder="0" shrinkToFit="0" wrapText="1"/>
    </xf>
    <xf borderId="2" fillId="14" fontId="44" numFmtId="0" xfId="0" applyAlignment="1" applyBorder="1" applyFont="1">
      <alignment horizontal="center" readingOrder="0" shrinkToFit="0" wrapText="1"/>
    </xf>
    <xf borderId="2" fillId="14" fontId="9" numFmtId="0" xfId="0" applyAlignment="1" applyBorder="1" applyFont="1">
      <alignment horizontal="center" readingOrder="0" shrinkToFit="0" wrapText="1"/>
    </xf>
    <xf borderId="2" fillId="14" fontId="9" numFmtId="0" xfId="0" applyAlignment="1" applyBorder="1" applyFont="1">
      <alignment horizontal="center" readingOrder="0" shrinkToFit="0" vertical="bottom" wrapText="1"/>
    </xf>
    <xf borderId="2" fillId="14" fontId="9" numFmtId="0" xfId="0" applyAlignment="1" applyBorder="1" applyFont="1">
      <alignment horizontal="center" shrinkToFit="0" vertical="bottom" wrapText="1"/>
    </xf>
    <xf borderId="1" fillId="14" fontId="9" numFmtId="0" xfId="0" applyAlignment="1" applyBorder="1" applyFont="1">
      <alignment horizontal="center" readingOrder="0" shrinkToFit="0" wrapText="1"/>
    </xf>
    <xf borderId="1" fillId="5" fontId="9" numFmtId="0" xfId="0" applyAlignment="1" applyBorder="1" applyFont="1">
      <alignment horizontal="center" readingOrder="0" shrinkToFit="0" wrapText="1"/>
    </xf>
    <xf borderId="1" fillId="5" fontId="14" numFmtId="10" xfId="0" applyAlignment="1" applyBorder="1" applyFont="1" applyNumberFormat="1">
      <alignment horizontal="center" readingOrder="0" shrinkToFit="0" wrapText="1"/>
    </xf>
    <xf borderId="1" fillId="5" fontId="25" numFmtId="0" xfId="0" applyAlignment="1" applyBorder="1" applyFont="1">
      <alignment horizontal="center" readingOrder="0" shrinkToFit="0" wrapText="1"/>
    </xf>
    <xf borderId="1" fillId="5" fontId="29" numFmtId="9" xfId="0" applyAlignment="1" applyBorder="1" applyFont="1" applyNumberFormat="1">
      <alignment horizontal="center" readingOrder="0" shrinkToFit="0" wrapText="1"/>
    </xf>
    <xf borderId="1" fillId="5" fontId="9" numFmtId="2" xfId="0" applyAlignment="1" applyBorder="1" applyFont="1" applyNumberFormat="1">
      <alignment horizontal="center" shrinkToFit="0" wrapText="1"/>
    </xf>
    <xf borderId="1" fillId="5" fontId="29" numFmtId="9" xfId="0" applyAlignment="1" applyBorder="1" applyFont="1" applyNumberFormat="1">
      <alignment horizontal="center" readingOrder="0" shrinkToFit="0" vertical="bottom" wrapText="1"/>
    </xf>
    <xf borderId="1" fillId="5" fontId="9" numFmtId="2" xfId="0" applyAlignment="1" applyBorder="1" applyFont="1" applyNumberFormat="1">
      <alignment horizontal="center" shrinkToFit="0" vertical="bottom" wrapText="1"/>
    </xf>
    <xf borderId="1" fillId="5" fontId="9" numFmtId="4" xfId="0" applyAlignment="1" applyBorder="1" applyFont="1" applyNumberFormat="1">
      <alignment horizontal="center"/>
    </xf>
    <xf borderId="1" fillId="5" fontId="1" numFmtId="2" xfId="0" applyAlignment="1" applyBorder="1" applyFont="1" applyNumberFormat="1">
      <alignment horizontal="center" shrinkToFit="0" wrapText="1"/>
    </xf>
    <xf borderId="1" fillId="7" fontId="9" numFmtId="0" xfId="0" applyAlignment="1" applyBorder="1" applyFont="1">
      <alignment horizontal="center" readingOrder="0" shrinkToFit="0" wrapText="1"/>
    </xf>
    <xf borderId="1" fillId="7" fontId="14" numFmtId="10" xfId="0" applyAlignment="1" applyBorder="1" applyFont="1" applyNumberFormat="1">
      <alignment horizontal="center" readingOrder="0" shrinkToFit="0" wrapText="1"/>
    </xf>
    <xf borderId="1" fillId="7" fontId="25" numFmtId="0" xfId="0" applyAlignment="1" applyBorder="1" applyFont="1">
      <alignment horizontal="center" readingOrder="0" shrinkToFit="0" wrapText="1"/>
    </xf>
    <xf borderId="1" fillId="7" fontId="29" numFmtId="9" xfId="0" applyAlignment="1" applyBorder="1" applyFont="1" applyNumberFormat="1">
      <alignment horizontal="center" readingOrder="0" shrinkToFit="0" wrapText="1"/>
    </xf>
    <xf borderId="1" fillId="7" fontId="9" numFmtId="2" xfId="0" applyAlignment="1" applyBorder="1" applyFont="1" applyNumberFormat="1">
      <alignment horizontal="center" shrinkToFit="0" wrapText="1"/>
    </xf>
    <xf borderId="1" fillId="7" fontId="29" numFmtId="9" xfId="0" applyAlignment="1" applyBorder="1" applyFont="1" applyNumberFormat="1">
      <alignment horizontal="center" shrinkToFit="0" vertical="bottom" wrapText="1"/>
    </xf>
    <xf borderId="1" fillId="7" fontId="9" numFmtId="2" xfId="0" applyAlignment="1" applyBorder="1" applyFont="1" applyNumberFormat="1">
      <alignment horizontal="center" shrinkToFit="0" vertical="bottom" wrapText="1"/>
    </xf>
    <xf borderId="1" fillId="7" fontId="9" numFmtId="4" xfId="0" applyAlignment="1" applyBorder="1" applyFont="1" applyNumberFormat="1">
      <alignment horizontal="center"/>
    </xf>
    <xf borderId="1" fillId="7" fontId="1" numFmtId="2" xfId="0" applyAlignment="1" applyBorder="1" applyFont="1" applyNumberFormat="1">
      <alignment horizontal="center" shrinkToFit="0" wrapText="1"/>
    </xf>
    <xf borderId="1" fillId="5" fontId="29" numFmtId="0" xfId="0" applyAlignment="1" applyBorder="1" applyFont="1">
      <alignment horizontal="center" readingOrder="0" shrinkToFit="0" wrapText="1"/>
    </xf>
    <xf borderId="1" fillId="5" fontId="29" numFmtId="0" xfId="0" applyAlignment="1" applyBorder="1" applyFont="1">
      <alignment horizontal="center" shrinkToFit="0" vertical="bottom" wrapText="1"/>
    </xf>
    <xf borderId="1" fillId="5" fontId="9" numFmtId="0" xfId="0" applyAlignment="1" applyBorder="1" applyFont="1">
      <alignment horizontal="center" readingOrder="0"/>
    </xf>
    <xf borderId="1" fillId="7" fontId="29" numFmtId="9" xfId="0" applyAlignment="1" applyBorder="1" applyFont="1" applyNumberFormat="1">
      <alignment horizontal="center" readingOrder="0" shrinkToFit="0" vertical="bottom" wrapText="1"/>
    </xf>
    <xf borderId="1" fillId="7" fontId="1" numFmtId="0" xfId="0" applyAlignment="1" applyBorder="1" applyFont="1">
      <alignment horizontal="center" readingOrder="0" shrinkToFit="0" wrapText="1"/>
    </xf>
    <xf borderId="1" fillId="7" fontId="44" numFmtId="0" xfId="0" applyAlignment="1" applyBorder="1" applyFont="1">
      <alignment horizontal="center" shrinkToFit="0" vertical="bottom" wrapText="1"/>
    </xf>
    <xf borderId="1" fillId="7" fontId="44" numFmtId="0" xfId="0" applyAlignment="1" applyBorder="1" applyFont="1">
      <alignment horizontal="center" shrinkToFit="0" wrapText="1"/>
    </xf>
    <xf borderId="1" fillId="7" fontId="1" numFmtId="2" xfId="0" applyAlignment="1" applyBorder="1" applyFont="1" applyNumberFormat="1">
      <alignment horizontal="center" readingOrder="0" shrinkToFit="0" wrapText="1"/>
    </xf>
    <xf borderId="1" fillId="7" fontId="44" numFmtId="0" xfId="0" applyAlignment="1" applyBorder="1" applyFont="1">
      <alignment horizontal="center" vertical="bottom"/>
    </xf>
    <xf borderId="1" fillId="7" fontId="1" numFmtId="2" xfId="0" applyAlignment="1" applyBorder="1" applyFont="1" applyNumberFormat="1">
      <alignment horizontal="center" shrinkToFit="0" vertical="bottom" wrapText="1"/>
    </xf>
    <xf borderId="1" fillId="0" fontId="15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/>
    </xf>
    <xf borderId="1" fillId="0" fontId="15" numFmtId="165" xfId="0" applyAlignment="1" applyBorder="1" applyFont="1" applyNumberFormat="1">
      <alignment horizontal="center"/>
    </xf>
    <xf borderId="1" fillId="0" fontId="15" numFmtId="2" xfId="0" applyAlignment="1" applyBorder="1" applyFont="1" applyNumberFormat="1">
      <alignment horizontal="center"/>
    </xf>
    <xf borderId="1" fillId="5" fontId="52" numFmtId="0" xfId="0" applyAlignment="1" applyBorder="1" applyFont="1">
      <alignment horizontal="center" readingOrder="0" shrinkToFit="0" vertical="center" wrapText="1"/>
    </xf>
    <xf borderId="0" fillId="14" fontId="4" numFmtId="0" xfId="0" applyFont="1"/>
    <xf borderId="1" fillId="5" fontId="15" numFmtId="0" xfId="0" applyAlignment="1" applyBorder="1" applyFont="1">
      <alignment horizontal="center" readingOrder="0"/>
    </xf>
    <xf borderId="1" fillId="5" fontId="18" numFmtId="0" xfId="0" applyAlignment="1" applyBorder="1" applyFont="1">
      <alignment horizontal="center" readingOrder="0"/>
    </xf>
    <xf borderId="18" fillId="5" fontId="16" numFmtId="0" xfId="0" applyAlignment="1" applyBorder="1" applyFont="1">
      <alignment horizontal="center" vertical="bottom"/>
    </xf>
    <xf borderId="17" fillId="5" fontId="16" numFmtId="0" xfId="0" applyAlignment="1" applyBorder="1" applyFont="1">
      <alignment horizontal="center" vertical="bottom"/>
    </xf>
    <xf borderId="1" fillId="7" fontId="15" numFmtId="0" xfId="0" applyAlignment="1" applyBorder="1" applyFont="1">
      <alignment horizontal="center" readingOrder="0" shrinkToFit="0" vertical="center" wrapText="1"/>
    </xf>
    <xf borderId="1" fillId="7" fontId="18" numFmtId="0" xfId="0" applyAlignment="1" applyBorder="1" applyFont="1">
      <alignment horizontal="center" readingOrder="0"/>
    </xf>
    <xf borderId="1" fillId="7" fontId="18" numFmtId="10" xfId="0" applyAlignment="1" applyBorder="1" applyFont="1" applyNumberFormat="1">
      <alignment horizontal="center"/>
    </xf>
    <xf borderId="1" fillId="7" fontId="30" numFmtId="2" xfId="0" applyAlignment="1" applyBorder="1" applyFont="1" applyNumberFormat="1">
      <alignment horizontal="center"/>
    </xf>
    <xf borderId="1" fillId="7" fontId="30" numFmtId="2" xfId="0" applyAlignment="1" applyBorder="1" applyFont="1" applyNumberFormat="1">
      <alignment horizontal="center" readingOrder="0"/>
    </xf>
    <xf borderId="1" fillId="5" fontId="15" numFmtId="0" xfId="0" applyAlignment="1" applyBorder="1" applyFont="1">
      <alignment horizontal="center" readingOrder="0" shrinkToFit="0" vertical="center" wrapText="1"/>
    </xf>
    <xf borderId="1" fillId="5" fontId="18" numFmtId="10" xfId="0" applyAlignment="1" applyBorder="1" applyFont="1" applyNumberFormat="1">
      <alignment horizontal="center"/>
    </xf>
    <xf borderId="1" fillId="5" fontId="18" numFmtId="2" xfId="0" applyAlignment="1" applyBorder="1" applyFont="1" applyNumberFormat="1">
      <alignment horizontal="center"/>
    </xf>
    <xf borderId="1" fillId="5" fontId="30" numFmtId="2" xfId="0" applyAlignment="1" applyBorder="1" applyFont="1" applyNumberFormat="1">
      <alignment horizontal="center"/>
    </xf>
    <xf borderId="1" fillId="5" fontId="30" numFmtId="2" xfId="0" applyAlignment="1" applyBorder="1" applyFont="1" applyNumberFormat="1">
      <alignment horizontal="center" readingOrder="0"/>
    </xf>
    <xf borderId="1" fillId="5" fontId="52" numFmtId="0" xfId="0" applyAlignment="1" applyBorder="1" applyFont="1">
      <alignment horizontal="center" readingOrder="0" shrinkToFit="0" vertical="center" wrapText="1"/>
    </xf>
    <xf borderId="1" fillId="5" fontId="18" numFmtId="2" xfId="0" applyAlignment="1" applyBorder="1" applyFont="1" applyNumberFormat="1">
      <alignment horizontal="center" readingOrder="0"/>
    </xf>
    <xf borderId="1" fillId="5" fontId="18" numFmtId="0" xfId="0" applyAlignment="1" applyBorder="1" applyFont="1">
      <alignment horizontal="center"/>
    </xf>
    <xf borderId="0" fillId="7" fontId="15" numFmtId="0" xfId="0" applyAlignment="1" applyFont="1">
      <alignment horizontal="center" readingOrder="0"/>
    </xf>
    <xf borderId="8" fillId="7" fontId="18" numFmtId="0" xfId="0" applyAlignment="1" applyBorder="1" applyFont="1">
      <alignment horizontal="center"/>
    </xf>
    <xf borderId="11" fillId="7" fontId="30" numFmtId="2" xfId="0" applyAlignment="1" applyBorder="1" applyFont="1" applyNumberFormat="1">
      <alignment horizontal="center" readingOrder="0"/>
    </xf>
    <xf borderId="15" fillId="7" fontId="43" numFmtId="0" xfId="0" applyBorder="1" applyFont="1"/>
    <xf borderId="10" fillId="0" fontId="4" numFmtId="0" xfId="0" applyBorder="1" applyFont="1"/>
    <xf borderId="10" fillId="0" fontId="18" numFmtId="2" xfId="0" applyBorder="1" applyFont="1" applyNumberFormat="1"/>
    <xf borderId="10" fillId="0" fontId="18" numFmtId="2" xfId="0" applyAlignment="1" applyBorder="1" applyFont="1" applyNumberFormat="1">
      <alignment horizontal="center" readingOrder="0"/>
    </xf>
    <xf borderId="10" fillId="0" fontId="30" numFmtId="2" xfId="0" applyBorder="1" applyFont="1" applyNumberFormat="1"/>
    <xf borderId="10" fillId="5" fontId="30" numFmtId="2" xfId="0" applyAlignment="1" applyBorder="1" applyFont="1" applyNumberFormat="1">
      <alignment readingOrder="0"/>
    </xf>
    <xf borderId="8" fillId="0" fontId="17" numFmtId="0" xfId="0" applyAlignment="1" applyBorder="1" applyFont="1">
      <alignment readingOrder="0" shrinkToFit="0" wrapText="1"/>
    </xf>
    <xf borderId="8" fillId="0" fontId="17" numFmtId="2" xfId="0" applyAlignment="1" applyBorder="1" applyFont="1" applyNumberFormat="1">
      <alignment horizontal="center" readingOrder="0"/>
    </xf>
    <xf borderId="1" fillId="0" fontId="18" numFmtId="2" xfId="0" applyAlignment="1" applyBorder="1" applyFont="1" applyNumberFormat="1">
      <alignment horizontal="center" readingOrder="0" shrinkToFit="0" wrapText="1"/>
    </xf>
    <xf borderId="1" fillId="0" fontId="30" numFmtId="2" xfId="0" applyAlignment="1" applyBorder="1" applyFont="1" applyNumberFormat="1">
      <alignment horizontal="center" readingOrder="0"/>
    </xf>
    <xf borderId="1" fillId="0" fontId="30" numFmtId="2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30" numFmtId="10" xfId="0" applyAlignment="1" applyBorder="1" applyFont="1" applyNumberFormat="1">
      <alignment horizontal="center" readingOrder="0"/>
    </xf>
    <xf borderId="1" fillId="0" fontId="30" numFmtId="0" xfId="0" applyAlignment="1" applyBorder="1" applyFont="1">
      <alignment horizontal="center" readingOrder="0"/>
    </xf>
    <xf borderId="2" fillId="13" fontId="18" numFmtId="0" xfId="0" applyAlignment="1" applyBorder="1" applyFont="1">
      <alignment readingOrder="0" shrinkToFit="0" wrapText="1"/>
    </xf>
    <xf borderId="3" fillId="13" fontId="43" numFmtId="0" xfId="0" applyBorder="1" applyFont="1"/>
    <xf borderId="4" fillId="13" fontId="43" numFmtId="0" xfId="0" applyBorder="1" applyFont="1"/>
    <xf borderId="0" fillId="13" fontId="18" numFmtId="0" xfId="0" applyAlignment="1" applyFont="1">
      <alignment readingOrder="0" shrinkToFit="0" wrapText="1"/>
    </xf>
    <xf borderId="1" fillId="5" fontId="18" numFmtId="0" xfId="0" applyAlignment="1" applyBorder="1" applyFont="1">
      <alignment shrinkToFit="0" wrapText="1"/>
    </xf>
    <xf borderId="1" fillId="5" fontId="18" numFmtId="0" xfId="0" applyAlignment="1" applyBorder="1" applyFont="1">
      <alignment horizontal="center" readingOrder="0" shrinkToFit="0" vertical="center" wrapText="1"/>
    </xf>
    <xf borderId="0" fillId="5" fontId="18" numFmtId="0" xfId="0" applyAlignment="1" applyFont="1">
      <alignment horizontal="center" readingOrder="0" shrinkToFit="0" vertical="center" wrapText="1"/>
    </xf>
    <xf borderId="1" fillId="8" fontId="18" numFmtId="0" xfId="0" applyAlignment="1" applyBorder="1" applyFont="1">
      <alignment readingOrder="0" shrinkToFit="0" wrapText="1"/>
    </xf>
    <xf borderId="1" fillId="8" fontId="18" numFmtId="0" xfId="0" applyAlignment="1" applyBorder="1" applyFont="1">
      <alignment horizontal="center" readingOrder="0" shrinkToFit="0" vertical="center" wrapText="1"/>
    </xf>
    <xf borderId="0" fillId="8" fontId="18" numFmtId="10" xfId="0" applyAlignment="1" applyFont="1" applyNumberFormat="1">
      <alignment horizontal="center" readingOrder="0" shrinkToFit="0" vertical="center" wrapText="1"/>
    </xf>
    <xf borderId="1" fillId="5" fontId="18" numFmtId="0" xfId="0" applyAlignment="1" applyBorder="1" applyFont="1">
      <alignment readingOrder="0" shrinkToFit="0" wrapText="1"/>
    </xf>
    <xf borderId="0" fillId="5" fontId="18" numFmtId="10" xfId="0" applyAlignment="1" applyFont="1" applyNumberFormat="1">
      <alignment horizontal="center" readingOrder="0" shrinkToFit="0" vertical="center" wrapText="1"/>
    </xf>
    <xf borderId="0" fillId="8" fontId="18" numFmtId="0" xfId="0" applyAlignment="1" applyFont="1">
      <alignment readingOrder="0" shrinkToFit="0" wrapText="1"/>
    </xf>
    <xf borderId="0" fillId="8" fontId="18" numFmtId="0" xfId="0" applyAlignment="1" applyFont="1">
      <alignment horizontal="center" readingOrder="0" shrinkToFit="0" vertical="center" wrapText="1"/>
    </xf>
    <xf borderId="0" fillId="8" fontId="17" numFmtId="10" xfId="0" applyAlignment="1" applyFont="1" applyNumberFormat="1">
      <alignment horizontal="center" readingOrder="0" shrinkToFit="0" vertical="center" wrapText="1"/>
    </xf>
    <xf borderId="0" fillId="0" fontId="53" numFmtId="0" xfId="0" applyAlignment="1" applyFont="1">
      <alignment horizontal="center" readingOrder="0" vertical="center"/>
    </xf>
    <xf borderId="1" fillId="18" fontId="4" numFmtId="0" xfId="0" applyAlignment="1" applyBorder="1" applyFill="1" applyFont="1">
      <alignment horizontal="center" readingOrder="0"/>
    </xf>
    <xf borderId="1" fillId="0" fontId="0" numFmtId="166" xfId="0" applyAlignment="1" applyBorder="1" applyFont="1" applyNumberFormat="1">
      <alignment horizontal="center" readingOrder="0"/>
    </xf>
    <xf borderId="1" fillId="0" fontId="0" numFmtId="166" xfId="0" applyAlignment="1" applyBorder="1" applyFont="1" applyNumberFormat="1">
      <alignment horizontal="center"/>
    </xf>
    <xf borderId="1" fillId="5" fontId="0" numFmtId="166" xfId="0" applyAlignment="1" applyBorder="1" applyFont="1" applyNumberFormat="1">
      <alignment horizontal="center"/>
    </xf>
    <xf borderId="1" fillId="10" fontId="4" numFmtId="0" xfId="0" applyAlignment="1" applyBorder="1" applyFont="1">
      <alignment horizontal="center" readingOrder="0"/>
    </xf>
    <xf borderId="1" fillId="0" fontId="4" numFmtId="11" xfId="0" applyBorder="1" applyFont="1" applyNumberFormat="1"/>
    <xf borderId="0" fillId="0" fontId="17" numFmtId="0" xfId="0" applyAlignment="1" applyFont="1">
      <alignment horizontal="left" readingOrder="0" shrinkToFit="0" textRotation="0" vertical="center" wrapText="0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35" fillId="19" fontId="18" numFmtId="0" xfId="0" applyAlignment="1" applyBorder="1" applyFill="1" applyFont="1">
      <alignment horizontal="center" readingOrder="0" vertical="center"/>
    </xf>
    <xf borderId="36" fillId="19" fontId="18" numFmtId="0" xfId="0" applyAlignment="1" applyBorder="1" applyFont="1">
      <alignment horizontal="center" readingOrder="0" shrinkToFit="0" vertical="center" wrapText="1"/>
    </xf>
    <xf borderId="15" fillId="19" fontId="18" numFmtId="0" xfId="0" applyAlignment="1" applyBorder="1" applyFont="1">
      <alignment horizontal="center" vertical="center"/>
    </xf>
    <xf borderId="11" fillId="19" fontId="18" numFmtId="0" xfId="0" applyAlignment="1" applyBorder="1" applyFont="1">
      <alignment horizontal="center" shrinkToFit="0" vertical="center" wrapText="1"/>
    </xf>
    <xf borderId="34" fillId="19" fontId="17" numFmtId="0" xfId="0" applyAlignment="1" applyBorder="1" applyFont="1">
      <alignment horizontal="center" vertical="center"/>
    </xf>
    <xf borderId="7" fillId="0" fontId="43" numFmtId="0" xfId="0" applyBorder="1" applyFont="1"/>
    <xf borderId="3" fillId="19" fontId="17" numFmtId="0" xfId="0" applyAlignment="1" applyBorder="1" applyFont="1">
      <alignment horizontal="center" vertical="center"/>
    </xf>
    <xf borderId="4" fillId="0" fontId="43" numFmtId="0" xfId="0" applyBorder="1" applyFont="1"/>
    <xf borderId="34" fillId="19" fontId="17" numFmtId="0" xfId="0" applyAlignment="1" applyBorder="1" applyFont="1">
      <alignment horizontal="center" readingOrder="0" vertical="center"/>
    </xf>
    <xf borderId="33" fillId="19" fontId="17" numFmtId="0" xfId="0" applyAlignment="1" applyBorder="1" applyFont="1">
      <alignment horizontal="center" readingOrder="0" shrinkToFit="0" vertical="center" wrapText="1"/>
    </xf>
    <xf borderId="37" fillId="0" fontId="43" numFmtId="0" xfId="0" applyBorder="1" applyFont="1"/>
    <xf borderId="38" fillId="0" fontId="43" numFmtId="0" xfId="0" applyBorder="1" applyFont="1"/>
    <xf borderId="17" fillId="0" fontId="43" numFmtId="0" xfId="0" applyBorder="1" applyFont="1"/>
    <xf borderId="14" fillId="0" fontId="43" numFmtId="0" xfId="0" applyBorder="1" applyFont="1"/>
    <xf borderId="33" fillId="19" fontId="18" numFmtId="0" xfId="0" applyAlignment="1" applyBorder="1" applyFont="1">
      <alignment horizontal="center" vertical="center"/>
    </xf>
    <xf borderId="35" fillId="19" fontId="18" numFmtId="0" xfId="0" applyAlignment="1" applyBorder="1" applyFont="1">
      <alignment horizontal="center" readingOrder="0" shrinkToFit="0" vertical="center" wrapText="1"/>
    </xf>
    <xf borderId="33" fillId="19" fontId="18" numFmtId="0" xfId="0" applyAlignment="1" applyBorder="1" applyFont="1">
      <alignment horizontal="center" readingOrder="0" vertical="center"/>
    </xf>
    <xf borderId="11" fillId="19" fontId="18" numFmtId="0" xfId="0" applyAlignment="1" applyBorder="1" applyFont="1">
      <alignment horizontal="center" readingOrder="0" vertical="center"/>
    </xf>
    <xf borderId="31" fillId="0" fontId="43" numFmtId="0" xfId="0" applyBorder="1" applyFont="1"/>
    <xf borderId="39" fillId="19" fontId="17" numFmtId="3" xfId="0" applyAlignment="1" applyBorder="1" applyFont="1" applyNumberFormat="1">
      <alignment horizontal="center" readingOrder="0" textRotation="0" vertical="center"/>
    </xf>
    <xf borderId="40" fillId="0" fontId="18" numFmtId="3" xfId="0" applyAlignment="1" applyBorder="1" applyFont="1" applyNumberFormat="1">
      <alignment horizontal="center" shrinkToFit="0" vertical="center" wrapText="1"/>
    </xf>
    <xf borderId="41" fillId="0" fontId="18" numFmtId="10" xfId="0" applyAlignment="1" applyBorder="1" applyFont="1" applyNumberFormat="1">
      <alignment horizontal="center" vertical="center"/>
    </xf>
    <xf borderId="23" fillId="0" fontId="18" numFmtId="164" xfId="0" applyAlignment="1" applyBorder="1" applyFont="1" applyNumberFormat="1">
      <alignment horizontal="center" vertical="center"/>
    </xf>
    <xf borderId="42" fillId="0" fontId="18" numFmtId="9" xfId="0" applyAlignment="1" applyBorder="1" applyFont="1" applyNumberFormat="1">
      <alignment horizontal="center" vertical="center"/>
    </xf>
    <xf borderId="43" fillId="0" fontId="18" numFmtId="2" xfId="0" applyAlignment="1" applyBorder="1" applyFont="1" applyNumberFormat="1">
      <alignment horizontal="center" vertical="center"/>
    </xf>
    <xf borderId="41" fillId="0" fontId="18" numFmtId="9" xfId="0" applyAlignment="1" applyBorder="1" applyFont="1" applyNumberFormat="1">
      <alignment horizontal="center" readingOrder="0" vertical="center"/>
    </xf>
    <xf borderId="23" fillId="0" fontId="18" numFmtId="2" xfId="0" applyAlignment="1" applyBorder="1" applyFont="1" applyNumberFormat="1">
      <alignment horizontal="center" vertical="center"/>
    </xf>
    <xf borderId="42" fillId="0" fontId="18" numFmtId="9" xfId="0" applyAlignment="1" applyBorder="1" applyFont="1" applyNumberFormat="1">
      <alignment horizontal="center" readingOrder="0" vertical="center"/>
    </xf>
    <xf borderId="41" fillId="0" fontId="18" numFmtId="9" xfId="0" applyAlignment="1" applyBorder="1" applyFont="1" applyNumberFormat="1">
      <alignment horizontal="center" vertical="center"/>
    </xf>
    <xf borderId="32" fillId="0" fontId="18" numFmtId="2" xfId="0" applyAlignment="1" applyBorder="1" applyFont="1" applyNumberFormat="1">
      <alignment horizontal="center" vertical="center"/>
    </xf>
    <xf borderId="7" fillId="0" fontId="18" numFmtId="3" xfId="0" applyAlignment="1" applyBorder="1" applyFont="1" applyNumberFormat="1">
      <alignment horizontal="center" shrinkToFit="0" vertical="center" wrapText="1"/>
    </xf>
    <xf borderId="4" fillId="0" fontId="18" numFmtId="10" xfId="0" applyAlignment="1" applyBorder="1" applyFont="1" applyNumberFormat="1">
      <alignment horizontal="center" vertical="center"/>
    </xf>
    <xf borderId="2" fillId="0" fontId="18" numFmtId="164" xfId="0" applyAlignment="1" applyBorder="1" applyFont="1" applyNumberFormat="1">
      <alignment horizontal="center" vertical="center"/>
    </xf>
    <xf borderId="32" fillId="0" fontId="18" numFmtId="9" xfId="0" applyAlignment="1" applyBorder="1" applyFont="1" applyNumberFormat="1">
      <alignment horizontal="center" vertical="center"/>
    </xf>
    <xf borderId="6" fillId="0" fontId="18" numFmtId="2" xfId="0" applyAlignment="1" applyBorder="1" applyFont="1" applyNumberFormat="1">
      <alignment horizontal="center" vertical="center"/>
    </xf>
    <xf borderId="4" fillId="0" fontId="18" numFmtId="9" xfId="0" applyAlignment="1" applyBorder="1" applyFont="1" applyNumberFormat="1">
      <alignment horizontal="center" readingOrder="0" vertical="center"/>
    </xf>
    <xf borderId="2" fillId="0" fontId="18" numFmtId="2" xfId="0" applyAlignment="1" applyBorder="1" applyFont="1" applyNumberFormat="1">
      <alignment horizontal="center" vertical="center"/>
    </xf>
    <xf borderId="32" fillId="0" fontId="18" numFmtId="9" xfId="0" applyAlignment="1" applyBorder="1" applyFont="1" applyNumberFormat="1">
      <alignment horizontal="center" readingOrder="0" vertical="center"/>
    </xf>
    <xf borderId="4" fillId="0" fontId="18" numFmtId="9" xfId="0" applyAlignment="1" applyBorder="1" applyFont="1" applyNumberFormat="1">
      <alignment horizontal="center" vertical="center"/>
    </xf>
    <xf borderId="44" fillId="0" fontId="43" numFmtId="0" xfId="0" applyBorder="1" applyFont="1"/>
    <xf borderId="45" fillId="20" fontId="17" numFmtId="0" xfId="0" applyAlignment="1" applyBorder="1" applyFill="1" applyFont="1">
      <alignment horizontal="center" shrinkToFit="0" vertical="center" wrapText="1"/>
    </xf>
    <xf borderId="30" fillId="20" fontId="17" numFmtId="0" xfId="0" applyAlignment="1" applyBorder="1" applyFont="1">
      <alignment horizontal="center" vertical="center"/>
    </xf>
    <xf borderId="26" fillId="20" fontId="17" numFmtId="164" xfId="0" applyAlignment="1" applyBorder="1" applyFont="1" applyNumberFormat="1">
      <alignment horizontal="center" vertical="center"/>
    </xf>
    <xf borderId="46" fillId="20" fontId="17" numFmtId="2" xfId="0" applyAlignment="1" applyBorder="1" applyFont="1" applyNumberFormat="1">
      <alignment horizontal="center" vertical="center"/>
    </xf>
    <xf borderId="47" fillId="20" fontId="17" numFmtId="2" xfId="0" applyAlignment="1" applyBorder="1" applyFont="1" applyNumberFormat="1">
      <alignment horizontal="center" vertical="center"/>
    </xf>
    <xf borderId="30" fillId="20" fontId="17" numFmtId="9" xfId="0" applyAlignment="1" applyBorder="1" applyFont="1" applyNumberFormat="1">
      <alignment horizontal="center" vertical="center"/>
    </xf>
    <xf borderId="26" fillId="20" fontId="17" numFmtId="2" xfId="0" applyAlignment="1" applyBorder="1" applyFont="1" applyNumberFormat="1">
      <alignment horizontal="center" vertical="center"/>
    </xf>
    <xf borderId="46" fillId="20" fontId="17" numFmtId="9" xfId="0" applyAlignment="1" applyBorder="1" applyFont="1" applyNumberFormat="1">
      <alignment horizontal="center" vertical="center"/>
    </xf>
    <xf borderId="46" fillId="21" fontId="17" numFmtId="2" xfId="0" applyAlignment="1" applyBorder="1" applyFill="1" applyFont="1" applyNumberFormat="1">
      <alignment horizontal="center" vertical="center"/>
    </xf>
    <xf borderId="37" fillId="19" fontId="17" numFmtId="0" xfId="0" applyAlignment="1" applyBorder="1" applyFont="1">
      <alignment horizontal="center" readingOrder="0" textRotation="0" vertical="center"/>
    </xf>
    <xf borderId="38" fillId="0" fontId="18" numFmtId="0" xfId="0" applyAlignment="1" applyBorder="1" applyFont="1">
      <alignment horizontal="center" shrinkToFit="0" vertical="center" wrapText="1"/>
    </xf>
    <xf borderId="17" fillId="0" fontId="18" numFmtId="10" xfId="0" applyAlignment="1" applyBorder="1" applyFont="1" applyNumberFormat="1">
      <alignment horizontal="center" vertical="center"/>
    </xf>
    <xf borderId="14" fillId="0" fontId="18" numFmtId="2" xfId="0" applyAlignment="1" applyBorder="1" applyFont="1" applyNumberFormat="1">
      <alignment horizontal="center" vertical="center"/>
    </xf>
    <xf borderId="31" fillId="0" fontId="18" numFmtId="9" xfId="0" applyAlignment="1" applyBorder="1" applyFont="1" applyNumberFormat="1">
      <alignment horizontal="center" vertical="center"/>
    </xf>
    <xf borderId="48" fillId="0" fontId="18" numFmtId="2" xfId="0" applyAlignment="1" applyBorder="1" applyFont="1" applyNumberFormat="1">
      <alignment horizontal="center" vertical="center"/>
    </xf>
    <xf borderId="17" fillId="0" fontId="18" numFmtId="9" xfId="0" applyAlignment="1" applyBorder="1" applyFont="1" applyNumberFormat="1">
      <alignment horizontal="center" vertical="center"/>
    </xf>
    <xf borderId="17" fillId="0" fontId="18" numFmtId="9" xfId="0" applyAlignment="1" applyBorder="1" applyFont="1" applyNumberFormat="1">
      <alignment horizontal="center" readingOrder="0" vertical="center"/>
    </xf>
    <xf borderId="14" fillId="0" fontId="18" numFmtId="2" xfId="0" applyAlignment="1" applyBorder="1" applyFont="1" applyNumberFormat="1">
      <alignment horizontal="center" readingOrder="0" vertical="center"/>
    </xf>
    <xf borderId="31" fillId="0" fontId="18" numFmtId="9" xfId="0" applyAlignment="1" applyBorder="1" applyFont="1" applyNumberFormat="1">
      <alignment horizontal="center" readingOrder="0" vertical="center"/>
    </xf>
    <xf borderId="31" fillId="0" fontId="18" numFmtId="2" xfId="0" applyAlignment="1" applyBorder="1" applyFont="1" applyNumberFormat="1">
      <alignment horizontal="center" vertical="center"/>
    </xf>
    <xf borderId="7" fillId="0" fontId="18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vertical="center"/>
    </xf>
    <xf borderId="2" fillId="0" fontId="18" numFmtId="2" xfId="0" applyAlignment="1" applyBorder="1" applyFont="1" applyNumberFormat="1">
      <alignment horizontal="center" readingOrder="0" vertical="center"/>
    </xf>
    <xf borderId="45" fillId="20" fontId="17" numFmtId="0" xfId="0" applyAlignment="1" applyBorder="1" applyFont="1">
      <alignment horizontal="center" shrinkToFit="0" vertical="center" wrapText="1"/>
    </xf>
    <xf borderId="46" fillId="20" fontId="17" numFmtId="0" xfId="0" applyAlignment="1" applyBorder="1" applyFont="1">
      <alignment horizontal="center" vertical="center"/>
    </xf>
    <xf borderId="26" fillId="20" fontId="17" numFmtId="2" xfId="0" applyAlignment="1" applyBorder="1" applyFont="1" applyNumberFormat="1">
      <alignment horizontal="center" readingOrder="0" vertical="center"/>
    </xf>
    <xf borderId="38" fillId="0" fontId="18" numFmtId="0" xfId="0" applyAlignment="1" applyBorder="1" applyFont="1">
      <alignment horizontal="center" readingOrder="0" shrinkToFit="0" vertical="center" wrapText="1"/>
    </xf>
    <xf borderId="17" fillId="0" fontId="18" numFmtId="10" xfId="0" applyAlignment="1" applyBorder="1" applyFont="1" applyNumberFormat="1">
      <alignment horizontal="center" readingOrder="0" vertical="center"/>
    </xf>
    <xf borderId="14" fillId="0" fontId="18" numFmtId="0" xfId="0" applyAlignment="1" applyBorder="1" applyFont="1">
      <alignment horizontal="center" readingOrder="0" vertical="center"/>
    </xf>
    <xf borderId="48" fillId="0" fontId="18" numFmtId="2" xfId="0" applyAlignment="1" applyBorder="1" applyFont="1" applyNumberFormat="1">
      <alignment horizontal="center" readingOrder="0" vertical="center"/>
    </xf>
    <xf borderId="7" fillId="0" fontId="18" numFmtId="0" xfId="0" applyAlignment="1" applyBorder="1" applyFont="1">
      <alignment horizontal="center" readingOrder="0" shrinkToFit="0" vertical="center" wrapText="1"/>
    </xf>
    <xf borderId="4" fillId="0" fontId="18" numFmtId="10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readingOrder="0" vertical="center"/>
    </xf>
    <xf borderId="32" fillId="0" fontId="18" numFmtId="0" xfId="0" applyAlignment="1" applyBorder="1" applyFont="1">
      <alignment horizontal="center" vertical="center"/>
    </xf>
    <xf borderId="48" fillId="0" fontId="43" numFmtId="0" xfId="0" applyBorder="1" applyFont="1"/>
    <xf borderId="36" fillId="20" fontId="17" numFmtId="0" xfId="0" applyAlignment="1" applyBorder="1" applyFont="1">
      <alignment horizontal="center" readingOrder="0" shrinkToFit="0" vertical="center" wrapText="1"/>
    </xf>
    <xf borderId="15" fillId="20" fontId="17" numFmtId="0" xfId="0" applyAlignment="1" applyBorder="1" applyFont="1">
      <alignment horizontal="center" vertical="center"/>
    </xf>
    <xf borderId="11" fillId="20" fontId="17" numFmtId="164" xfId="0" applyAlignment="1" applyBorder="1" applyFont="1" applyNumberFormat="1">
      <alignment horizontal="center" readingOrder="0" vertical="center"/>
    </xf>
    <xf borderId="33" fillId="20" fontId="17" numFmtId="164" xfId="0" applyAlignment="1" applyBorder="1" applyFont="1" applyNumberFormat="1">
      <alignment horizontal="center" vertical="center"/>
    </xf>
    <xf borderId="35" fillId="20" fontId="17" numFmtId="164" xfId="0" applyAlignment="1" applyBorder="1" applyFont="1" applyNumberFormat="1">
      <alignment horizontal="center" readingOrder="0" vertical="center"/>
    </xf>
    <xf borderId="15" fillId="20" fontId="17" numFmtId="164" xfId="0" applyAlignment="1" applyBorder="1" applyFont="1" applyNumberFormat="1">
      <alignment horizontal="center" vertical="center"/>
    </xf>
    <xf borderId="33" fillId="20" fontId="17" numFmtId="164" xfId="0" applyAlignment="1" applyBorder="1" applyFont="1" applyNumberFormat="1">
      <alignment horizontal="center" readingOrder="0" vertical="center"/>
    </xf>
    <xf borderId="33" fillId="21" fontId="17" numFmtId="164" xfId="0" applyAlignment="1" applyBorder="1" applyFont="1" applyNumberFormat="1">
      <alignment horizontal="center" vertical="center"/>
    </xf>
    <xf borderId="21" fillId="19" fontId="17" numFmtId="0" xfId="0" applyAlignment="1" applyBorder="1" applyFont="1">
      <alignment readingOrder="0" vertical="center"/>
    </xf>
    <xf borderId="21" fillId="0" fontId="18" numFmtId="0" xfId="0" applyAlignment="1" applyBorder="1" applyFont="1">
      <alignment horizontal="center" shrinkToFit="0" vertical="center" wrapText="1"/>
    </xf>
    <xf borderId="21" fillId="0" fontId="18" numFmtId="0" xfId="0" applyAlignment="1" applyBorder="1" applyFont="1">
      <alignment horizontal="center" vertical="center"/>
    </xf>
    <xf borderId="21" fillId="0" fontId="17" numFmtId="164" xfId="0" applyAlignment="1" applyBorder="1" applyFont="1" applyNumberFormat="1">
      <alignment horizontal="center" vertical="center"/>
    </xf>
    <xf borderId="21" fillId="22" fontId="17" numFmtId="164" xfId="0" applyAlignment="1" applyBorder="1" applyFill="1" applyFont="1" applyNumberFormat="1">
      <alignment horizontal="center" vertical="center"/>
    </xf>
    <xf borderId="43" fillId="22" fontId="17" numFmtId="164" xfId="0" applyAlignment="1" applyBorder="1" applyFont="1" applyNumberFormat="1">
      <alignment horizontal="center" vertical="center"/>
    </xf>
    <xf borderId="41" fillId="23" fontId="17" numFmtId="164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66">
    <tableStyle count="3" pivot="0" name="Sectors-style">
      <tableStyleElement dxfId="2" type="headerRow"/>
      <tableStyleElement dxfId="3" type="firstRowStripe"/>
      <tableStyleElement dxfId="4" type="secondRowStripe"/>
    </tableStyle>
    <tableStyle count="3" pivot="0" name="Sectors-style 2">
      <tableStyleElement dxfId="2" type="headerRow"/>
      <tableStyleElement dxfId="3" type="firstRowStripe"/>
      <tableStyleElement dxfId="4" type="secondRowStripe"/>
    </tableStyle>
    <tableStyle count="3" pivot="0" name="Sectors-style 3">
      <tableStyleElement dxfId="2" type="headerRow"/>
      <tableStyleElement dxfId="3" type="firstRowStripe"/>
      <tableStyleElement dxfId="4" type="secondRowStripe"/>
    </tableStyle>
    <tableStyle count="3" pivot="0" name="Sectors-style 4">
      <tableStyleElement dxfId="5" type="headerRow"/>
      <tableStyleElement dxfId="3" type="firstRowStripe"/>
      <tableStyleElement dxfId="6" type="secondRowStripe"/>
    </tableStyle>
    <tableStyle count="3" pivot="0" name="Sectors-style 5">
      <tableStyleElement dxfId="5" type="headerRow"/>
      <tableStyleElement dxfId="3" type="firstRowStripe"/>
      <tableStyleElement dxfId="6" type="secondRowStripe"/>
    </tableStyle>
    <tableStyle count="2" pivot="0" name="Sectors-style 6">
      <tableStyleElement dxfId="6" type="firstRowStripe"/>
      <tableStyleElement dxfId="3" type="secondRowStripe"/>
    </tableStyle>
    <tableStyle count="3" pivot="0" name="Sectors-style 7">
      <tableStyleElement dxfId="2" type="headerRow"/>
      <tableStyleElement dxfId="3" type="firstRowStripe"/>
      <tableStyleElement dxfId="4" type="secondRowStripe"/>
    </tableStyle>
    <tableStyle count="3" pivot="0" name="Sectors-style 8">
      <tableStyleElement dxfId="2" type="headerRow"/>
      <tableStyleElement dxfId="3" type="firstRowStripe"/>
      <tableStyleElement dxfId="4" type="secondRowStripe"/>
    </tableStyle>
    <tableStyle count="3" pivot="0" name="Sectors-style 9">
      <tableStyleElement dxfId="2" type="headerRow"/>
      <tableStyleElement dxfId="3" type="firstRowStripe"/>
      <tableStyleElement dxfId="4" type="secondRowStripe"/>
    </tableStyle>
    <tableStyle count="3" pivot="0" name="Sectors-style 10">
      <tableStyleElement dxfId="2" type="headerRow"/>
      <tableStyleElement dxfId="3" type="firstRowStripe"/>
      <tableStyleElement dxfId="4" type="secondRowStripe"/>
    </tableStyle>
    <tableStyle count="3" pivot="0" name="Sectors-style 11">
      <tableStyleElement dxfId="2" type="headerRow"/>
      <tableStyleElement dxfId="3" type="firstRowStripe"/>
      <tableStyleElement dxfId="4" type="secondRowStripe"/>
    </tableStyle>
    <tableStyle count="3" pivot="0" name="Sectors-style 12">
      <tableStyleElement dxfId="7" type="headerRow"/>
      <tableStyleElement dxfId="3" type="firstRowStripe"/>
      <tableStyleElement dxfId="8" type="secondRowStripe"/>
    </tableStyle>
    <tableStyle count="3" pivot="0" name="Sectors-style 13">
      <tableStyleElement dxfId="2" type="headerRow"/>
      <tableStyleElement dxfId="3" type="firstRowStripe"/>
      <tableStyleElement dxfId="4" type="secondRowStripe"/>
    </tableStyle>
    <tableStyle count="3" pivot="0" name="Sectors-style 14">
      <tableStyleElement dxfId="2" type="headerRow"/>
      <tableStyleElement dxfId="3" type="firstRowStripe"/>
      <tableStyleElement dxfId="4" type="secondRowStripe"/>
    </tableStyle>
    <tableStyle count="3" pivot="0" name="Line-style">
      <tableStyleElement dxfId="2" type="headerRow"/>
      <tableStyleElement dxfId="3" type="firstRowStripe"/>
      <tableStyleElement dxfId="4" type="secondRowStripe"/>
    </tableStyle>
    <tableStyle count="3" pivot="0" name="Line-style 2">
      <tableStyleElement dxfId="9" type="headerRow"/>
      <tableStyleElement dxfId="3" type="firstRowStripe"/>
      <tableStyleElement dxfId="10" type="secondRowStripe"/>
    </tableStyle>
    <tableStyle count="3" pivot="0" name="Line-style 3">
      <tableStyleElement dxfId="2" type="headerRow"/>
      <tableStyleElement dxfId="3" type="firstRowStripe"/>
      <tableStyleElement dxfId="4" type="secondRowStripe"/>
    </tableStyle>
    <tableStyle count="3" pivot="0" name="Line-style 4">
      <tableStyleElement dxfId="2" type="headerRow"/>
      <tableStyleElement dxfId="3" type="firstRowStripe"/>
      <tableStyleElement dxfId="4" type="secondRowStripe"/>
    </tableStyle>
    <tableStyle count="3" pivot="0" name="Line-style 5">
      <tableStyleElement dxfId="9" type="headerRow"/>
      <tableStyleElement dxfId="3" type="firstRowStripe"/>
      <tableStyleElement dxfId="10" type="secondRowStripe"/>
    </tableStyle>
    <tableStyle count="3" pivot="0" name="Line-style 6">
      <tableStyleElement dxfId="2" type="headerRow"/>
      <tableStyleElement dxfId="3" type="firstRowStripe"/>
      <tableStyleElement dxfId="4" type="secondRowStripe"/>
    </tableStyle>
    <tableStyle count="3" pivot="0" name="Line-style 7">
      <tableStyleElement dxfId="9" type="headerRow"/>
      <tableStyleElement dxfId="3" type="firstRowStripe"/>
      <tableStyleElement dxfId="10" type="secondRowStripe"/>
    </tableStyle>
    <tableStyle count="3" pivot="0" name="Line-style 8">
      <tableStyleElement dxfId="2" type="headerRow"/>
      <tableStyleElement dxfId="3" type="firstRowStripe"/>
      <tableStyleElement dxfId="4" type="secondRowStripe"/>
    </tableStyle>
    <tableStyle count="3" pivot="0" name="Line-style 9">
      <tableStyleElement dxfId="9" type="headerRow"/>
      <tableStyleElement dxfId="3" type="firstRowStripe"/>
      <tableStyleElement dxfId="10" type="secondRowStripe"/>
    </tableStyle>
    <tableStyle count="3" pivot="0" name="Line-style 10">
      <tableStyleElement dxfId="2" type="headerRow"/>
      <tableStyleElement dxfId="3" type="firstRowStripe"/>
      <tableStyleElement dxfId="4" type="secondRowStripe"/>
    </tableStyle>
    <tableStyle count="2" pivot="0" name="Line-style 11">
      <tableStyleElement dxfId="3" type="firstRowStripe"/>
      <tableStyleElement dxfId="4" type="secondRowStripe"/>
    </tableStyle>
    <tableStyle count="3" pivot="0" name="Seasonal-style">
      <tableStyleElement dxfId="9" type="headerRow"/>
      <tableStyleElement dxfId="3" type="firstRowStripe"/>
      <tableStyleElement dxfId="10" type="secondRowStripe"/>
    </tableStyle>
    <tableStyle count="3" pivot="0" name="Seasonal-style 2">
      <tableStyleElement dxfId="9" type="headerRow"/>
      <tableStyleElement dxfId="3" type="firstRowStripe"/>
      <tableStyleElement dxfId="10" type="secondRowStripe"/>
    </tableStyle>
    <tableStyle count="3" pivot="0" name="Seasonal-style 3">
      <tableStyleElement dxfId="9" type="headerRow"/>
      <tableStyleElement dxfId="3" type="firstRowStripe"/>
      <tableStyleElement dxfId="10" type="secondRowStripe"/>
    </tableStyle>
    <tableStyle count="3" pivot="0" name="Seasonal-style 4">
      <tableStyleElement dxfId="9" type="headerRow"/>
      <tableStyleElement dxfId="3" type="firstRowStripe"/>
      <tableStyleElement dxfId="10" type="secondRowStripe"/>
    </tableStyle>
    <tableStyle count="3" pivot="0" name="Seasonal-style 5">
      <tableStyleElement dxfId="9" type="headerRow"/>
      <tableStyleElement dxfId="3" type="firstRowStripe"/>
      <tableStyleElement dxfId="10" type="secondRowStripe"/>
    </tableStyle>
    <tableStyle count="3" pivot="0" name="Seasonal-style 6">
      <tableStyleElement dxfId="2" type="headerRow"/>
      <tableStyleElement dxfId="3" type="firstRowStripe"/>
      <tableStyleElement dxfId="4" type="secondRowStripe"/>
    </tableStyle>
    <tableStyle count="3" pivot="0" name="Seasonal-style 7">
      <tableStyleElement dxfId="9" type="headerRow"/>
      <tableStyleElement dxfId="3" type="firstRowStripe"/>
      <tableStyleElement dxfId="10" type="secondRowStripe"/>
    </tableStyle>
    <tableStyle count="3" pivot="0" name="Seasonal-style 8">
      <tableStyleElement dxfId="2" type="headerRow"/>
      <tableStyleElement dxfId="3" type="firstRowStripe"/>
      <tableStyleElement dxfId="4" type="secondRowStripe"/>
    </tableStyle>
    <tableStyle count="3" pivot="0" name="Seasonal-style 9">
      <tableStyleElement dxfId="9" type="headerRow"/>
      <tableStyleElement dxfId="3" type="firstRowStripe"/>
      <tableStyleElement dxfId="10" type="secondRowStripe"/>
    </tableStyle>
    <tableStyle count="3" pivot="0" name="Seasonal-style 10">
      <tableStyleElement dxfId="5" type="headerRow"/>
      <tableStyleElement dxfId="3" type="firstRowStripe"/>
      <tableStyleElement dxfId="6" type="secondRowStripe"/>
    </tableStyle>
    <tableStyle count="3" pivot="0" name="Seasonal-style 11">
      <tableStyleElement dxfId="2" type="headerRow"/>
      <tableStyleElement dxfId="3" type="firstRowStripe"/>
      <tableStyleElement dxfId="4" type="secondRowStripe"/>
    </tableStyle>
    <tableStyle count="3" pivot="0" name="Seasonal-style 12">
      <tableStyleElement dxfId="5" type="headerRow"/>
      <tableStyleElement dxfId="3" type="firstRowStripe"/>
      <tableStyleElement dxfId="6" type="secondRowStripe"/>
    </tableStyle>
    <tableStyle count="3" pivot="0" name="Seasonal-style 13">
      <tableStyleElement dxfId="2" type="headerRow"/>
      <tableStyleElement dxfId="3" type="firstRowStripe"/>
      <tableStyleElement dxfId="4" type="secondRowStripe"/>
    </tableStyle>
    <tableStyle count="3" pivot="0" name="Other demand-style">
      <tableStyleElement dxfId="5" type="headerRow"/>
      <tableStyleElement dxfId="3" type="firstRowStripe"/>
      <tableStyleElement dxfId="6" type="secondRowStripe"/>
    </tableStyle>
    <tableStyle count="3" pivot="0" name="Other demand-style 2">
      <tableStyleElement dxfId="5" type="headerRow"/>
      <tableStyleElement dxfId="3" type="firstRowStripe"/>
      <tableStyleElement dxfId="6" type="secondRowStripe"/>
    </tableStyle>
    <tableStyle count="3" pivot="0" name="Other demand-style 3">
      <tableStyleElement dxfId="5" type="headerRow"/>
      <tableStyleElement dxfId="3" type="firstRowStripe"/>
      <tableStyleElement dxfId="6" type="secondRowStripe"/>
    </tableStyle>
    <tableStyle count="3" pivot="0" name="Other demand-style 4">
      <tableStyleElement dxfId="5" type="headerRow"/>
      <tableStyleElement dxfId="3" type="firstRowStripe"/>
      <tableStyleElement dxfId="6" type="secondRowStripe"/>
    </tableStyle>
    <tableStyle count="3" pivot="0" name="Other demand-style 5">
      <tableStyleElement dxfId="5" type="headerRow"/>
      <tableStyleElement dxfId="3" type="firstRowStripe"/>
      <tableStyleElement dxfId="6" type="secondRowStripe"/>
    </tableStyle>
    <tableStyle count="3" pivot="0" name="Other demand-style 6">
      <tableStyleElement dxfId="5" type="headerRow"/>
      <tableStyleElement dxfId="3" type="firstRowStripe"/>
      <tableStyleElement dxfId="6" type="secondRowStripe"/>
    </tableStyle>
    <tableStyle count="3" pivot="0" name="Other demand-style 7">
      <tableStyleElement dxfId="5" type="headerRow"/>
      <tableStyleElement dxfId="3" type="firstRowStripe"/>
      <tableStyleElement dxfId="6" type="secondRowStripe"/>
    </tableStyle>
    <tableStyle count="3" pivot="0" name="Energy Scope-style">
      <tableStyleElement dxfId="9" type="headerRow"/>
      <tableStyleElement dxfId="3" type="firstRowStripe"/>
      <tableStyleElement dxfId="10" type="secondRowStripe"/>
    </tableStyle>
    <tableStyle count="3" pivot="0" name="Energy Scope-style 2">
      <tableStyleElement dxfId="2" type="headerRow"/>
      <tableStyleElement dxfId="3" type="firstRowStripe"/>
      <tableStyleElement dxfId="4" type="secondRowStripe"/>
    </tableStyle>
    <tableStyle count="3" pivot="0" name="Energy Scope-style 3">
      <tableStyleElement dxfId="9" type="headerRow"/>
      <tableStyleElement dxfId="3" type="firstRowStripe"/>
      <tableStyleElement dxfId="10" type="secondRowStripe"/>
    </tableStyle>
    <tableStyle count="3" pivot="0" name="Industry Sector-style">
      <tableStyleElement dxfId="2" type="headerRow"/>
      <tableStyleElement dxfId="3" type="firstRowStripe"/>
      <tableStyleElement dxfId="4" type="secondRowStripe"/>
    </tableStyle>
    <tableStyle count="3" pivot="0" name="Industry Sector-style 2">
      <tableStyleElement dxfId="2" type="headerRow"/>
      <tableStyleElement dxfId="3" type="firstRowStripe"/>
      <tableStyleElement dxfId="4" type="secondRowStripe"/>
    </tableStyle>
    <tableStyle count="3" pivot="0" name="Industry Sector-style 3">
      <tableStyleElement dxfId="2" type="headerRow"/>
      <tableStyleElement dxfId="3" type="firstRowStripe"/>
      <tableStyleElement dxfId="4" type="secondRowStripe"/>
    </tableStyle>
    <tableStyle count="3" pivot="0" name="Industry Sector-style 4">
      <tableStyleElement dxfId="2" type="headerRow"/>
      <tableStyleElement dxfId="3" type="firstRowStripe"/>
      <tableStyleElement dxfId="4" type="secondRowStripe"/>
    </tableStyle>
    <tableStyle count="3" pivot="0" name="District heating-style">
      <tableStyleElement dxfId="2" type="headerRow"/>
      <tableStyleElement dxfId="3" type="firstRowStripe"/>
      <tableStyleElement dxfId="4" type="secondRowStripe"/>
    </tableStyle>
    <tableStyle count="3" pivot="0" name="District heating-style 2">
      <tableStyleElement dxfId="9" type="headerRow"/>
      <tableStyleElement dxfId="3" type="firstRowStripe"/>
      <tableStyleElement dxfId="10" type="secondRowStripe"/>
    </tableStyle>
    <tableStyle count="3" pivot="0" name="District heating-style 3">
      <tableStyleElement dxfId="2" type="headerRow"/>
      <tableStyleElement dxfId="3" type="firstRowStripe"/>
      <tableStyleElement dxfId="4" type="secondRowStripe"/>
    </tableStyle>
    <tableStyle count="3" pivot="0" name="Housing Sector-style">
      <tableStyleElement dxfId="2" type="headerRow"/>
      <tableStyleElement dxfId="3" type="firstRowStripe"/>
      <tableStyleElement dxfId="4" type="secondRowStripe"/>
    </tableStyle>
    <tableStyle count="3" pivot="0" name="Housing Sector-style 2">
      <tableStyleElement dxfId="2" type="headerRow"/>
      <tableStyleElement dxfId="3" type="firstRowStripe"/>
      <tableStyleElement dxfId="4" type="secondRowStripe"/>
    </tableStyle>
    <tableStyle count="3" pivot="0" name="Housing Sector-style 3">
      <tableStyleElement dxfId="11" type="headerRow"/>
      <tableStyleElement dxfId="3" type="firstRowStripe"/>
      <tableStyleElement dxfId="12" type="secondRowStripe"/>
    </tableStyle>
    <tableStyle count="3" pivot="0" name="Housing Sector-style 4">
      <tableStyleElement dxfId="13" type="headerRow"/>
      <tableStyleElement dxfId="3" type="firstRowStripe"/>
      <tableStyleElement dxfId="14" type="secondRowStripe"/>
    </tableStyle>
    <tableStyle count="3" pivot="0" name="Housing Sector-style 5">
      <tableStyleElement dxfId="13" type="headerRow"/>
      <tableStyleElement dxfId="14" type="firstRowStripe"/>
      <tableStyleElement dxfId="3" type="secondRowStripe"/>
    </tableStyle>
    <tableStyle count="3" pivot="0" name="Housing Sector-style 6">
      <tableStyleElement dxfId="13" type="headerRow"/>
      <tableStyleElement dxfId="14" type="firstRowStripe"/>
      <tableStyleElement dxfId="3" type="secondRowStripe"/>
    </tableStyle>
    <tableStyle count="3" pivot="0" name="Housing Sector-style 7">
      <tableStyleElement dxfId="13" type="headerRow"/>
      <tableStyleElement dxfId="14" type="firstRowStripe"/>
      <tableStyleElement dxfId="3" type="secondRowStripe"/>
    </tableStyle>
    <tableStyle count="3" pivot="0" name="Services-style">
      <tableStyleElement dxfId="2" type="headerRow"/>
      <tableStyleElement dxfId="3" type="firstRowStripe"/>
      <tableStyleElement dxfId="4" type="secondRowStripe"/>
    </tableStyle>
    <tableStyle count="3" pivot="0" name="Services-style 2">
      <tableStyleElement dxfId="2" type="headerRow"/>
      <tableStyleElement dxfId="3" type="firstRowStripe"/>
      <tableStyleElement dxfId="4" type="secondRowStripe"/>
    </tableStyle>
    <tableStyle count="3" pivot="0" name="Services-style 3">
      <tableStyleElement dxfId="2" type="headerRow"/>
      <tableStyleElement dxfId="3" type="firstRowStripe"/>
      <tableStyleElement dxfId="4" type="secondRowStripe"/>
    </tableStyle>
    <tableStyle count="3" pivot="0" name="Services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Final Energy Demand by sector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Sectors!$B$16:$G$16</c:f>
              <c:numCache/>
            </c:numRef>
          </c:val>
        </c:ser>
        <c:ser>
          <c:idx val="1"/>
          <c:order val="1"/>
          <c:tx>
            <c:strRef>
              <c:f>Sectors!$A$17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Sectors!$B$17:$G$17</c:f>
              <c:numCache/>
            </c:numRef>
          </c:val>
        </c:ser>
        <c:ser>
          <c:idx val="2"/>
          <c:order val="2"/>
          <c:tx>
            <c:strRef>
              <c:f>Sectors!$A$18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Sectors!$B$18:$G$18</c:f>
              <c:numCache/>
            </c:numRef>
          </c:val>
        </c:ser>
        <c:ser>
          <c:idx val="3"/>
          <c:order val="3"/>
          <c:tx>
            <c:strRef>
              <c:f>Sectors!$A$20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Sectors!$B$20:$G$20</c:f>
              <c:numCache/>
            </c:numRef>
          </c:val>
        </c:ser>
        <c:ser>
          <c:idx val="4"/>
          <c:order val="4"/>
          <c:tx>
            <c:strRef>
              <c:f>Sectors!$A$19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Sectors!$B$19:$G$19</c:f>
              <c:numCache/>
            </c:numRef>
          </c:val>
        </c:ser>
        <c:overlap val="100"/>
        <c:axId val="1606942643"/>
        <c:axId val="1960863548"/>
      </c:barChart>
      <c:catAx>
        <c:axId val="160694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863548"/>
      </c:catAx>
      <c:valAx>
        <c:axId val="196086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42643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Electricity generation and demand [PJ]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Line!$A$7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Line!$B$7:$G$7</c:f>
              <c:numCache/>
            </c:numRef>
          </c:val>
        </c:ser>
        <c:ser>
          <c:idx val="1"/>
          <c:order val="1"/>
          <c:tx>
            <c:strRef>
              <c:f>Line!$A$8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Line!$B$8:$G$8</c:f>
              <c:numCache/>
            </c:numRef>
          </c:val>
        </c:ser>
        <c:ser>
          <c:idx val="2"/>
          <c:order val="2"/>
          <c:tx>
            <c:strRef>
              <c:f>Line!$A$9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Line!$B$9:$G$9</c:f>
              <c:numCache/>
            </c:numRef>
          </c:val>
        </c:ser>
        <c:ser>
          <c:idx val="3"/>
          <c:order val="3"/>
          <c:tx>
            <c:strRef>
              <c:f>Line!$A$10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Line!$B$10:$G$10</c:f>
              <c:numCache/>
            </c:numRef>
          </c:val>
        </c:ser>
        <c:ser>
          <c:idx val="4"/>
          <c:order val="4"/>
          <c:tx>
            <c:strRef>
              <c:f>Line!$A$11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Line!$B$11:$G$11</c:f>
              <c:numCache/>
            </c:numRef>
          </c:val>
        </c:ser>
        <c:ser>
          <c:idx val="5"/>
          <c:order val="5"/>
          <c:tx>
            <c:strRef>
              <c:f>Line!$A$12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Line!$B$12:$G$12</c:f>
              <c:numCache/>
            </c:numRef>
          </c:val>
        </c:ser>
        <c:overlap val="100"/>
        <c:axId val="665182280"/>
        <c:axId val="2127038917"/>
      </c:barChart>
      <c:catAx>
        <c:axId val="66518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127038917"/>
      </c:catAx>
      <c:valAx>
        <c:axId val="2127038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18228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Waste and industrial waste, Wood, Non renewable and Petroleum product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Line!$A$19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Line!$B$18:$I$18</c:f>
            </c:strRef>
          </c:cat>
          <c:val>
            <c:numRef>
              <c:f>Line!$B$19:$I$19</c:f>
              <c:numCache/>
            </c:numRef>
          </c:val>
        </c:ser>
        <c:ser>
          <c:idx val="1"/>
          <c:order val="1"/>
          <c:tx>
            <c:strRef>
              <c:f>Line!$A$92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Line!$B$18:$I$18</c:f>
            </c:strRef>
          </c:cat>
          <c:val>
            <c:numRef>
              <c:f>Line!$B$92:$I$92</c:f>
              <c:numCache/>
            </c:numRef>
          </c:val>
        </c:ser>
        <c:axId val="2132420157"/>
        <c:axId val="786386801"/>
      </c:areaChart>
      <c:catAx>
        <c:axId val="213242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Demand by source of production [PJ]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386801"/>
      </c:catAx>
      <c:valAx>
        <c:axId val="78638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42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Seasonal!$A$41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Seasonal!$B$41:$E$41</c:f>
              <c:numCache/>
            </c:numRef>
          </c:val>
        </c:ser>
        <c:ser>
          <c:idx val="1"/>
          <c:order val="1"/>
          <c:tx>
            <c:strRef>
              <c:f>Seasonal!$A$42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Seasonal!$B$42:$E$42</c:f>
              <c:numCache/>
            </c:numRef>
          </c:val>
        </c:ser>
        <c:ser>
          <c:idx val="2"/>
          <c:order val="2"/>
          <c:tx>
            <c:strRef>
              <c:f>Seasonal!$A$43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Seasonal!$B$43:$E$43</c:f>
              <c:numCache/>
            </c:numRef>
          </c:val>
        </c:ser>
        <c:ser>
          <c:idx val="3"/>
          <c:order val="3"/>
          <c:tx>
            <c:strRef>
              <c:f>Seasonal!$A$44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Seasonal!$B$44:$E$44</c:f>
              <c:numCache/>
            </c:numRef>
          </c:val>
        </c:ser>
        <c:ser>
          <c:idx val="4"/>
          <c:order val="4"/>
          <c:tx>
            <c:strRef>
              <c:f>Seasonal!$A$45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Seasonal!$B$45:$E$45</c:f>
              <c:numCache/>
            </c:numRef>
          </c:val>
        </c:ser>
        <c:ser>
          <c:idx val="5"/>
          <c:order val="5"/>
          <c:tx>
            <c:strRef>
              <c:f>Seasonal!$A$46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Seasonal!$B$46:$E$46</c:f>
              <c:numCache/>
            </c:numRef>
          </c:val>
        </c:ser>
        <c:overlap val="100"/>
        <c:axId val="1110947805"/>
        <c:axId val="414156029"/>
      </c:barChart>
      <c:catAx>
        <c:axId val="1110947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156029"/>
      </c:catAx>
      <c:valAx>
        <c:axId val="414156029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94780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Winter</a:t>
            </a:r>
          </a:p>
        </c:rich>
      </c:tx>
      <c:layout>
        <c:manualLayout>
          <c:xMode val="edge"/>
          <c:yMode val="edge"/>
          <c:x val="0.025135623869801085"/>
          <c:y val="0.05628930817610062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Seasonal!$A$6</c:f>
            </c:strRef>
          </c:tx>
          <c:spPr>
            <a:solidFill>
              <a:schemeClr val="accent6">
                <a:alpha val="5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Seasonal!$B$3:$G$3</c:f>
            </c:strRef>
          </c:cat>
          <c:val>
            <c:numRef>
              <c:f>Seasonal!$B$6:$G$6</c:f>
              <c:numCache/>
            </c:numRef>
          </c:val>
        </c:ser>
        <c:ser>
          <c:idx val="1"/>
          <c:order val="1"/>
          <c:tx>
            <c:strRef>
              <c:f>Seasonal!$A$7</c:f>
            </c:strRef>
          </c:tx>
          <c:spPr>
            <a:solidFill>
              <a:schemeClr val="accent1">
                <a:alpha val="5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Seasonal!$B$3:$G$3</c:f>
            </c:strRef>
          </c:cat>
          <c:val>
            <c:numRef>
              <c:f>Seasonal!$B$7:$G$7</c:f>
              <c:numCache/>
            </c:numRef>
          </c:val>
        </c:ser>
        <c:ser>
          <c:idx val="2"/>
          <c:order val="2"/>
          <c:tx>
            <c:strRef>
              <c:f>Seasonal!$A$8</c:f>
            </c:strRef>
          </c:tx>
          <c:spPr>
            <a:solidFill>
              <a:srgbClr val="FF6F31">
                <a:alpha val="5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Seasonal!$B$3:$G$3</c:f>
            </c:strRef>
          </c:cat>
          <c:val>
            <c:numRef>
              <c:f>Seasonal!$B$8:$G$8</c:f>
              <c:numCache/>
            </c:numRef>
          </c:val>
        </c:ser>
        <c:ser>
          <c:idx val="3"/>
          <c:order val="3"/>
          <c:tx>
            <c:strRef>
              <c:f>Seasonal!$A$9</c:f>
            </c:strRef>
          </c:tx>
          <c:spPr>
            <a:solidFill>
              <a:schemeClr val="accent5">
                <a:alpha val="5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Seasonal!$B$3:$G$3</c:f>
            </c:strRef>
          </c:cat>
          <c:val>
            <c:numRef>
              <c:f>Seasonal!$B$9:$G$9</c:f>
              <c:numCache/>
            </c:numRef>
          </c:val>
        </c:ser>
        <c:ser>
          <c:idx val="4"/>
          <c:order val="4"/>
          <c:tx>
            <c:strRef>
              <c:f>Seasonal!$A$10</c:f>
            </c:strRef>
          </c:tx>
          <c:spPr>
            <a:solidFill>
              <a:schemeClr val="accent2">
                <a:alpha val="50000"/>
              </a:schemeClr>
            </a:solidFill>
            <a:ln cmpd="sng">
              <a:solidFill>
                <a:schemeClr val="accent2"/>
              </a:solidFill>
            </a:ln>
          </c:spPr>
          <c:cat>
            <c:strRef>
              <c:f>Seasonal!$B$3:$G$3</c:f>
            </c:strRef>
          </c:cat>
          <c:val>
            <c:numRef>
              <c:f>Seasonal!$B$10:$G$10</c:f>
              <c:numCache/>
            </c:numRef>
          </c:val>
        </c:ser>
        <c:axId val="991472061"/>
        <c:axId val="209600983"/>
      </c:areaChart>
      <c:catAx>
        <c:axId val="99147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00983"/>
      </c:catAx>
      <c:valAx>
        <c:axId val="209600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720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Seasonal!$A$60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Seasonal!$B$60:$E$60</c:f>
              <c:numCache/>
            </c:numRef>
          </c:val>
        </c:ser>
        <c:ser>
          <c:idx val="1"/>
          <c:order val="1"/>
          <c:tx>
            <c:strRef>
              <c:f>Seasonal!$A$61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Seasonal!$B$61:$E$61</c:f>
              <c:numCache/>
            </c:numRef>
          </c:val>
        </c:ser>
        <c:ser>
          <c:idx val="2"/>
          <c:order val="2"/>
          <c:tx>
            <c:strRef>
              <c:f>Seasonal!$A$62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Seasonal!$B$62:$E$62</c:f>
              <c:numCache/>
            </c:numRef>
          </c:val>
        </c:ser>
        <c:ser>
          <c:idx val="3"/>
          <c:order val="3"/>
          <c:tx>
            <c:strRef>
              <c:f>Seasonal!$A$63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Seasonal!$B$63:$E$63</c:f>
              <c:numCache/>
            </c:numRef>
          </c:val>
        </c:ser>
        <c:ser>
          <c:idx val="4"/>
          <c:order val="4"/>
          <c:tx>
            <c:strRef>
              <c:f>Seasonal!$A$64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Seasonal!$B$64:$E$64</c:f>
              <c:numCache/>
            </c:numRef>
          </c:val>
        </c:ser>
        <c:ser>
          <c:idx val="5"/>
          <c:order val="5"/>
          <c:tx>
            <c:strRef>
              <c:f>Seasonal!$A$65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Seasonal!$B$65:$E$65</c:f>
              <c:numCache/>
            </c:numRef>
          </c:val>
        </c:ser>
        <c:ser>
          <c:idx val="6"/>
          <c:order val="6"/>
          <c:tx>
            <c:strRef>
              <c:f>Seasonal!$A$66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Seasonal!$B$66:$E$66</c:f>
              <c:numCache/>
            </c:numRef>
          </c:val>
        </c:ser>
        <c:ser>
          <c:idx val="7"/>
          <c:order val="7"/>
          <c:tx>
            <c:strRef>
              <c:f>Seasonal!$A$67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Seasonal!$B$67:$E$67</c:f>
              <c:numCache/>
            </c:numRef>
          </c:val>
        </c:ser>
        <c:overlap val="100"/>
        <c:axId val="741435610"/>
        <c:axId val="1657845399"/>
      </c:barChart>
      <c:catAx>
        <c:axId val="741435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Scope 2050+ [GWh]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45399"/>
      </c:catAx>
      <c:valAx>
        <c:axId val="165784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356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Energy Consumption and Electricity Consumption [TWh]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Seasonal!$A$86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</c:strRef>
          </c:cat>
          <c:val>
            <c:numRef>
              <c:f>Seasonal!$B$86:$M$86</c:f>
              <c:numCache/>
            </c:numRef>
          </c:val>
        </c:ser>
        <c:ser>
          <c:idx val="1"/>
          <c:order val="1"/>
          <c:tx>
            <c:strRef>
              <c:f>Seasonal!$A$137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</c:strRef>
          </c:cat>
          <c:val>
            <c:numRef>
              <c:f>Seasonal!$B$137:$M$137</c:f>
              <c:numCache/>
            </c:numRef>
          </c:val>
        </c:ser>
        <c:ser>
          <c:idx val="2"/>
          <c:order val="2"/>
          <c:tx>
            <c:strRef>
              <c:f>Seasonal!$A$83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</c:strRef>
          </c:cat>
          <c:val>
            <c:numRef>
              <c:f>Seasonal!$B$83:$M$83</c:f>
              <c:numCache/>
            </c:numRef>
          </c:val>
        </c:ser>
        <c:axId val="1893454731"/>
        <c:axId val="277409685"/>
      </c:areaChart>
      <c:catAx>
        <c:axId val="1893454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409685"/>
      </c:catAx>
      <c:valAx>
        <c:axId val="277409685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4547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[TWh]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Seasonal!$A$80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Seasonal!$B$79:$M$79</c:f>
            </c:strRef>
          </c:cat>
          <c:val>
            <c:numRef>
              <c:f>Seasonal!$B$80:$M$80</c:f>
              <c:numCache/>
            </c:numRef>
          </c:val>
        </c:ser>
        <c:ser>
          <c:idx val="1"/>
          <c:order val="1"/>
          <c:tx>
            <c:strRef>
              <c:f>Seasonal!$A$81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Seasonal!$B$79:$M$79</c:f>
            </c:strRef>
          </c:cat>
          <c:val>
            <c:numRef>
              <c:f>Seasonal!$B$81:$M$81</c:f>
              <c:numCache/>
            </c:numRef>
          </c:val>
        </c:ser>
        <c:ser>
          <c:idx val="2"/>
          <c:order val="2"/>
          <c:tx>
            <c:strRef>
              <c:f>Seasonal!$A$82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Seasonal!$B$79:$M$79</c:f>
            </c:strRef>
          </c:cat>
          <c:val>
            <c:numRef>
              <c:f>Seasonal!$B$82:$M$82</c:f>
              <c:numCache/>
            </c:numRef>
          </c:val>
        </c:ser>
        <c:ser>
          <c:idx val="3"/>
          <c:order val="3"/>
          <c:tx>
            <c:strRef>
              <c:f>Seasonal!$A$83</c:f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Seasonal!$B$79:$M$79</c:f>
            </c:strRef>
          </c:cat>
          <c:val>
            <c:numRef>
              <c:f>Seasonal!$B$83:$M$83</c:f>
              <c:numCache/>
            </c:numRef>
          </c:val>
        </c:ser>
        <c:ser>
          <c:idx val="4"/>
          <c:order val="4"/>
          <c:tx>
            <c:strRef>
              <c:f>Seasonal!$A$84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Seasonal!$B$79:$M$79</c:f>
            </c:strRef>
          </c:cat>
          <c:val>
            <c:numRef>
              <c:f>Seasonal!$B$84:$M$84</c:f>
              <c:numCache/>
            </c:numRef>
          </c:val>
        </c:ser>
        <c:ser>
          <c:idx val="5"/>
          <c:order val="5"/>
          <c:tx>
            <c:strRef>
              <c:f>Seasonal!$A$85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Seasonal!$B$79:$M$79</c:f>
            </c:strRef>
          </c:cat>
          <c:val>
            <c:numRef>
              <c:f>Seasonal!$B$85:$M$85</c:f>
              <c:numCache/>
            </c:numRef>
          </c:val>
        </c:ser>
        <c:axId val="719783825"/>
        <c:axId val="265943830"/>
      </c:areaChart>
      <c:catAx>
        <c:axId val="71978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43830"/>
      </c:catAx>
      <c:valAx>
        <c:axId val="26594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838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Seasonal!$A$129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Seasonal!$B$128:$M$128</c:f>
            </c:strRef>
          </c:cat>
          <c:val>
            <c:numRef>
              <c:f>Seasonal!$B$129:$M$129</c:f>
              <c:numCache/>
            </c:numRef>
          </c:val>
        </c:ser>
        <c:ser>
          <c:idx val="1"/>
          <c:order val="1"/>
          <c:tx>
            <c:strRef>
              <c:f>Seasonal!$A$130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Seasonal!$B$128:$M$128</c:f>
            </c:strRef>
          </c:cat>
          <c:val>
            <c:numRef>
              <c:f>Seasonal!$B$130:$M$130</c:f>
              <c:numCache/>
            </c:numRef>
          </c:val>
        </c:ser>
        <c:ser>
          <c:idx val="2"/>
          <c:order val="2"/>
          <c:tx>
            <c:strRef>
              <c:f>Seasonal!$A$131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</c:strRef>
          </c:cat>
          <c:val>
            <c:numRef>
              <c:f>Seasonal!$B$131:$M$131</c:f>
              <c:numCache/>
            </c:numRef>
          </c:val>
        </c:ser>
        <c:ser>
          <c:idx val="3"/>
          <c:order val="3"/>
          <c:tx>
            <c:strRef>
              <c:f>Seasonal!$A$132</c:f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Seasonal!$B$128:$M$128</c:f>
            </c:strRef>
          </c:cat>
          <c:val>
            <c:numRef>
              <c:f>Seasonal!$B$132:$M$132</c:f>
              <c:numCache/>
            </c:numRef>
          </c:val>
        </c:ser>
        <c:ser>
          <c:idx val="4"/>
          <c:order val="4"/>
          <c:tx>
            <c:strRef>
              <c:f>Seasonal!$A$133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</c:strRef>
          </c:cat>
          <c:val>
            <c:numRef>
              <c:f>Seasonal!$B$133:$M$133</c:f>
              <c:numCache/>
            </c:numRef>
          </c:val>
        </c:ser>
        <c:ser>
          <c:idx val="5"/>
          <c:order val="5"/>
          <c:tx>
            <c:strRef>
              <c:f>Seasonal!$A$134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</c:strRef>
          </c:cat>
          <c:val>
            <c:numRef>
              <c:f>Seasonal!$B$134:$M$134</c:f>
              <c:numCache/>
            </c:numRef>
          </c:val>
        </c:ser>
        <c:ser>
          <c:idx val="6"/>
          <c:order val="6"/>
          <c:tx>
            <c:strRef>
              <c:f>Seasonal!$A$135</c:f>
            </c:strRef>
          </c:tx>
          <c:spPr>
            <a:solidFill>
              <a:srgbClr val="8AB2C6">
                <a:alpha val="30000"/>
              </a:srgbClr>
            </a:solidFill>
            <a:ln cmpd="sng">
              <a:solidFill>
                <a:srgbClr val="8AB2C6"/>
              </a:solidFill>
            </a:ln>
          </c:spPr>
          <c:cat>
            <c:strRef>
              <c:f>Seasonal!$B$128:$M$128</c:f>
            </c:strRef>
          </c:cat>
          <c:val>
            <c:numRef>
              <c:f>Seasonal!$B$135:$M$135</c:f>
              <c:numCache/>
            </c:numRef>
          </c:val>
        </c:ser>
        <c:ser>
          <c:idx val="7"/>
          <c:order val="7"/>
          <c:tx>
            <c:strRef>
              <c:f>Seasonal!$A$136</c:f>
            </c:strRef>
          </c:tx>
          <c:spPr>
            <a:solidFill>
              <a:srgbClr val="4D7D90">
                <a:alpha val="30000"/>
              </a:srgbClr>
            </a:solidFill>
            <a:ln cmpd="sng">
              <a:solidFill>
                <a:srgbClr val="4D7D90"/>
              </a:solidFill>
            </a:ln>
          </c:spPr>
          <c:cat>
            <c:strRef>
              <c:f>Seasonal!$B$128:$M$128</c:f>
            </c:strRef>
          </c:cat>
          <c:val>
            <c:numRef>
              <c:f>Seasonal!$B$136:$M$136</c:f>
              <c:numCache/>
            </c:numRef>
          </c:val>
        </c:ser>
        <c:axId val="259896170"/>
        <c:axId val="1359222997"/>
      </c:areaChart>
      <c:catAx>
        <c:axId val="25989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22997"/>
      </c:catAx>
      <c:valAx>
        <c:axId val="1359222997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8961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Summer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Hydro</c:v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Seasonal!$B$20:$G$20</c:f>
            </c:strRef>
          </c:cat>
          <c:val>
            <c:numRef>
              <c:f>Seasonal!$B$22:$G$22</c:f>
              <c:numCache/>
            </c:numRef>
          </c:val>
        </c:ser>
        <c:ser>
          <c:idx val="1"/>
          <c:order val="1"/>
          <c:tx>
            <c:strRef>
              <c:f>Seasonal!$A$23</c:f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Seasonal!$B$20:$G$20</c:f>
            </c:strRef>
          </c:cat>
          <c:val>
            <c:numRef>
              <c:f>Seasonal!$B$23:$G$23</c:f>
              <c:numCache/>
            </c:numRef>
          </c:val>
        </c:ser>
        <c:ser>
          <c:idx val="2"/>
          <c:order val="2"/>
          <c:tx>
            <c:strRef>
              <c:f>Seasonal!$A$24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Seasonal!$B$20:$G$20</c:f>
            </c:strRef>
          </c:cat>
          <c:val>
            <c:numRef>
              <c:f>Seasonal!$B$24:$G$24</c:f>
              <c:numCache/>
            </c:numRef>
          </c:val>
        </c:ser>
        <c:ser>
          <c:idx val="3"/>
          <c:order val="3"/>
          <c:tx>
            <c:strRef>
              <c:f>Seasonal!$A$25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Seasonal!$B$20:$G$20</c:f>
            </c:strRef>
          </c:cat>
          <c:val>
            <c:numRef>
              <c:f>Seasonal!$B$25:$G$25</c:f>
              <c:numCache/>
            </c:numRef>
          </c:val>
        </c:ser>
        <c:axId val="656621474"/>
        <c:axId val="960001263"/>
      </c:areaChart>
      <c:catAx>
        <c:axId val="656621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001263"/>
      </c:catAx>
      <c:valAx>
        <c:axId val="96000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6214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Comparaison Industry electricity demand with and without district heating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Seasonal!$A$116</c:f>
            </c:strRef>
          </c:tx>
          <c:val>
            <c:numRef>
              <c:f>Seasonal!$B$116:$M$116</c:f>
              <c:numCache/>
            </c:numRef>
          </c:val>
        </c:ser>
        <c:axId val="196569524"/>
        <c:axId val="1104384123"/>
      </c:barChart>
      <c:catAx>
        <c:axId val="19656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Industry electricty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384123"/>
      </c:catAx>
      <c:valAx>
        <c:axId val="1104384123"/>
        <c:scaling>
          <c:orientation val="minMax"/>
          <c:max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69524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Efficiency, Sufficiency (Zero Basis)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Line!$A$23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1"/>
          <c:order val="1"/>
          <c:tx>
            <c:strRef>
              <c:f>Line!$A$80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Line!$B$80:$I$80</c:f>
              <c:numCache/>
            </c:numRef>
          </c:val>
        </c:ser>
        <c:ser>
          <c:idx val="2"/>
          <c:order val="2"/>
          <c:tx>
            <c:strRef>
              <c:f>Line!$A$23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3"/>
          <c:order val="3"/>
          <c:tx>
            <c:strRef>
              <c:f>Line!$A$79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Line!$B$79:$I$79</c:f>
              <c:numCache/>
            </c:numRef>
          </c:val>
        </c:ser>
        <c:overlap val="100"/>
        <c:axId val="1486051674"/>
        <c:axId val="1190920678"/>
      </c:barChart>
      <c:catAx>
        <c:axId val="148605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920678"/>
      </c:catAx>
      <c:valAx>
        <c:axId val="1190920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051674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Sufficiency needs of electricity for 2050 (Energy scope 2050+)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Seasonal!$A$156</c:f>
            </c:strRef>
          </c:tx>
          <c:spPr>
            <a:solidFill>
              <a:srgbClr val="F46524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Seasonal!$B$153:$M$153</c:f>
            </c:strRef>
          </c:cat>
          <c:val>
            <c:numRef>
              <c:f>Seasonal!$B$156:$M$156</c:f>
              <c:numCache/>
            </c:numRef>
          </c:val>
        </c:ser>
        <c:axId val="163088437"/>
        <c:axId val="1548585012"/>
      </c:barChart>
      <c:catAx>
        <c:axId val="163088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85012"/>
      </c:catAx>
      <c:valAx>
        <c:axId val="154858501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88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Heating composition by source of energy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'Heating demand'!$A$16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demand'!$B$16:$G$16</c:f>
              <c:numCache/>
            </c:numRef>
          </c:val>
        </c:ser>
        <c:ser>
          <c:idx val="1"/>
          <c:order val="1"/>
          <c:tx>
            <c:strRef>
              <c:f>'Heating demand'!$A$17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demand'!$B$17:$G$17</c:f>
              <c:numCache/>
            </c:numRef>
          </c:val>
        </c:ser>
        <c:ser>
          <c:idx val="2"/>
          <c:order val="2"/>
          <c:tx>
            <c:strRef>
              <c:f>'Heating demand'!$A$18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5"/>
          </c:dPt>
          <c:dLbls>
            <c:dLbl>
              <c:idx val="4"/>
              <c:layout>
                <c:manualLayout>
                  <c:xMode val="edge"/>
                  <c:yMode val="edge"/>
                  <c:x val="0.7107427102892377"/>
                  <c:y val="0.731902044342498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demand'!$B$18:$G$18</c:f>
              <c:numCache/>
            </c:numRef>
          </c:val>
        </c:ser>
        <c:ser>
          <c:idx val="3"/>
          <c:order val="3"/>
          <c:tx>
            <c:strRef>
              <c:f>'Heating demand'!$A$19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dLbl>
              <c:idx val="2"/>
              <c:layout>
                <c:manualLayout>
                  <c:xMode val="edge"/>
                  <c:yMode val="edge"/>
                  <c:x val="0.3946677069306224"/>
                  <c:y val="0.262899934167215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demand'!$B$19:$G$19</c:f>
              <c:numCache/>
            </c:numRef>
          </c:val>
        </c:ser>
        <c:ser>
          <c:idx val="4"/>
          <c:order val="4"/>
          <c:tx>
            <c:strRef>
              <c:f>'Heating demand'!$A$20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demand'!$B$20:$G$20</c:f>
              <c:numCache/>
            </c:numRef>
          </c:val>
        </c:ser>
        <c:ser>
          <c:idx val="5"/>
          <c:order val="5"/>
          <c:tx>
            <c:strRef>
              <c:f>'Heating demand'!$A$21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demand'!$B$21:$G$21</c:f>
              <c:numCache/>
            </c:numRef>
          </c:val>
        </c:ser>
        <c:ser>
          <c:idx val="6"/>
          <c:order val="6"/>
          <c:tx>
            <c:strRef>
              <c:f>'Heating demand'!$A$22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'Heating demand'!$B$15:$G$15</c:f>
            </c:strRef>
          </c:cat>
          <c:val>
            <c:numRef>
              <c:f>'Heating demand'!$B$22:$G$22</c:f>
              <c:numCache/>
            </c:numRef>
          </c:val>
        </c:ser>
        <c:overlap val="100"/>
        <c:axId val="383165036"/>
        <c:axId val="1749990340"/>
      </c:barChart>
      <c:catAx>
        <c:axId val="383165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990340"/>
      </c:catAx>
      <c:valAx>
        <c:axId val="174999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1650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Service vs Electric demand per sector per month in PJ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Services!$A$55</c:f>
            </c:strRef>
          </c:tx>
          <c:spPr>
            <a:solidFill>
              <a:srgbClr val="F7CB4D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Services!$B$55:$M$55</c:f>
              <c:numCache/>
            </c:numRef>
          </c:val>
        </c:ser>
        <c:ser>
          <c:idx val="1"/>
          <c:order val="1"/>
          <c:tx>
            <c:strRef>
              <c:f>Services!$A$56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Services!$B$56:$M$56</c:f>
              <c:numCache/>
            </c:numRef>
          </c:val>
        </c:ser>
        <c:ser>
          <c:idx val="2"/>
          <c:order val="2"/>
          <c:tx>
            <c:strRef>
              <c:f>Services!$A$57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Services!$B$57:$M$57</c:f>
              <c:numCache/>
            </c:numRef>
          </c:val>
        </c:ser>
        <c:ser>
          <c:idx val="3"/>
          <c:order val="3"/>
          <c:tx>
            <c:strRef>
              <c:f>Services!$A$58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Services!$B$58:$M$58</c:f>
              <c:numCache/>
            </c:numRef>
          </c:val>
        </c:ser>
        <c:ser>
          <c:idx val="4"/>
          <c:order val="4"/>
          <c:tx>
            <c:strRef>
              <c:f>Services!$A$59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Services!$B$59:$M$59</c:f>
              <c:numCache/>
            </c:numRef>
          </c:val>
        </c:ser>
        <c:axId val="1537377216"/>
        <c:axId val="1012117483"/>
      </c:barChart>
      <c:catAx>
        <c:axId val="15373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 demand per sector per month in 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117483"/>
      </c:catAx>
      <c:valAx>
        <c:axId val="1012117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377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Electricy consumption by sector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Sectors!$B$30:$G$30</c:f>
              <c:numCache/>
            </c:numRef>
          </c:val>
        </c:ser>
        <c:ser>
          <c:idx val="1"/>
          <c:order val="1"/>
          <c:tx>
            <c:strRef>
              <c:f>Sectors!$A$31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Sectors!$B$31:$G$31</c:f>
              <c:numCache/>
            </c:numRef>
          </c:val>
        </c:ser>
        <c:ser>
          <c:idx val="2"/>
          <c:order val="2"/>
          <c:tx>
            <c:strRef>
              <c:f>Sectors!$A$32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Sectors!$B$32:$G$32</c:f>
              <c:numCache/>
            </c:numRef>
          </c:val>
        </c:ser>
        <c:ser>
          <c:idx val="3"/>
          <c:order val="3"/>
          <c:tx>
            <c:strRef>
              <c:f>Sectors!$A$33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Sectors!$B$33:$G$33</c:f>
              <c:numCache/>
            </c:numRef>
          </c:val>
        </c:ser>
        <c:ser>
          <c:idx val="4"/>
          <c:order val="4"/>
          <c:tx>
            <c:strRef>
              <c:f>Sectors!$A$34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Sectors!$B$28:$G$28</c:f>
            </c:strRef>
          </c:cat>
          <c:val>
            <c:numRef>
              <c:f>Sectors!$B$34:$G$34</c:f>
              <c:numCache/>
            </c:numRef>
          </c:val>
        </c:ser>
        <c:ser>
          <c:idx val="5"/>
          <c:order val="5"/>
          <c:tx>
            <c:strRef>
              <c:f>Sectors!$A$35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Sectors!$B$35:$G$35</c:f>
              <c:numCache/>
            </c:numRef>
          </c:val>
        </c:ser>
        <c:overlap val="100"/>
        <c:axId val="659120176"/>
        <c:axId val="590032745"/>
      </c:barChart>
      <c:catAx>
        <c:axId val="65912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32745"/>
      </c:catAx>
      <c:valAx>
        <c:axId val="59003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1201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 demand per sector per month in 2050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Sectors!$A$77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Sectors!$B$77:$M$77</c:f>
              <c:numCache/>
            </c:numRef>
          </c:val>
        </c:ser>
        <c:ser>
          <c:idx val="1"/>
          <c:order val="1"/>
          <c:tx>
            <c:strRef>
              <c:f>Sectors!$A$80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Sectors!$B$80:$M$80</c:f>
              <c:numCache/>
            </c:numRef>
          </c:val>
        </c:ser>
        <c:ser>
          <c:idx val="2"/>
          <c:order val="2"/>
          <c:tx>
            <c:strRef>
              <c:f>Sectors!$A$79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Sectors!$B$79:$M$79</c:f>
              <c:numCache/>
            </c:numRef>
          </c:val>
        </c:ser>
        <c:ser>
          <c:idx val="3"/>
          <c:order val="3"/>
          <c:tx>
            <c:strRef>
              <c:f>Sectors!$A$78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Sectors!$B$78:$M$78</c:f>
              <c:numCache/>
            </c:numRef>
          </c:val>
        </c:ser>
        <c:ser>
          <c:idx val="5"/>
          <c:order val="5"/>
          <c:tx>
            <c:strRef>
              <c:f>Sectors!$A$81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Sectors!$B$76:$M$76</c:f>
            </c:strRef>
          </c:cat>
          <c:val>
            <c:numRef>
              <c:f>Sectors!$B$81:$M$81</c:f>
              <c:numCache/>
            </c:numRef>
          </c:val>
        </c:ser>
        <c:overlap val="100"/>
        <c:axId val="53172361"/>
        <c:axId val="211710985"/>
      </c:barChart>
      <c:catAx>
        <c:axId val="53172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0985"/>
      </c:catAx>
      <c:valAx>
        <c:axId val="21171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2361"/>
      </c:valAx>
      <c:barChart>
        <c:barDir val="col"/>
        <c:grouping val="stacked"/>
        <c:ser>
          <c:idx val="4"/>
          <c:order val="4"/>
          <c:tx>
            <c:strRef>
              <c:f>Sectors!$A$84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Sectors!$B$76:$M$76</c:f>
            </c:strRef>
          </c:cat>
          <c:val>
            <c:numRef>
              <c:f>Sectors!$B$84:$M$84</c:f>
              <c:numCache/>
            </c:numRef>
          </c:val>
        </c:ser>
        <c:overlap val="100"/>
        <c:axId val="1123036574"/>
        <c:axId val="774186503"/>
      </c:barChart>
      <c:catAx>
        <c:axId val="11230365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186503"/>
      </c:catAx>
      <c:valAx>
        <c:axId val="77418650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03657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electricity demand after sufficiency measures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Sectors!$A$139</c:f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Sectors!$B$136:$M$136</c:f>
            </c:strRef>
          </c:cat>
          <c:val>
            <c:numRef>
              <c:f>Sectors!$B$139:$M$139</c:f>
              <c:numCache/>
            </c:numRef>
          </c:val>
        </c:ser>
        <c:ser>
          <c:idx val="2"/>
          <c:order val="2"/>
          <c:tx>
            <c:strRef>
              <c:f>Sectors!$A$138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Sectors!$B$136:$M$136</c:f>
            </c:strRef>
          </c:cat>
          <c:val>
            <c:numRef>
              <c:f>Sectors!$B$138:$M$138</c:f>
              <c:numCache/>
            </c:numRef>
          </c:val>
        </c:ser>
        <c:ser>
          <c:idx val="3"/>
          <c:order val="3"/>
          <c:tx>
            <c:strRef>
              <c:f>Sectors!$A$140</c:f>
            </c:strRef>
          </c:tx>
          <c:spPr>
            <a:solidFill>
              <a:srgbClr val="5B95F9">
                <a:alpha val="30000"/>
              </a:srgbClr>
            </a:solidFill>
            <a:ln cmpd="sng">
              <a:solidFill>
                <a:srgbClr val="5B95F9">
                  <a:alpha val="100000"/>
                </a:srgbClr>
              </a:solidFill>
            </a:ln>
          </c:spPr>
          <c:cat>
            <c:strRef>
              <c:f>Sectors!$B$136:$M$136</c:f>
            </c:strRef>
          </c:cat>
          <c:val>
            <c:numRef>
              <c:f>Sectors!$B$140:$M$140</c:f>
              <c:numCache/>
            </c:numRef>
          </c:val>
        </c:ser>
        <c:ser>
          <c:idx val="4"/>
          <c:order val="4"/>
          <c:tx>
            <c:strRef>
              <c:f>Sectors!$A$137</c:f>
            </c:strRef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Sectors!$B$136:$M$136</c:f>
            </c:strRef>
          </c:cat>
          <c:val>
            <c:numRef>
              <c:f>Sectors!$B$137:$M$137</c:f>
              <c:numCache/>
            </c:numRef>
          </c:val>
        </c:ser>
        <c:ser>
          <c:idx val="5"/>
          <c:order val="5"/>
          <c:tx>
            <c:strRef>
              <c:f>Sectors!$A$141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Sectors!$B$136:$M$136</c:f>
            </c:strRef>
          </c:cat>
          <c:val>
            <c:numRef>
              <c:f>Sectors!$B$141:$M$141</c:f>
              <c:numCache/>
            </c:numRef>
          </c:val>
        </c:ser>
        <c:axId val="475964870"/>
        <c:axId val="1409082878"/>
      </c:areaChart>
      <c:lineChart>
        <c:varyColors val="0"/>
        <c:ser>
          <c:idx val="0"/>
          <c:order val="0"/>
          <c:tx>
            <c:v>Total Generation</c:v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Sectors!$B$136:$M$136</c:f>
            </c:strRef>
          </c:cat>
          <c:val>
            <c:numRef>
              <c:f>Sectors!$B$143:$M$143</c:f>
              <c:numCache/>
            </c:numRef>
          </c:val>
          <c:smooth val="0"/>
        </c:ser>
        <c:axId val="475964870"/>
        <c:axId val="1409082878"/>
      </c:lineChart>
      <c:catAx>
        <c:axId val="47596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082878"/>
      </c:catAx>
      <c:valAx>
        <c:axId val="1409082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64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Sectors!$A$179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Sectors!$B$178:$M$178</c:f>
            </c:strRef>
          </c:cat>
          <c:val>
            <c:numRef>
              <c:f>Sectors!$B$179:$M$179</c:f>
              <c:numCache/>
            </c:numRef>
          </c:val>
        </c:ser>
        <c:ser>
          <c:idx val="1"/>
          <c:order val="1"/>
          <c:tx>
            <c:strRef>
              <c:f>Sectors!$A$180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Sectors!$B$178:$M$178</c:f>
            </c:strRef>
          </c:cat>
          <c:val>
            <c:numRef>
              <c:f>Sectors!$B$180:$M$180</c:f>
              <c:numCache/>
            </c:numRef>
          </c:val>
        </c:ser>
        <c:ser>
          <c:idx val="2"/>
          <c:order val="2"/>
          <c:tx>
            <c:strRef>
              <c:f>Sectors!$A$181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Sectors!$B$178:$M$178</c:f>
            </c:strRef>
          </c:cat>
          <c:val>
            <c:numRef>
              <c:f>Sectors!$B$181:$M$181</c:f>
              <c:numCache/>
            </c:numRef>
          </c:val>
        </c:ser>
        <c:ser>
          <c:idx val="3"/>
          <c:order val="3"/>
          <c:tx>
            <c:strRef>
              <c:f>Sectors!$A$182</c:f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Sectors!$B$178:$M$178</c:f>
            </c:strRef>
          </c:cat>
          <c:val>
            <c:numRef>
              <c:f>Sectors!$B$182:$M$182</c:f>
              <c:numCache/>
            </c:numRef>
          </c:val>
        </c:ser>
        <c:ser>
          <c:idx val="4"/>
          <c:order val="4"/>
          <c:tx>
            <c:strRef>
              <c:f>Sectors!$A$183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Sectors!$B$178:$M$178</c:f>
            </c:strRef>
          </c:cat>
          <c:val>
            <c:numRef>
              <c:f>Sectors!$B$183:$M$183</c:f>
              <c:numCache/>
            </c:numRef>
          </c:val>
        </c:ser>
        <c:axId val="195592192"/>
        <c:axId val="949354720"/>
      </c:areaChart>
      <c:lineChart>
        <c:varyColors val="0"/>
        <c:ser>
          <c:idx val="5"/>
          <c:order val="5"/>
          <c:tx>
            <c:strRef>
              <c:f>Sectors!$A$185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Sectors!$B$178:$M$178</c:f>
            </c:strRef>
          </c:cat>
          <c:val>
            <c:numRef>
              <c:f>Sectors!$B$185:$M$185</c:f>
              <c:numCache/>
            </c:numRef>
          </c:val>
          <c:smooth val="0"/>
        </c:ser>
        <c:axId val="195592192"/>
        <c:axId val="949354720"/>
      </c:lineChart>
      <c:catAx>
        <c:axId val="1955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354720"/>
      </c:catAx>
      <c:valAx>
        <c:axId val="94935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92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Demand y sector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Sectors!$B$16:$G$16</c:f>
              <c:numCache/>
            </c:numRef>
          </c:val>
        </c:ser>
        <c:ser>
          <c:idx val="1"/>
          <c:order val="1"/>
          <c:tx>
            <c:strRef>
              <c:f>Sectors!$A$17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Sectors!$B$17:$G$17</c:f>
              <c:numCache/>
            </c:numRef>
          </c:val>
        </c:ser>
        <c:ser>
          <c:idx val="2"/>
          <c:order val="2"/>
          <c:tx>
            <c:strRef>
              <c:f>Sectors!$A$18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Sectors!$B$18:$G$18</c:f>
              <c:numCache/>
            </c:numRef>
          </c:val>
        </c:ser>
        <c:ser>
          <c:idx val="3"/>
          <c:order val="3"/>
          <c:tx>
            <c:strRef>
              <c:f>Sectors!$A$20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Sectors!$B$20:$G$20</c:f>
              <c:numCache/>
            </c:numRef>
          </c:val>
        </c:ser>
        <c:ser>
          <c:idx val="4"/>
          <c:order val="4"/>
          <c:tx>
            <c:strRef>
              <c:f>Sectors!$A$19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Sectors!$B$19:$G$19</c:f>
              <c:numCache/>
            </c:numRef>
          </c:val>
        </c:ser>
        <c:overlap val="100"/>
        <c:axId val="387245006"/>
        <c:axId val="2144532643"/>
      </c:barChart>
      <c:catAx>
        <c:axId val="38724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532643"/>
      </c:catAx>
      <c:valAx>
        <c:axId val="214453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245006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Efficiency, Sufficiency (Zero Basis)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Line!$A$23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1"/>
          <c:order val="1"/>
          <c:tx>
            <c:strRef>
              <c:f>Line!$A$80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Line!$B$80:$I$80</c:f>
              <c:numCache/>
            </c:numRef>
          </c:val>
        </c:ser>
        <c:ser>
          <c:idx val="2"/>
          <c:order val="2"/>
          <c:tx>
            <c:strRef>
              <c:f>Line!$A$23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3"/>
          <c:order val="3"/>
          <c:tx>
            <c:strRef>
              <c:f>Line!$A$79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Line!$B$79:$I$79</c:f>
              <c:numCache/>
            </c:numRef>
          </c:val>
        </c:ser>
        <c:overlap val="100"/>
        <c:axId val="475692674"/>
        <c:axId val="751333587"/>
      </c:barChart>
      <c:catAx>
        <c:axId val="475692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33587"/>
      </c:catAx>
      <c:valAx>
        <c:axId val="751333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692674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El With Renewables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Line!$A$60</c:f>
            </c:strRef>
          </c:tx>
          <c:spPr>
            <a:solidFill>
              <a:schemeClr val="accent3">
                <a:alpha val="70000"/>
              </a:schemeClr>
            </a:solidFill>
            <a:ln cmpd="sng">
              <a:solidFill>
                <a:schemeClr val="accent3"/>
              </a:solidFill>
            </a:ln>
          </c:spPr>
          <c:cat>
            <c:strRef>
              <c:f>Line!$B$54:$I$54</c:f>
            </c:strRef>
          </c:cat>
          <c:val>
            <c:numRef>
              <c:f>Line!$B$60:$I$60</c:f>
              <c:numCache/>
            </c:numRef>
          </c:val>
        </c:ser>
        <c:ser>
          <c:idx val="1"/>
          <c:order val="1"/>
          <c:tx>
            <c:strRef>
              <c:f>Line!$A$61</c:f>
            </c:strRef>
          </c:tx>
          <c:spPr>
            <a:solidFill>
              <a:srgbClr val="FF00FF">
                <a:alpha val="70000"/>
              </a:srgbClr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Line!$B$61:$I$61</c:f>
              <c:numCache/>
            </c:numRef>
          </c:val>
        </c:ser>
        <c:ser>
          <c:idx val="2"/>
          <c:order val="2"/>
          <c:tx>
            <c:strRef>
              <c:f>Line!$A$57</c:f>
            </c:strRef>
          </c:tx>
          <c:spPr>
            <a:solidFill>
              <a:srgbClr val="B7E1CD">
                <a:alpha val="70000"/>
              </a:srgbClr>
            </a:solidFill>
            <a:ln cmpd="sng">
              <a:solidFill>
                <a:srgbClr val="B7E1CD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Line!$B$57:$I$57</c:f>
              <c:numCache/>
            </c:numRef>
          </c:val>
        </c:ser>
        <c:ser>
          <c:idx val="3"/>
          <c:order val="3"/>
          <c:tx>
            <c:strRef>
              <c:f>Line!$A$56</c:f>
            </c:strRef>
          </c:tx>
          <c:spPr>
            <a:solidFill>
              <a:srgbClr val="4DD0E1">
                <a:alpha val="70000"/>
              </a:srgbClr>
            </a:solidFill>
            <a:ln cmpd="sng">
              <a:solidFill>
                <a:srgbClr val="4DD0E1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Line!$B$56:$I$56</c:f>
              <c:numCache/>
            </c:numRef>
          </c:val>
        </c:ser>
        <c:ser>
          <c:idx val="4"/>
          <c:order val="4"/>
          <c:tx>
            <c:strRef>
              <c:f>Line!$A$58</c:f>
            </c:strRef>
          </c:tx>
          <c:spPr>
            <a:solidFill>
              <a:srgbClr val="0F45A8"/>
            </a:solidFill>
            <a:ln cmpd="sng">
              <a:solidFill>
                <a:srgbClr val="0F45A8"/>
              </a:solidFill>
            </a:ln>
          </c:spPr>
          <c:cat>
            <c:strRef>
              <c:f>Line!$B$54:$I$54</c:f>
            </c:strRef>
          </c:cat>
          <c:val>
            <c:numRef>
              <c:f>Line!$B$58:$I$58</c:f>
              <c:numCache/>
            </c:numRef>
          </c:val>
        </c:ser>
        <c:ser>
          <c:idx val="5"/>
          <c:order val="5"/>
          <c:tx>
            <c:strRef>
              <c:f>Line!$A$59</c:f>
            </c:strRef>
          </c:tx>
          <c:spPr>
            <a:solidFill>
              <a:srgbClr val="4CDC8B">
                <a:alpha val="7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Line!$B$54:$I$54</c:f>
            </c:strRef>
          </c:cat>
          <c:val>
            <c:numRef>
              <c:f>Line!$B$59:$I$59</c:f>
              <c:numCache/>
            </c:numRef>
          </c:val>
        </c:ser>
        <c:ser>
          <c:idx val="6"/>
          <c:order val="6"/>
          <c:tx>
            <c:strRef>
              <c:f>Line!$A$63</c:f>
            </c:strRef>
          </c:tx>
          <c:spPr>
            <a:solidFill>
              <a:schemeClr val="accent1">
                <a:alpha val="7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Line!$B$54:$I$54</c:f>
            </c:strRef>
          </c:cat>
          <c:val>
            <c:numRef>
              <c:f>Line!$B$63:$I$63</c:f>
              <c:numCache/>
            </c:numRef>
          </c:val>
        </c:ser>
        <c:ser>
          <c:idx val="7"/>
          <c:order val="7"/>
          <c:tx>
            <c:strRef>
              <c:f>Line!$A$55</c:f>
            </c:strRef>
          </c:tx>
          <c:spPr>
            <a:solidFill>
              <a:srgbClr val="F7CB4D">
                <a:alpha val="70000"/>
              </a:srgbClr>
            </a:solidFill>
            <a:ln cmpd="sng">
              <a:solidFill>
                <a:srgbClr val="F7CB4D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Line!$B$55:$I$55</c:f>
              <c:numCache/>
            </c:numRef>
          </c:val>
        </c:ser>
        <c:axId val="2020873390"/>
        <c:axId val="1323246637"/>
      </c:areaChart>
      <c:catAx>
        <c:axId val="202087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246637"/>
      </c:catAx>
      <c:valAx>
        <c:axId val="1323246637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73390"/>
        <c:majorUnit val="40.0"/>
        <c:minorUnit val="2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13</xdr:row>
      <xdr:rowOff>257175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38100</xdr:colOff>
      <xdr:row>14</xdr:row>
      <xdr:rowOff>180975</xdr:rowOff>
    </xdr:from>
    <xdr:ext cx="6096000" cy="36766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647700</xdr:colOff>
      <xdr:row>26</xdr:row>
      <xdr:rowOff>762000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85</xdr:row>
      <xdr:rowOff>171450</xdr:rowOff>
    </xdr:from>
    <xdr:ext cx="12792075" cy="5381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714375</xdr:colOff>
      <xdr:row>144</xdr:row>
      <xdr:rowOff>57150</xdr:rowOff>
    </xdr:from>
    <xdr:ext cx="7600950" cy="4695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190500</xdr:colOff>
      <xdr:row>186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47625</xdr:colOff>
      <xdr:row>85</xdr:row>
      <xdr:rowOff>171450</xdr:rowOff>
    </xdr:from>
    <xdr:ext cx="8591550" cy="621982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61</xdr:row>
      <xdr:rowOff>142875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132</xdr:row>
      <xdr:rowOff>180975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676275</xdr:colOff>
      <xdr:row>132</xdr:row>
      <xdr:rowOff>180975</xdr:rowOff>
    </xdr:from>
    <xdr:ext cx="6096000" cy="3676650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295275</xdr:colOff>
      <xdr:row>52</xdr:row>
      <xdr:rowOff>161925</xdr:rowOff>
    </xdr:from>
    <xdr:ext cx="6400800" cy="38385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381000</xdr:colOff>
      <xdr:row>34</xdr:row>
      <xdr:rowOff>28575</xdr:rowOff>
    </xdr:from>
    <xdr:ext cx="6229350" cy="3857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381000</xdr:colOff>
      <xdr:row>94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32</xdr:row>
      <xdr:rowOff>95250</xdr:rowOff>
    </xdr:from>
    <xdr:ext cx="6419850" cy="393382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0</xdr:row>
      <xdr:rowOff>133350</xdr:rowOff>
    </xdr:from>
    <xdr:ext cx="5267325" cy="30289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209550</xdr:colOff>
      <xdr:row>54</xdr:row>
      <xdr:rowOff>57150</xdr:rowOff>
    </xdr:from>
    <xdr:ext cx="6419850" cy="39814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47625</xdr:colOff>
      <xdr:row>44</xdr:row>
      <xdr:rowOff>47625</xdr:rowOff>
    </xdr:from>
    <xdr:ext cx="5715000" cy="353377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371475</xdr:colOff>
      <xdr:row>32</xdr:row>
      <xdr:rowOff>104775</xdr:rowOff>
    </xdr:from>
    <xdr:ext cx="6438900" cy="393382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371475</xdr:colOff>
      <xdr:row>53</xdr:row>
      <xdr:rowOff>114300</xdr:rowOff>
    </xdr:from>
    <xdr:ext cx="6438900" cy="39814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914400</xdr:colOff>
      <xdr:row>15</xdr:row>
      <xdr:rowOff>76200</xdr:rowOff>
    </xdr:from>
    <xdr:ext cx="5267325" cy="30289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533400</xdr:colOff>
      <xdr:row>119</xdr:row>
      <xdr:rowOff>38100</xdr:rowOff>
    </xdr:from>
    <xdr:ext cx="6600825" cy="3914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123825</xdr:colOff>
      <xdr:row>151</xdr:row>
      <xdr:rowOff>190500</xdr:rowOff>
    </xdr:from>
    <xdr:ext cx="7429500" cy="45910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22</xdr:row>
      <xdr:rowOff>133350</xdr:rowOff>
    </xdr:from>
    <xdr:ext cx="6515100" cy="40290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10" displayName="Table_1" name="Table_1" id="1">
  <tableColumns count="14">
    <tableColumn name="Electricity Generation by source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ctors-style" showColumnStripes="0" showFirstColumn="1" showLastColumn="1" showRowStripes="1"/>
</table>
</file>

<file path=xl/tables/table10.xml><?xml version="1.0" encoding="utf-8"?>
<table xmlns="http://schemas.openxmlformats.org/spreadsheetml/2006/main" ref="A124:G130" displayName="Table_10" name="Table_10" id="10">
  <tableColumns count="7">
    <tableColumn name="Sector" id="1"/>
    <tableColumn name="Sufficiency in January" id="2"/>
    <tableColumn name="Sufficiency in February" id="3"/>
    <tableColumn name="Sufficiency in March" id="4"/>
    <tableColumn name="Sufficiency in November" id="5"/>
    <tableColumn name="Sufficiency in December" id="6"/>
    <tableColumn name="Total" id="7"/>
  </tableColumns>
  <tableStyleInfo name="Sectors-style 10" showColumnStripes="0" showFirstColumn="1" showLastColumn="1" showRowStripes="1"/>
</table>
</file>

<file path=xl/tables/table11.xml><?xml version="1.0" encoding="utf-8"?>
<table xmlns="http://schemas.openxmlformats.org/spreadsheetml/2006/main" ref="A136:M144" displayName="Table_11" name="Table_11" id="11">
  <tableColumns count="13">
    <tableColumn name="Sectoral demand  in PJ 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ctors-style 11" showColumnStripes="0" showFirstColumn="1" showLastColumn="1" showRowStripes="1"/>
</table>
</file>

<file path=xl/tables/table12.xml><?xml version="1.0" encoding="utf-8"?>
<table xmlns="http://schemas.openxmlformats.org/spreadsheetml/2006/main" ref="N136:N144" displayName="Table_12" name="Table_12" id="12">
  <tableColumns count="1">
    <tableColumn name="Year 2050" id="1"/>
  </tableColumns>
  <tableStyleInfo name="Sectors-style 12" showColumnStripes="0" showFirstColumn="1" showLastColumn="1" showRowStripes="1"/>
</table>
</file>

<file path=xl/tables/table13.xml><?xml version="1.0" encoding="utf-8"?>
<table xmlns="http://schemas.openxmlformats.org/spreadsheetml/2006/main" ref="A170:N176" displayName="Table_13" name="Table_13" id="13">
  <tableColumns count="14">
    <tableColumn name="Sector" id="1"/>
    <tableColumn name="Sufficiency in January" id="2"/>
    <tableColumn name="Sufficiency in February" id="3"/>
    <tableColumn name="Sufficiency in March" id="4"/>
    <tableColumn name="Sufficiency in April" id="5"/>
    <tableColumn name="Sufficiency in May" id="6"/>
    <tableColumn name="Sufficiency in June" id="7"/>
    <tableColumn name="Sufficiency in July" id="8"/>
    <tableColumn name="Sufficiency in August" id="9"/>
    <tableColumn name="Sufficiency in September" id="10"/>
    <tableColumn name="Sufficiency in October" id="11"/>
    <tableColumn name="Sufficiency in November" id="12"/>
    <tableColumn name="Sufficiency in December" id="13"/>
    <tableColumn name="Total" id="14"/>
  </tableColumns>
  <tableStyleInfo name="Sectors-style 13" showColumnStripes="0" showFirstColumn="1" showLastColumn="1" showRowStripes="1"/>
</table>
</file>

<file path=xl/tables/table14.xml><?xml version="1.0" encoding="utf-8"?>
<table xmlns="http://schemas.openxmlformats.org/spreadsheetml/2006/main" ref="A178:M185" displayName="Table_14" name="Table_14" id="14">
  <tableColumns count="13">
    <tableColumn name="Sectoral demand  in PJ 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ctors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A6:G14" displayName="Table_15" name="Table_15" id="1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K6:Q14" displayName="Table_16" name="Table_16" id="1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n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8:I29" displayName="Table_17" name="Table_17" id="1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31:I38" displayName="Table_18" name="Table_18" id="1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K31:S37" displayName="Table_19" name="Table_19" id="1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4:G21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cto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40:I51" displayName="Table_20" name="Table_20" id="2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K40:S51" displayName="Table_21" name="Table_21" id="2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A54:I64" displayName="Table_22" 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K54:S62" displayName="Table_23" name="Table_23" id="2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headerRowCount="0" ref="B75:I76" displayName="Table_24" name="Table_24" id="2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Lin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A77:I78" displayName="Table_25" name="Table_25" id="2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11" showColumnStripes="0" showFirstColumn="1" showLastColumn="1" showRowStripes="1"/>
</table>
</file>

<file path=xl/tables/table26.xml><?xml version="1.0" encoding="utf-8"?>
<table xmlns="http://schemas.openxmlformats.org/spreadsheetml/2006/main" headerRowCount="0" ref="A3:G10" displayName="Table_26" name="Table_26" id="2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aso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20:G26" displayName="Table_27" 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ason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ref="A40:E47" displayName="Table_28" name="Table_28" id="28">
  <tableColumns count="5">
    <tableColumn name="Final energy consumption per application [GWh]" id="1"/>
    <tableColumn name="Spring" id="2"/>
    <tableColumn name="Summer" id="3"/>
    <tableColumn name="Autumn" id="4"/>
    <tableColumn name="Winter" id="5"/>
  </tableColumns>
  <tableStyleInfo name="Seasonal-style 3" showColumnStripes="0" showFirstColumn="1" showLastColumn="1" showRowStripes="1"/>
</table>
</file>

<file path=xl/tables/table29.xml><?xml version="1.0" encoding="utf-8"?>
<table xmlns="http://schemas.openxmlformats.org/spreadsheetml/2006/main" ref="A59:E68" displayName="Table_29" name="Table_29" id="29">
  <tableColumns count="5">
    <tableColumn name="Electricity generation &amp; consumption " id="1"/>
    <tableColumn name="Spring" id="2"/>
    <tableColumn name="Summer" id="3"/>
    <tableColumn name="Autumn" id="4"/>
    <tableColumn name="Winter" id="5"/>
  </tableColumns>
  <tableStyleInfo name="Seasonal-style 4" showColumnStripes="0" showFirstColumn="1" showLastColumn="1" showRowStripes="1"/>
</table>
</file>

<file path=xl/tables/table3.xml><?xml version="1.0" encoding="utf-8"?>
<table xmlns="http://schemas.openxmlformats.org/spreadsheetml/2006/main" headerRowCount="0" ref="A27:G41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ctor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ref="A79:N86" displayName="Table_30" name="Table_30" id="30">
  <tableColumns count="14">
    <tableColumn name="Final energy consumption per application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5" showColumnStripes="0" showFirstColumn="1" showLastColumn="1" showRowStripes="1"/>
</table>
</file>

<file path=xl/tables/table31.xml><?xml version="1.0" encoding="utf-8"?>
<table xmlns="http://schemas.openxmlformats.org/spreadsheetml/2006/main" ref="A88:N95" displayName="Table_31" name="Table_31" id="31">
  <tableColumns count="14">
    <tableColumn name="Final energy consumption per application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6" showColumnStripes="0" showFirstColumn="1" showLastColumn="1" showRowStripes="1"/>
</table>
</file>

<file path=xl/tables/table32.xml><?xml version="1.0" encoding="utf-8"?>
<table xmlns="http://schemas.openxmlformats.org/spreadsheetml/2006/main" ref="A101:N110" displayName="Table_32" name="Table_32" id="32">
  <tableColumns count="14">
    <tableColumn name="Final energy consumption per application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Total " id="14"/>
  </tableColumns>
  <tableStyleInfo name="Seasonal-style 7" showColumnStripes="0" showFirstColumn="1" showLastColumn="1" showRowStripes="1"/>
</table>
</file>

<file path=xl/tables/table33.xml><?xml version="1.0" encoding="utf-8"?>
<table xmlns="http://schemas.openxmlformats.org/spreadsheetml/2006/main" ref="A112:O120" displayName="Table_33" name="Table_33" id="33">
  <tableColumns count="15">
    <tableColumn name="Final energy consumption per application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  <tableColumn name="Proportion " id="15"/>
  </tableColumns>
  <tableStyleInfo name="Seasonal-style 8" showColumnStripes="0" showFirstColumn="1" showLastColumn="1" showRowStripes="1"/>
</table>
</file>

<file path=xl/tables/table34.xml><?xml version="1.0" encoding="utf-8"?>
<table xmlns="http://schemas.openxmlformats.org/spreadsheetml/2006/main" ref="A128:M137" displayName="Table_34" name="Table_34" id="34">
  <tableColumns count="13">
    <tableColumn name="Electricity generation &amp; consumption 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asonal-style 9" showColumnStripes="0" showFirstColumn="1" showLastColumn="1" showRowStripes="1"/>
</table>
</file>

<file path=xl/tables/table35.xml><?xml version="1.0" encoding="utf-8"?>
<table xmlns="http://schemas.openxmlformats.org/spreadsheetml/2006/main" headerRowCount="0" ref="AB136:AC142" displayName="Table_35" name="Table_35" id="35">
  <tableColumns count="2">
    <tableColumn name="Column1" id="1"/>
    <tableColumn name="Column2" id="2"/>
  </tableColumns>
  <tableStyleInfo name="Seasonal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ref="A140:N149" displayName="Table_36" name="Table_36" id="36">
  <tableColumns count="14">
    <tableColumn name="Electricity generation &amp; consumption 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11" showColumnStripes="0" showFirstColumn="1" showLastColumn="1" showRowStripes="1"/>
</table>
</file>

<file path=xl/tables/table37.xml><?xml version="1.0" encoding="utf-8"?>
<table xmlns="http://schemas.openxmlformats.org/spreadsheetml/2006/main" headerRowCount="0" ref="AB147:AC154" displayName="Table_37" name="Table_37" id="37">
  <tableColumns count="2">
    <tableColumn name="Column1" id="1"/>
    <tableColumn name="Column2" id="2"/>
  </tableColumns>
  <tableStyleInfo name="Seasonal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ref="A153:N156" displayName="Table_38" name="Table_38" id="38">
  <tableColumns count="14">
    <tableColumn name="Sufficiency needs of electricity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13" showColumnStripes="0" showFirstColumn="1" showLastColumn="1" showRowStripes="1"/>
</table>
</file>

<file path=xl/tables/table39.xml><?xml version="1.0" encoding="utf-8"?>
<table xmlns="http://schemas.openxmlformats.org/spreadsheetml/2006/main" headerRowCount="0" ref="A4:E9" displayName="Table_39" name="Table_39" id="39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45:B51" displayName="Table_4" name="Table_4" id="4">
  <tableColumns count="2">
    <tableColumn name="Column1" id="1"/>
    <tableColumn name="Column2" id="2"/>
  </tableColumns>
  <tableStyleInfo name="Sector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A10:E15" displayName="Table_40" name="Table_40" id="40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headerRowCount="0" ref="A16:E22" displayName="Table_41" name="Table_41" id="41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headerRowCount="0" ref="A24:E30" displayName="Table_42" name="Table_42" id="42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headerRowCount="0" ref="A31:E33" displayName="Table_43" name="Table_43" id="43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headerRowCount="0" ref="A34:E36" displayName="Table_44" name="Table_44" id="44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headerRowCount="0" ref="A37:E45" displayName="Table_45" name="Table_45" id="45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ref="A1:N14" displayName="Table_46" name="Table_46" id="46">
  <tableColumns count="14">
    <tableColumn name="Energie renouvelables et non-renouvelables 2050 plus en GWh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" id="14"/>
  </tableColumns>
  <tableStyleInfo name="Energy Scope-style" showColumnStripes="0" showFirstColumn="1" showLastColumn="1" showRowStripes="1"/>
</table>
</file>

<file path=xl/tables/table47.xml><?xml version="1.0" encoding="utf-8"?>
<table xmlns="http://schemas.openxmlformats.org/spreadsheetml/2006/main" ref="A16:N29" displayName="Table_47" name="Table_47" id="47">
  <tableColumns count="14">
    <tableColumn name="Energie renouvelables et non-renouvelables 2050 plus en PJ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 " id="14"/>
  </tableColumns>
  <tableStyleInfo name="Energy Scope-style 2" showColumnStripes="0" showFirstColumn="1" showLastColumn="1" showRowStripes="1"/>
</table>
</file>

<file path=xl/tables/table48.xml><?xml version="1.0" encoding="utf-8"?>
<table xmlns="http://schemas.openxmlformats.org/spreadsheetml/2006/main" ref="A32:N43" displayName="Table_48" name="Table_48" id="48">
  <tableColumns count="14">
    <tableColumn name="Consommation et Production d'électricité GWh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" id="14"/>
  </tableColumns>
  <tableStyleInfo name="Energy Scope-style 3" showColumnStripes="0" showFirstColumn="1" showLastColumn="1" showRowStripes="1"/>
</table>
</file>

<file path=xl/tables/table49.xml><?xml version="1.0" encoding="utf-8"?>
<table xmlns="http://schemas.openxmlformats.org/spreadsheetml/2006/main" headerRowCount="0" ref="A1:L10" displayName="Table_49" name="Table_49" id="4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Industry Sec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D45:E50" displayName="Table_5" name="Table_5" id="5">
  <tableColumns count="2">
    <tableColumn name="Column1" id="1"/>
    <tableColumn name="Column2" id="2"/>
  </tableColumns>
  <tableStyleInfo name="Sector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headerRowCount="0" ref="A13:N22" displayName="Table_50" name="Table_50" id="50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Industry Sect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ref="A65:N75" displayName="Table_51" name="Table_51" id="51">
  <tableColumns count="14">
    <tableColumn name="Final energy consumption (TJ 2020) per industry subsector" id="1"/>
    <tableColumn name="Chemicals/ pharamceuticals" id="2"/>
    <tableColumn name="Food products" id="3"/>
    <tableColumn name="Fabricated metal products" id="4"/>
    <tableColumn name="Cement " id="5"/>
    <tableColumn name="Other industries" id="6"/>
    <tableColumn name="Paper products" id="7"/>
    <tableColumn name="Basic metals" id="8"/>
    <tableColumn name="Machines &amp; equipment" id="9"/>
    <tableColumn name="Other non-ferric minerals" id="10"/>
    <tableColumn name="Construction" id="11"/>
    <tableColumn name="Non ferric metals" id="12"/>
    <tableColumn name="Textiles" id="13"/>
    <tableColumn name="Total" id="14"/>
  </tableColumns>
  <tableStyleInfo name="Industry Sector-style 3" showColumnStripes="0" showFirstColumn="1" showLastColumn="1" showRowStripes="1"/>
</table>
</file>

<file path=xl/tables/table52.xml><?xml version="1.0" encoding="utf-8"?>
<table xmlns="http://schemas.openxmlformats.org/spreadsheetml/2006/main" headerRowCount="0" ref="A77:O91" displayName="Table_52" name="Table_52" id="5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Industry Sector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headerRowCount="0" ref="A7:K12" displayName="Table_53" name="Table_53" id="5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District hea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headerRowCount="0" ref="A15:L26" displayName="Table_54" name="Table_54" id="5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istrict heatin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headerRowCount="0" ref="A27:L37" displayName="Table_55" name="Table_55" id="5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istrict heating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headerRowCount="0" ref="A1:J11" displayName="Table_56" name="Table_56" id="5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ousing Sec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headerRowCount="0" ref="A15:M27" displayName="Table_57" name="Table_57" id="5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ousing Sect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42:G47" displayName="Table_58" name="Table_58" id="5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using Secto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50:O68" displayName="Table_59" name="Table_59" id="5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48" displayName="Table_6" name="Table_6" id="6">
  <tableColumns count="1">
    <tableColumn name="Column1" id="1"/>
  </tableColumns>
  <tableStyleInfo name="Sectors-style 6" showColumnStripes="0" showFirstColumn="1" showLastColumn="1" showRowStripes="1"/>
</table>
</file>

<file path=xl/tables/table60.xml><?xml version="1.0" encoding="utf-8"?>
<table xmlns="http://schemas.openxmlformats.org/spreadsheetml/2006/main" headerRowCount="0" ref="A72:O90" displayName="Table_60" name="Table_60" id="6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headerRowCount="0" ref="A93:O111" displayName="Table_61" name="Table_61" id="6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headerRowCount="0" ref="A114:E132" displayName="Table_62" name="Table_62" id="62">
  <tableColumns count="5">
    <tableColumn name="Column1" id="1"/>
    <tableColumn name="Column2" id="2"/>
    <tableColumn name="Column3" id="3"/>
    <tableColumn name="Column4" id="4"/>
    <tableColumn name="Column5" id="5"/>
  </tableColumns>
  <tableStyleInfo name="Housing Sector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headerRowCount="0" ref="A1:L10" displayName="Table_63" name="Table_63" id="6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ervic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4.xml><?xml version="1.0" encoding="utf-8"?>
<table xmlns="http://schemas.openxmlformats.org/spreadsheetml/2006/main" headerRowCount="0" ref="A27:H39" displayName="Table_64" name="Table_64" id="6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rvic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ref="A54:M59" displayName="Table_65" name="Table_65" id="65">
  <tableColumns count="13">
    <tableColumn name="Electric demand per sector per month in PJ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rvices-style 3" showColumnStripes="0" showFirstColumn="1" showLastColumn="1" showRowStripes="1"/>
</table>
</file>

<file path=xl/tables/table66.xml><?xml version="1.0" encoding="utf-8"?>
<table xmlns="http://schemas.openxmlformats.org/spreadsheetml/2006/main" ref="N54:O58" displayName="Table_66" name="Table_66" id="66">
  <tableColumns count="2">
    <tableColumn name="Year 2050" id="1"/>
    <tableColumn name="EP2050+ final el. demand " id="2"/>
  </tableColumns>
  <tableStyleInfo name="Services-style 4" showColumnStripes="0" showFirstColumn="1" showLastColumn="1" showRowStripes="1"/>
</table>
</file>

<file path=xl/tables/table7.xml><?xml version="1.0" encoding="utf-8"?>
<table xmlns="http://schemas.openxmlformats.org/spreadsheetml/2006/main" headerRowCount="0" ref="A55:Q74" displayName="Table_7" name="Table_7" id="7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ector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76:M84" displayName="Table_8" name="Table_8" id="8">
  <tableColumns count="13">
    <tableColumn name="Electric demand per sector per month in PJ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ctors-style 8" showColumnStripes="0" showFirstColumn="1" showLastColumn="1" showRowStripes="1"/>
</table>
</file>

<file path=xl/tables/table9.xml><?xml version="1.0" encoding="utf-8"?>
<table xmlns="http://schemas.openxmlformats.org/spreadsheetml/2006/main" ref="N76:P84" displayName="Table_9" name="Table_9" id="9">
  <tableColumns count="3">
    <tableColumn name="Year 2050" id="1"/>
    <tableColumn name="EP2050+ final el. demand " id="2"/>
    <tableColumn name="Inflexible demand" id="3"/>
  </tableColumns>
  <tableStyleInfo name="Sector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21" Type="http://schemas.openxmlformats.org/officeDocument/2006/relationships/table" Target="../tables/table4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table" Target="../tables/table58.xml"/><Relationship Id="rId10" Type="http://schemas.openxmlformats.org/officeDocument/2006/relationships/table" Target="../tables/table57.xml"/><Relationship Id="rId13" Type="http://schemas.openxmlformats.org/officeDocument/2006/relationships/table" Target="../tables/table60.xml"/><Relationship Id="rId12" Type="http://schemas.openxmlformats.org/officeDocument/2006/relationships/table" Target="../tables/table59.xml"/><Relationship Id="rId1" Type="http://schemas.openxmlformats.org/officeDocument/2006/relationships/drawing" Target="../drawings/drawing10.xml"/><Relationship Id="rId9" Type="http://schemas.openxmlformats.org/officeDocument/2006/relationships/table" Target="../tables/table56.xml"/><Relationship Id="rId15" Type="http://schemas.openxmlformats.org/officeDocument/2006/relationships/table" Target="../tables/table62.xml"/><Relationship Id="rId14" Type="http://schemas.openxmlformats.org/officeDocument/2006/relationships/table" Target="../tables/table6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9" Type="http://schemas.openxmlformats.org/officeDocument/2006/relationships/table" Target="../tables/table66.xml"/><Relationship Id="rId6" Type="http://schemas.openxmlformats.org/officeDocument/2006/relationships/table" Target="../tables/table63.xml"/><Relationship Id="rId7" Type="http://schemas.openxmlformats.org/officeDocument/2006/relationships/table" Target="../tables/table64.xml"/><Relationship Id="rId8" Type="http://schemas.openxmlformats.org/officeDocument/2006/relationships/table" Target="../tables/table6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0.xml"/><Relationship Id="rId22" Type="http://schemas.openxmlformats.org/officeDocument/2006/relationships/table" Target="../tables/table22.xml"/><Relationship Id="rId21" Type="http://schemas.openxmlformats.org/officeDocument/2006/relationships/table" Target="../tables/table21.xml"/><Relationship Id="rId24" Type="http://schemas.openxmlformats.org/officeDocument/2006/relationships/table" Target="../tables/table24.xml"/><Relationship Id="rId23" Type="http://schemas.openxmlformats.org/officeDocument/2006/relationships/table" Target="../tables/table23.xml"/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5" Type="http://schemas.openxmlformats.org/officeDocument/2006/relationships/table" Target="../tables/table15.xml"/><Relationship Id="rId25" Type="http://schemas.openxmlformats.org/officeDocument/2006/relationships/table" Target="../tables/table25.xml"/><Relationship Id="rId17" Type="http://schemas.openxmlformats.org/officeDocument/2006/relationships/table" Target="../tables/table17.xml"/><Relationship Id="rId16" Type="http://schemas.openxmlformats.org/officeDocument/2006/relationships/table" Target="../tables/table16.xml"/><Relationship Id="rId19" Type="http://schemas.openxmlformats.org/officeDocument/2006/relationships/table" Target="../tables/table19.xml"/><Relationship Id="rId18" Type="http://schemas.openxmlformats.org/officeDocument/2006/relationships/table" Target="../tables/table18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1.xml"/><Relationship Id="rId22" Type="http://schemas.openxmlformats.org/officeDocument/2006/relationships/table" Target="../tables/table33.xml"/><Relationship Id="rId21" Type="http://schemas.openxmlformats.org/officeDocument/2006/relationships/table" Target="../tables/table32.xml"/><Relationship Id="rId24" Type="http://schemas.openxmlformats.org/officeDocument/2006/relationships/table" Target="../tables/table35.xml"/><Relationship Id="rId23" Type="http://schemas.openxmlformats.org/officeDocument/2006/relationships/table" Target="../tables/table34.xml"/><Relationship Id="rId1" Type="http://schemas.openxmlformats.org/officeDocument/2006/relationships/drawing" Target="../drawings/drawing3.xml"/><Relationship Id="rId15" Type="http://schemas.openxmlformats.org/officeDocument/2006/relationships/table" Target="../tables/table26.xml"/><Relationship Id="rId26" Type="http://schemas.openxmlformats.org/officeDocument/2006/relationships/table" Target="../tables/table37.xml"/><Relationship Id="rId25" Type="http://schemas.openxmlformats.org/officeDocument/2006/relationships/table" Target="../tables/table36.xml"/><Relationship Id="rId17" Type="http://schemas.openxmlformats.org/officeDocument/2006/relationships/table" Target="../tables/table28.xml"/><Relationship Id="rId16" Type="http://schemas.openxmlformats.org/officeDocument/2006/relationships/table" Target="../tables/table27.xml"/><Relationship Id="rId27" Type="http://schemas.openxmlformats.org/officeDocument/2006/relationships/table" Target="../tables/table38.xml"/><Relationship Id="rId19" Type="http://schemas.openxmlformats.org/officeDocument/2006/relationships/table" Target="../tables/table30.xml"/><Relationship Id="rId18" Type="http://schemas.openxmlformats.org/officeDocument/2006/relationships/table" Target="../tables/table29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41.xml"/><Relationship Id="rId10" Type="http://schemas.openxmlformats.org/officeDocument/2006/relationships/table" Target="../tables/table40.xml"/><Relationship Id="rId13" Type="http://schemas.openxmlformats.org/officeDocument/2006/relationships/table" Target="../tables/table43.xml"/><Relationship Id="rId12" Type="http://schemas.openxmlformats.org/officeDocument/2006/relationships/table" Target="../tables/table42.xml"/><Relationship Id="rId1" Type="http://schemas.openxmlformats.org/officeDocument/2006/relationships/drawing" Target="../drawings/drawing4.xml"/><Relationship Id="rId9" Type="http://schemas.openxmlformats.org/officeDocument/2006/relationships/table" Target="../tables/table39.xml"/><Relationship Id="rId15" Type="http://schemas.openxmlformats.org/officeDocument/2006/relationships/table" Target="../tables/table45.xml"/><Relationship Id="rId14" Type="http://schemas.openxmlformats.org/officeDocument/2006/relationships/table" Target="../tables/table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46.xml"/><Relationship Id="rId6" Type="http://schemas.openxmlformats.org/officeDocument/2006/relationships/table" Target="../tables/table47.xml"/><Relationship Id="rId7" Type="http://schemas.openxmlformats.org/officeDocument/2006/relationships/table" Target="../tables/table4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52.xml"/><Relationship Id="rId6" Type="http://schemas.openxmlformats.org/officeDocument/2006/relationships/table" Target="../tables/table49.xml"/><Relationship Id="rId7" Type="http://schemas.openxmlformats.org/officeDocument/2006/relationships/table" Target="../tables/table50.xml"/><Relationship Id="rId8" Type="http://schemas.openxmlformats.org/officeDocument/2006/relationships/table" Target="../tables/table5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53.xml"/><Relationship Id="rId6" Type="http://schemas.openxmlformats.org/officeDocument/2006/relationships/table" Target="../tables/table54.xml"/><Relationship Id="rId7" Type="http://schemas.openxmlformats.org/officeDocument/2006/relationships/table" Target="../tables/table5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>
      <c r="A3" s="4" t="s">
        <v>14</v>
      </c>
      <c r="B3" s="4">
        <v>4.600314</v>
      </c>
      <c r="C3" s="4">
        <v>2.96922</v>
      </c>
      <c r="D3" s="4">
        <v>3.726193</v>
      </c>
      <c r="E3" s="4">
        <v>4.640584</v>
      </c>
      <c r="F3" s="4">
        <v>7.530028</v>
      </c>
      <c r="G3" s="4">
        <v>7.847062</v>
      </c>
      <c r="H3" s="4">
        <v>7.241911</v>
      </c>
      <c r="I3" s="4">
        <v>6.273986</v>
      </c>
      <c r="J3" s="4">
        <v>5.844162</v>
      </c>
      <c r="K3" s="4">
        <v>5.691162</v>
      </c>
      <c r="L3" s="4">
        <v>5.190344</v>
      </c>
      <c r="M3" s="4">
        <v>5.218505</v>
      </c>
      <c r="N3" s="5">
        <f t="shared" ref="N3:N10" si="1">SUM(B3:M3)</f>
        <v>66.773471</v>
      </c>
    </row>
    <row r="4">
      <c r="A4" s="6" t="s">
        <v>15</v>
      </c>
      <c r="B4" s="6">
        <v>7.906958</v>
      </c>
      <c r="C4" s="6">
        <v>6.238688</v>
      </c>
      <c r="D4" s="6">
        <v>3.756463</v>
      </c>
      <c r="E4" s="6">
        <v>3.862633</v>
      </c>
      <c r="F4" s="6">
        <v>4.573489</v>
      </c>
      <c r="G4" s="6">
        <v>6.318595</v>
      </c>
      <c r="H4" s="6">
        <v>7.52123</v>
      </c>
      <c r="I4" s="6">
        <v>6.990102</v>
      </c>
      <c r="J4" s="6">
        <v>5.135847</v>
      </c>
      <c r="K4" s="6">
        <v>6.483254</v>
      </c>
      <c r="L4" s="6">
        <v>7.16926</v>
      </c>
      <c r="M4" s="6">
        <v>2.5306</v>
      </c>
      <c r="N4" s="5">
        <f t="shared" si="1"/>
        <v>68.487119</v>
      </c>
    </row>
    <row r="5">
      <c r="A5" s="4" t="s">
        <v>16</v>
      </c>
      <c r="B5" s="4">
        <v>1.128575</v>
      </c>
      <c r="C5" s="4">
        <v>1.665381</v>
      </c>
      <c r="D5" s="4">
        <v>2.094255</v>
      </c>
      <c r="E5" s="4">
        <v>2.079291</v>
      </c>
      <c r="F5" s="4">
        <v>3.267764</v>
      </c>
      <c r="G5" s="4">
        <v>2.137753</v>
      </c>
      <c r="H5" s="4">
        <v>3.04405</v>
      </c>
      <c r="I5" s="4">
        <v>3.273909</v>
      </c>
      <c r="J5" s="4">
        <v>2.880452</v>
      </c>
      <c r="K5" s="4">
        <v>2.065782</v>
      </c>
      <c r="L5" s="4">
        <v>0.887797</v>
      </c>
      <c r="M5" s="4">
        <v>1.084312</v>
      </c>
      <c r="N5" s="5">
        <f t="shared" si="1"/>
        <v>25.609321</v>
      </c>
    </row>
    <row r="6">
      <c r="A6" s="6" t="s">
        <v>17</v>
      </c>
      <c r="B6" s="6">
        <v>3.90795</v>
      </c>
      <c r="C6" s="6">
        <v>5.838225</v>
      </c>
      <c r="D6" s="6">
        <v>11.066104</v>
      </c>
      <c r="E6" s="6">
        <v>11.179194</v>
      </c>
      <c r="F6" s="6">
        <v>15.142324</v>
      </c>
      <c r="G6" s="6">
        <v>14.878607</v>
      </c>
      <c r="H6" s="6">
        <v>15.77081</v>
      </c>
      <c r="I6" s="6">
        <v>15.061538</v>
      </c>
      <c r="J6" s="6">
        <v>11.64158</v>
      </c>
      <c r="K6" s="6">
        <v>8.356859</v>
      </c>
      <c r="L6" s="6">
        <v>5.062863</v>
      </c>
      <c r="M6" s="6">
        <v>3.099932</v>
      </c>
      <c r="N6" s="5">
        <f t="shared" si="1"/>
        <v>121.005986</v>
      </c>
    </row>
    <row r="7">
      <c r="A7" s="4" t="s">
        <v>18</v>
      </c>
      <c r="B7" s="4">
        <v>1.967886</v>
      </c>
      <c r="C7" s="4">
        <v>1.231207</v>
      </c>
      <c r="D7" s="4">
        <v>0.971234</v>
      </c>
      <c r="E7" s="4">
        <v>1.826148</v>
      </c>
      <c r="F7" s="4">
        <v>0.909448</v>
      </c>
      <c r="G7" s="4">
        <v>0.806691</v>
      </c>
      <c r="H7" s="4">
        <v>0.857886</v>
      </c>
      <c r="I7" s="4">
        <v>0.558281</v>
      </c>
      <c r="J7" s="4">
        <v>1.086029</v>
      </c>
      <c r="K7" s="4">
        <v>1.312975</v>
      </c>
      <c r="L7" s="4">
        <v>1.407551</v>
      </c>
      <c r="M7" s="4">
        <v>2.63204</v>
      </c>
      <c r="N7" s="5">
        <f t="shared" si="1"/>
        <v>15.567376</v>
      </c>
    </row>
    <row r="8">
      <c r="A8" s="6" t="s">
        <v>19</v>
      </c>
      <c r="B8" s="6">
        <v>0.728687</v>
      </c>
      <c r="C8" s="6">
        <v>0.658169</v>
      </c>
      <c r="D8" s="6">
        <v>0.726156</v>
      </c>
      <c r="E8" s="6">
        <v>0.691508</v>
      </c>
      <c r="F8" s="6">
        <v>0.564106</v>
      </c>
      <c r="G8" s="6">
        <v>0.494509</v>
      </c>
      <c r="H8" s="6">
        <v>0.529864</v>
      </c>
      <c r="I8" s="6">
        <v>0.52529</v>
      </c>
      <c r="J8" s="6">
        <v>0.564702</v>
      </c>
      <c r="K8" s="6">
        <v>0.64373</v>
      </c>
      <c r="L8" s="6">
        <v>0.705002</v>
      </c>
      <c r="M8" s="6">
        <v>0.697876</v>
      </c>
      <c r="N8" s="5">
        <f t="shared" si="1"/>
        <v>7.529599</v>
      </c>
    </row>
    <row r="9">
      <c r="A9" s="4" t="s">
        <v>20</v>
      </c>
      <c r="B9" s="4">
        <v>1.06457</v>
      </c>
      <c r="C9" s="4">
        <v>0.998955</v>
      </c>
      <c r="D9" s="4">
        <v>1.024047</v>
      </c>
      <c r="E9" s="4">
        <v>0.870961</v>
      </c>
      <c r="F9" s="4">
        <v>0.835227</v>
      </c>
      <c r="G9" s="4">
        <v>0.749141</v>
      </c>
      <c r="H9" s="4">
        <v>0.755607</v>
      </c>
      <c r="I9" s="4">
        <v>0.7661</v>
      </c>
      <c r="J9" s="4">
        <v>0.790931</v>
      </c>
      <c r="K9" s="4">
        <v>0.963742</v>
      </c>
      <c r="L9" s="4">
        <v>1.07321</v>
      </c>
      <c r="M9" s="4">
        <v>1.084814</v>
      </c>
      <c r="N9" s="5">
        <f t="shared" si="1"/>
        <v>10.977305</v>
      </c>
    </row>
    <row r="10">
      <c r="A10" s="6" t="s">
        <v>21</v>
      </c>
      <c r="B10" s="6">
        <v>20.240371</v>
      </c>
      <c r="C10" s="6">
        <v>18.600889</v>
      </c>
      <c r="D10" s="6">
        <v>22.340405</v>
      </c>
      <c r="E10" s="6">
        <v>24.279359</v>
      </c>
      <c r="F10" s="6">
        <v>31.987159</v>
      </c>
      <c r="G10" s="6">
        <v>32.483216</v>
      </c>
      <c r="H10" s="6">
        <v>34.965751</v>
      </c>
      <c r="I10" s="6">
        <v>32.683107</v>
      </c>
      <c r="J10" s="6">
        <v>27.152773</v>
      </c>
      <c r="K10" s="6">
        <v>24.553762</v>
      </c>
      <c r="L10" s="6">
        <v>20.422817</v>
      </c>
      <c r="M10" s="6">
        <v>15.263266</v>
      </c>
      <c r="N10" s="5">
        <f t="shared" si="1"/>
        <v>304.972875</v>
      </c>
    </row>
    <row r="11">
      <c r="A11" s="7"/>
    </row>
    <row r="12">
      <c r="A12" s="7"/>
    </row>
    <row r="13">
      <c r="A13" s="8" t="s">
        <v>22</v>
      </c>
    </row>
    <row r="14">
      <c r="A14" s="9" t="s">
        <v>23</v>
      </c>
      <c r="B14" s="10"/>
      <c r="C14" s="11"/>
      <c r="D14" s="12"/>
      <c r="E14" s="12"/>
      <c r="F14" s="12"/>
      <c r="G14" s="12"/>
    </row>
    <row r="15">
      <c r="A15" s="13" t="s">
        <v>24</v>
      </c>
      <c r="B15" s="14">
        <v>2025.0</v>
      </c>
      <c r="C15" s="14">
        <v>2030.0</v>
      </c>
      <c r="D15" s="14">
        <v>2035.0</v>
      </c>
      <c r="E15" s="14">
        <v>2040.0</v>
      </c>
      <c r="F15" s="14">
        <v>2045.0</v>
      </c>
      <c r="G15" s="14">
        <v>2050.0</v>
      </c>
    </row>
    <row r="16">
      <c r="A16" s="15" t="s">
        <v>25</v>
      </c>
      <c r="B16" s="16">
        <v>139.0</v>
      </c>
      <c r="C16" s="16">
        <v>131.0</v>
      </c>
      <c r="D16" s="16">
        <v>123.0</v>
      </c>
      <c r="E16" s="16">
        <v>116.0</v>
      </c>
      <c r="F16" s="16">
        <v>110.0</v>
      </c>
      <c r="G16" s="16">
        <v>104.0</v>
      </c>
    </row>
    <row r="17">
      <c r="A17" s="17" t="s">
        <v>26</v>
      </c>
      <c r="B17" s="16">
        <v>219.0</v>
      </c>
      <c r="C17" s="16">
        <v>199.0</v>
      </c>
      <c r="D17" s="16">
        <v>178.0</v>
      </c>
      <c r="E17" s="16">
        <v>158.0</v>
      </c>
      <c r="F17" s="16">
        <v>143.0</v>
      </c>
      <c r="G17" s="16">
        <v>133.0</v>
      </c>
    </row>
    <row r="18">
      <c r="A18" s="17" t="s">
        <v>27</v>
      </c>
      <c r="B18" s="16">
        <v>122.0</v>
      </c>
      <c r="C18" s="16">
        <v>112.0</v>
      </c>
      <c r="D18" s="16">
        <v>104.0</v>
      </c>
      <c r="E18" s="16">
        <v>96.0</v>
      </c>
      <c r="F18" s="16">
        <v>89.0</v>
      </c>
      <c r="G18" s="16">
        <v>84.0</v>
      </c>
    </row>
    <row r="19">
      <c r="A19" s="17" t="s">
        <v>28</v>
      </c>
      <c r="B19" s="16">
        <v>9.0</v>
      </c>
      <c r="C19" s="16">
        <v>9.0</v>
      </c>
      <c r="D19" s="16">
        <v>9.0</v>
      </c>
      <c r="E19" s="16">
        <v>9.0</v>
      </c>
      <c r="F19" s="16">
        <v>8.0</v>
      </c>
      <c r="G19" s="16">
        <v>8.0</v>
      </c>
    </row>
    <row r="20">
      <c r="A20" s="17" t="s">
        <v>29</v>
      </c>
      <c r="B20" s="16">
        <v>229.0</v>
      </c>
      <c r="C20" s="16">
        <v>221.0</v>
      </c>
      <c r="D20" s="16">
        <v>213.0</v>
      </c>
      <c r="E20" s="16">
        <v>205.0</v>
      </c>
      <c r="F20" s="18">
        <v>199.0</v>
      </c>
      <c r="G20" s="16">
        <v>193.0</v>
      </c>
    </row>
    <row r="21">
      <c r="A21" s="19" t="s">
        <v>30</v>
      </c>
      <c r="B21" s="19">
        <v>718.0</v>
      </c>
      <c r="C21" s="19">
        <v>672.0</v>
      </c>
      <c r="D21" s="19">
        <v>627.0</v>
      </c>
      <c r="E21" s="19">
        <v>584.0</v>
      </c>
      <c r="F21" s="19">
        <v>550.0</v>
      </c>
      <c r="G21" s="19">
        <v>524.0</v>
      </c>
    </row>
    <row r="22">
      <c r="A22" s="7"/>
    </row>
    <row r="23">
      <c r="A23" s="7"/>
    </row>
    <row r="24">
      <c r="A24" s="7"/>
    </row>
    <row r="25">
      <c r="A25" s="7"/>
    </row>
    <row r="26">
      <c r="A26" s="8" t="s">
        <v>22</v>
      </c>
    </row>
    <row r="27">
      <c r="A27" s="20" t="s">
        <v>31</v>
      </c>
      <c r="B27" s="21"/>
      <c r="C27" s="21"/>
      <c r="D27" s="21"/>
      <c r="E27" s="21"/>
      <c r="F27" s="21"/>
      <c r="G27" s="21"/>
      <c r="H27" s="22"/>
      <c r="I27" s="23"/>
      <c r="J27" s="24"/>
      <c r="K27" s="24"/>
      <c r="L27" s="24"/>
      <c r="M27" s="25"/>
      <c r="N27" s="25"/>
      <c r="O27" s="25"/>
      <c r="P27" s="25"/>
      <c r="Q27" s="25"/>
    </row>
    <row r="28">
      <c r="A28" s="26" t="s">
        <v>32</v>
      </c>
      <c r="B28" s="27">
        <v>2025.0</v>
      </c>
      <c r="C28" s="27">
        <v>2030.0</v>
      </c>
      <c r="D28" s="27">
        <v>2035.0</v>
      </c>
      <c r="E28" s="27">
        <v>2040.0</v>
      </c>
      <c r="F28" s="27">
        <v>2045.0</v>
      </c>
      <c r="G28" s="27">
        <v>2050.0</v>
      </c>
      <c r="H28" s="28"/>
      <c r="I28" s="28"/>
    </row>
    <row r="29">
      <c r="A29" s="29" t="s">
        <v>33</v>
      </c>
      <c r="B29" s="27">
        <v>206.0</v>
      </c>
      <c r="C29" s="27">
        <v>208.0</v>
      </c>
      <c r="D29" s="27">
        <v>215.0</v>
      </c>
      <c r="E29" s="27">
        <v>221.0</v>
      </c>
      <c r="F29" s="27">
        <v>226.0</v>
      </c>
      <c r="G29" s="27">
        <v>228.0</v>
      </c>
      <c r="H29" s="28"/>
      <c r="I29" s="28"/>
    </row>
    <row r="30">
      <c r="A30" s="30" t="s">
        <v>29</v>
      </c>
      <c r="B30" s="31">
        <v>68.0</v>
      </c>
      <c r="C30" s="31">
        <v>69.0</v>
      </c>
      <c r="D30" s="31">
        <v>70.0</v>
      </c>
      <c r="E30" s="31">
        <v>69.0</v>
      </c>
      <c r="F30" s="31">
        <v>70.0</v>
      </c>
      <c r="G30" s="31">
        <v>69.0</v>
      </c>
      <c r="H30" s="32"/>
      <c r="I30" s="32"/>
    </row>
    <row r="31">
      <c r="A31" s="33" t="s">
        <v>27</v>
      </c>
      <c r="B31" s="31">
        <v>61.0</v>
      </c>
      <c r="C31" s="31">
        <v>59.0</v>
      </c>
      <c r="D31" s="31">
        <v>56.0</v>
      </c>
      <c r="E31" s="31">
        <v>52.0</v>
      </c>
      <c r="F31" s="31">
        <v>49.0</v>
      </c>
      <c r="G31" s="31">
        <v>46.0</v>
      </c>
      <c r="H31" s="32"/>
      <c r="I31" s="32"/>
    </row>
    <row r="32">
      <c r="A32" s="30" t="s">
        <v>25</v>
      </c>
      <c r="B32" s="31">
        <v>58.0</v>
      </c>
      <c r="C32" s="31">
        <v>56.0</v>
      </c>
      <c r="D32" s="31">
        <v>56.0</v>
      </c>
      <c r="E32" s="31">
        <v>55.0</v>
      </c>
      <c r="F32" s="31">
        <v>53.0</v>
      </c>
      <c r="G32" s="31">
        <v>49.0</v>
      </c>
      <c r="H32" s="32"/>
      <c r="I32" s="32"/>
    </row>
    <row r="33">
      <c r="A33" s="33" t="s">
        <v>26</v>
      </c>
      <c r="B33" s="31">
        <v>15.0</v>
      </c>
      <c r="C33" s="31">
        <v>21.0</v>
      </c>
      <c r="D33" s="31">
        <v>30.0</v>
      </c>
      <c r="E33" s="31">
        <v>42.0</v>
      </c>
      <c r="F33" s="31">
        <v>52.0</v>
      </c>
      <c r="G33" s="34">
        <v>61.0</v>
      </c>
      <c r="H33" s="32"/>
      <c r="I33" s="32"/>
    </row>
    <row r="34">
      <c r="A34" s="33" t="s">
        <v>34</v>
      </c>
      <c r="B34" s="31">
        <v>3.0</v>
      </c>
      <c r="C34" s="31">
        <v>3.0</v>
      </c>
      <c r="D34" s="31">
        <v>3.0</v>
      </c>
      <c r="E34" s="31">
        <v>2.0</v>
      </c>
      <c r="F34" s="31">
        <v>2.0</v>
      </c>
      <c r="G34" s="31">
        <v>2.0</v>
      </c>
      <c r="H34" s="32"/>
      <c r="I34" s="32"/>
    </row>
    <row r="35">
      <c r="A35" s="26" t="s">
        <v>35</v>
      </c>
      <c r="B35" s="27">
        <v>3.0</v>
      </c>
      <c r="C35" s="27">
        <v>6.0</v>
      </c>
      <c r="D35" s="27">
        <v>11.0</v>
      </c>
      <c r="E35" s="27">
        <v>18.0</v>
      </c>
      <c r="F35" s="27">
        <v>23.0</v>
      </c>
      <c r="G35" s="27">
        <v>27.0</v>
      </c>
      <c r="H35" s="35"/>
      <c r="I35" s="35"/>
    </row>
    <row r="36">
      <c r="A36" s="30" t="s">
        <v>36</v>
      </c>
      <c r="B36" s="31">
        <v>2.0</v>
      </c>
      <c r="C36" s="31">
        <v>4.0</v>
      </c>
      <c r="D36" s="31">
        <v>6.0</v>
      </c>
      <c r="E36" s="31">
        <v>7.0</v>
      </c>
      <c r="F36" s="31">
        <v>9.0</v>
      </c>
      <c r="G36" s="31">
        <v>10.0</v>
      </c>
      <c r="H36" s="32"/>
      <c r="I36" s="32"/>
    </row>
    <row r="37">
      <c r="A37" s="30" t="s">
        <v>37</v>
      </c>
      <c r="B37" s="31">
        <v>1.0</v>
      </c>
      <c r="C37" s="31">
        <v>3.0</v>
      </c>
      <c r="D37" s="31">
        <v>5.0</v>
      </c>
      <c r="E37" s="31">
        <v>9.0</v>
      </c>
      <c r="F37" s="31">
        <v>11.0</v>
      </c>
      <c r="G37" s="31">
        <v>11.0</v>
      </c>
      <c r="H37" s="32"/>
      <c r="I37" s="32"/>
    </row>
    <row r="38">
      <c r="A38" s="33" t="s">
        <v>38</v>
      </c>
      <c r="B38" s="31">
        <v>0.0</v>
      </c>
      <c r="C38" s="31">
        <v>0.0</v>
      </c>
      <c r="D38" s="31">
        <v>1.0</v>
      </c>
      <c r="E38" s="31">
        <v>2.0</v>
      </c>
      <c r="F38" s="31">
        <v>4.0</v>
      </c>
      <c r="G38" s="31">
        <v>6.0</v>
      </c>
      <c r="H38" s="32"/>
      <c r="I38" s="32"/>
    </row>
    <row r="39">
      <c r="A39" s="36" t="s">
        <v>39</v>
      </c>
      <c r="B39" s="37">
        <v>209.0</v>
      </c>
      <c r="C39" s="37">
        <v>215.0</v>
      </c>
      <c r="D39" s="37">
        <v>226.0</v>
      </c>
      <c r="E39" s="37">
        <v>239.0</v>
      </c>
      <c r="F39" s="37">
        <v>250.0</v>
      </c>
      <c r="G39" s="37">
        <v>254.0</v>
      </c>
      <c r="H39" s="28"/>
      <c r="I39" s="28"/>
    </row>
    <row r="40">
      <c r="A40" s="38"/>
      <c r="B40" s="39"/>
      <c r="C40" s="39"/>
      <c r="D40" s="39"/>
      <c r="E40" s="39"/>
      <c r="F40" s="39"/>
      <c r="G40" s="39"/>
      <c r="H40" s="28"/>
      <c r="I40" s="28"/>
    </row>
    <row r="41">
      <c r="A41" s="40" t="s">
        <v>40</v>
      </c>
      <c r="B41" s="41">
        <v>244.0</v>
      </c>
      <c r="C41" s="42">
        <v>253.0</v>
      </c>
      <c r="D41" s="42">
        <v>264.6</v>
      </c>
      <c r="E41" s="43">
        <v>286.0</v>
      </c>
      <c r="F41" s="43">
        <v>286.0</v>
      </c>
      <c r="G41" s="44">
        <v>304.0</v>
      </c>
    </row>
    <row r="42">
      <c r="A42" s="7"/>
    </row>
    <row r="43">
      <c r="A43" s="7"/>
      <c r="B43" s="45"/>
      <c r="C43" s="45"/>
      <c r="D43" s="45"/>
      <c r="E43" s="45"/>
      <c r="F43" s="46"/>
      <c r="G43" s="45"/>
      <c r="H43" s="45"/>
      <c r="I43" s="47"/>
    </row>
    <row r="44">
      <c r="A44" s="48" t="s">
        <v>22</v>
      </c>
      <c r="B44" s="49"/>
      <c r="C44" s="49"/>
      <c r="D44" s="50" t="s">
        <v>41</v>
      </c>
      <c r="E44" s="49"/>
      <c r="F44" s="49"/>
      <c r="G44" s="49"/>
    </row>
    <row r="45">
      <c r="A45" s="44" t="s">
        <v>42</v>
      </c>
      <c r="B45" s="51">
        <v>2050.0</v>
      </c>
      <c r="C45" s="52"/>
      <c r="D45" s="44" t="s">
        <v>42</v>
      </c>
      <c r="E45" s="51">
        <v>2050.0</v>
      </c>
      <c r="F45" s="53"/>
    </row>
    <row r="46">
      <c r="A46" s="54" t="s">
        <v>43</v>
      </c>
      <c r="B46" s="55">
        <v>221.1</v>
      </c>
      <c r="D46" s="54" t="s">
        <v>43</v>
      </c>
      <c r="E46" s="55">
        <f>B46+B49+B50</f>
        <v>265.4</v>
      </c>
      <c r="I46" s="56"/>
    </row>
    <row r="47">
      <c r="A47" s="54" t="s">
        <v>44</v>
      </c>
      <c r="B47" s="55">
        <v>10.6</v>
      </c>
      <c r="D47" s="54" t="s">
        <v>44</v>
      </c>
      <c r="E47" s="55">
        <v>10.6</v>
      </c>
      <c r="F47" s="57"/>
    </row>
    <row r="48">
      <c r="A48" s="54" t="s">
        <v>45</v>
      </c>
      <c r="B48" s="55">
        <v>28.0</v>
      </c>
      <c r="D48" s="54" t="s">
        <v>45</v>
      </c>
      <c r="E48" s="55">
        <v>28.0</v>
      </c>
      <c r="F48" s="58"/>
      <c r="J48" s="57"/>
      <c r="K48" s="57"/>
    </row>
    <row r="49">
      <c r="A49" s="54" t="s">
        <v>46</v>
      </c>
      <c r="B49" s="55">
        <v>21.6</v>
      </c>
      <c r="D49" s="54" t="s">
        <v>47</v>
      </c>
      <c r="E49" s="55">
        <v>304.0</v>
      </c>
      <c r="F49" s="59"/>
      <c r="G49" s="60"/>
      <c r="H49" s="60"/>
      <c r="I49" s="61"/>
      <c r="J49" s="62"/>
      <c r="K49" s="62"/>
    </row>
    <row r="50">
      <c r="A50" s="54" t="s">
        <v>48</v>
      </c>
      <c r="B50" s="55">
        <v>22.7</v>
      </c>
      <c r="D50" s="54"/>
      <c r="E50" s="55"/>
    </row>
    <row r="51">
      <c r="A51" s="54" t="s">
        <v>47</v>
      </c>
      <c r="B51" s="55">
        <v>304.0</v>
      </c>
    </row>
    <row r="52">
      <c r="A52" s="7"/>
      <c r="B52" s="63"/>
    </row>
    <row r="53">
      <c r="A53" s="7"/>
    </row>
    <row r="54">
      <c r="A54" s="64" t="s">
        <v>49</v>
      </c>
    </row>
    <row r="55">
      <c r="A55" s="65" t="s">
        <v>50</v>
      </c>
      <c r="B55" s="66" t="s">
        <v>51</v>
      </c>
      <c r="C55" s="66" t="s">
        <v>2</v>
      </c>
      <c r="D55" s="66" t="s">
        <v>3</v>
      </c>
      <c r="E55" s="66" t="s">
        <v>4</v>
      </c>
      <c r="F55" s="67" t="s">
        <v>5</v>
      </c>
      <c r="G55" s="66" t="s">
        <v>6</v>
      </c>
      <c r="H55" s="66" t="s">
        <v>7</v>
      </c>
      <c r="I55" s="66" t="s">
        <v>8</v>
      </c>
      <c r="J55" s="66" t="s">
        <v>9</v>
      </c>
      <c r="K55" s="66" t="s">
        <v>10</v>
      </c>
      <c r="L55" s="66" t="s">
        <v>11</v>
      </c>
      <c r="M55" s="66" t="s">
        <v>12</v>
      </c>
      <c r="N55" s="66" t="s">
        <v>13</v>
      </c>
      <c r="O55" s="66" t="s">
        <v>22</v>
      </c>
      <c r="P55" s="68"/>
      <c r="Q55" s="69"/>
    </row>
    <row r="56">
      <c r="A56" s="70" t="s">
        <v>52</v>
      </c>
      <c r="B56" s="71">
        <f>Seasonal!B121</f>
        <v>44.7228</v>
      </c>
      <c r="C56" s="71">
        <f>Seasonal!C121</f>
        <v>36.5328</v>
      </c>
      <c r="D56" s="71">
        <f>Seasonal!D121</f>
        <v>30.9096</v>
      </c>
      <c r="E56" s="71">
        <f>Seasonal!E121</f>
        <v>30.2004</v>
      </c>
      <c r="F56" s="71">
        <f>Seasonal!F121</f>
        <v>30.0852</v>
      </c>
      <c r="G56" s="71">
        <f>Seasonal!G121</f>
        <v>29.4372</v>
      </c>
      <c r="H56" s="71">
        <f>Seasonal!H121</f>
        <v>33.1956</v>
      </c>
      <c r="I56" s="71">
        <f>Seasonal!I121</f>
        <v>31.914</v>
      </c>
      <c r="J56" s="71">
        <f>Seasonal!J121</f>
        <v>31.2876</v>
      </c>
      <c r="K56" s="71">
        <f>Seasonal!K121</f>
        <v>30.3192</v>
      </c>
      <c r="L56" s="71">
        <f>Seasonal!L121</f>
        <v>31.4928</v>
      </c>
      <c r="M56" s="71">
        <f>Seasonal!M121</f>
        <v>45.7164</v>
      </c>
      <c r="N56" s="71">
        <f>Seasonal!N121</f>
        <v>405.8136</v>
      </c>
      <c r="O56" s="72">
        <v>228.0</v>
      </c>
      <c r="P56" s="73"/>
      <c r="Q56" s="74"/>
    </row>
    <row r="57">
      <c r="A57" s="75" t="s">
        <v>26</v>
      </c>
      <c r="B57" s="76">
        <f>Seasonal!B113/Seasonal!B121</f>
        <v>0.1210657651</v>
      </c>
      <c r="C57" s="76">
        <f>Seasonal!C113/Seasonal!C121</f>
        <v>0.1338194718</v>
      </c>
      <c r="D57" s="76">
        <f>Seasonal!D113/Seasonal!D121</f>
        <v>0.1751688796</v>
      </c>
      <c r="E57" s="76">
        <f>Seasonal!E113/Seasonal!E121</f>
        <v>0.1734414114</v>
      </c>
      <c r="F57" s="76">
        <f>Seasonal!F113/Seasonal!F121</f>
        <v>0.1799688884</v>
      </c>
      <c r="G57" s="76">
        <f>Seasonal!G113/Seasonal!G121</f>
        <v>0.1779381191</v>
      </c>
      <c r="H57" s="76">
        <f>Seasonal!H113/Seasonal!H121</f>
        <v>0.1631059538</v>
      </c>
      <c r="I57" s="76">
        <f>Seasonal!I113/Seasonal!I121</f>
        <v>0.1696559504</v>
      </c>
      <c r="J57" s="76">
        <f>Seasonal!J113/Seasonal!J121</f>
        <v>0.1674145668</v>
      </c>
      <c r="K57" s="76">
        <f>Seasonal!K113/Seasonal!K121</f>
        <v>0.1785799098</v>
      </c>
      <c r="L57" s="76">
        <f>Seasonal!L113/Seasonal!L121</f>
        <v>0.1663237311</v>
      </c>
      <c r="M57" s="76">
        <f>Seasonal!M113/Seasonal!M121</f>
        <v>0.1184345224</v>
      </c>
      <c r="N57" s="76">
        <f>Seasonal!N113/Seasonal!N121</f>
        <v>0.1570711282</v>
      </c>
      <c r="O57" s="77"/>
      <c r="P57" s="78"/>
      <c r="Q57" s="79"/>
    </row>
    <row r="58">
      <c r="A58" s="75" t="s">
        <v>25</v>
      </c>
      <c r="B58" s="76">
        <f>Seasonal!B114/Seasonal!B121</f>
        <v>0</v>
      </c>
      <c r="C58" s="76">
        <f>Seasonal!C114/Seasonal!C121</f>
        <v>0</v>
      </c>
      <c r="D58" s="76">
        <f>Seasonal!D114/Seasonal!D121</f>
        <v>0.08059631959</v>
      </c>
      <c r="E58" s="76">
        <f>Seasonal!E114/Seasonal!E121</f>
        <v>0.1106210514</v>
      </c>
      <c r="F58" s="76">
        <f>Seasonal!F114/Seasonal!F121</f>
        <v>0.1167883212</v>
      </c>
      <c r="G58" s="76">
        <f>Seasonal!G114/Seasonal!G121</f>
        <v>0.1154457625</v>
      </c>
      <c r="H58" s="76">
        <f>Seasonal!H114/Seasonal!H121</f>
        <v>0.105845353</v>
      </c>
      <c r="I58" s="76">
        <f>Seasonal!I114/Seasonal!I121</f>
        <v>0.1100958827</v>
      </c>
      <c r="J58" s="76">
        <f>Seasonal!J114/Seasonal!J121</f>
        <v>0.1086181107</v>
      </c>
      <c r="K58" s="76">
        <f>Seasonal!K114/Seasonal!K121</f>
        <v>0.02434101164</v>
      </c>
      <c r="L58" s="76">
        <f>Seasonal!L114/Seasonal!L121</f>
        <v>0</v>
      </c>
      <c r="M58" s="76">
        <f>Seasonal!M114/Seasonal!M121</f>
        <v>0</v>
      </c>
      <c r="N58" s="76">
        <f>Seasonal!N114/Seasonal!N121</f>
        <v>0.05891276192</v>
      </c>
      <c r="O58" s="77"/>
      <c r="P58" s="78"/>
      <c r="Q58" s="79"/>
    </row>
    <row r="59">
      <c r="A59" s="75" t="s">
        <v>53</v>
      </c>
      <c r="B59" s="76">
        <f>Seasonal!B118/Seasonal!B121</f>
        <v>0.2752958223</v>
      </c>
      <c r="C59" s="76">
        <f>Seasonal!C118/Seasonal!C121</f>
        <v>0.2197477335</v>
      </c>
      <c r="D59" s="76">
        <f>Seasonal!D118/Seasonal!D121</f>
        <v>0</v>
      </c>
      <c r="E59" s="76">
        <f>Seasonal!E118/Seasonal!E121</f>
        <v>0</v>
      </c>
      <c r="F59" s="76">
        <f>Seasonal!F118/Seasonal!F121</f>
        <v>0</v>
      </c>
      <c r="G59" s="76">
        <f>Seasonal!G118/Seasonal!G121</f>
        <v>0</v>
      </c>
      <c r="H59" s="76">
        <f>Seasonal!H118/Seasonal!H121</f>
        <v>0</v>
      </c>
      <c r="I59" s="76">
        <f>Seasonal!I118/Seasonal!I121</f>
        <v>0</v>
      </c>
      <c r="J59" s="76">
        <f>Seasonal!J118/Seasonal!J121</f>
        <v>0</v>
      </c>
      <c r="K59" s="76">
        <f>Seasonal!K118/Seasonal!K121</f>
        <v>0</v>
      </c>
      <c r="L59" s="76">
        <f>Seasonal!L118/Seasonal!L121</f>
        <v>0</v>
      </c>
      <c r="M59" s="76">
        <f>Seasonal!M118/Seasonal!M121</f>
        <v>0.2693125443</v>
      </c>
      <c r="N59" s="76">
        <f>Seasonal!N118/Seasonal!N121</f>
        <v>0.08046058585</v>
      </c>
      <c r="O59" s="77"/>
      <c r="P59" s="78"/>
      <c r="Q59" s="79"/>
    </row>
    <row r="60">
      <c r="A60" s="80" t="s">
        <v>25</v>
      </c>
      <c r="B60" s="81">
        <v>0.0303</v>
      </c>
      <c r="C60" s="81">
        <v>0.0303</v>
      </c>
      <c r="D60" s="81">
        <v>0.0303</v>
      </c>
      <c r="E60" s="81">
        <v>0.0303</v>
      </c>
      <c r="F60" s="81">
        <v>0.0303</v>
      </c>
      <c r="G60" s="81">
        <v>0.0303</v>
      </c>
      <c r="H60" s="81">
        <v>0.0303</v>
      </c>
      <c r="I60" s="81">
        <v>0.0303</v>
      </c>
      <c r="J60" s="81">
        <v>0.0303</v>
      </c>
      <c r="K60" s="81">
        <v>0.0303</v>
      </c>
      <c r="L60" s="81">
        <v>0.0303</v>
      </c>
      <c r="M60" s="81">
        <v>0.0303</v>
      </c>
      <c r="N60" s="81">
        <v>0.0303</v>
      </c>
      <c r="O60" s="82"/>
      <c r="P60" s="83"/>
      <c r="Q60" s="84"/>
    </row>
    <row r="61">
      <c r="A61" s="80" t="s">
        <v>54</v>
      </c>
      <c r="B61" s="81">
        <v>0.1212</v>
      </c>
      <c r="C61" s="81">
        <v>0.1212</v>
      </c>
      <c r="D61" s="81">
        <v>0.1212</v>
      </c>
      <c r="E61" s="81">
        <v>0.1212</v>
      </c>
      <c r="F61" s="81">
        <v>0.1212</v>
      </c>
      <c r="G61" s="81">
        <v>0.1212</v>
      </c>
      <c r="H61" s="81">
        <v>0.1212</v>
      </c>
      <c r="I61" s="81">
        <v>0.1212</v>
      </c>
      <c r="J61" s="81">
        <v>0.1212</v>
      </c>
      <c r="K61" s="81">
        <v>0.1212</v>
      </c>
      <c r="L61" s="81">
        <v>0.1212</v>
      </c>
      <c r="M61" s="81">
        <v>0.1212</v>
      </c>
      <c r="N61" s="81">
        <v>0.1212</v>
      </c>
      <c r="O61" s="82"/>
      <c r="P61" s="85"/>
      <c r="Q61" s="79"/>
    </row>
    <row r="62">
      <c r="A62" s="80" t="s">
        <v>29</v>
      </c>
      <c r="B62" s="81">
        <v>0.8485</v>
      </c>
      <c r="C62" s="81">
        <v>0.8485</v>
      </c>
      <c r="D62" s="81">
        <v>0.8485</v>
      </c>
      <c r="E62" s="81">
        <v>0.8485</v>
      </c>
      <c r="F62" s="81">
        <v>0.8485</v>
      </c>
      <c r="G62" s="81">
        <v>0.8485</v>
      </c>
      <c r="H62" s="81">
        <v>0.8485</v>
      </c>
      <c r="I62" s="81">
        <v>0.8485</v>
      </c>
      <c r="J62" s="81">
        <v>0.8485</v>
      </c>
      <c r="K62" s="81">
        <v>0.8485</v>
      </c>
      <c r="L62" s="81">
        <v>0.8485</v>
      </c>
      <c r="M62" s="81">
        <v>0.8485</v>
      </c>
      <c r="N62" s="81">
        <v>0.8485</v>
      </c>
      <c r="O62" s="82"/>
      <c r="P62" s="85"/>
      <c r="Q62" s="86"/>
    </row>
    <row r="63">
      <c r="A63" s="75" t="s">
        <v>20</v>
      </c>
      <c r="B63" s="76">
        <f>Seasonal!B119/Seasonal!B121</f>
        <v>0.6036384126</v>
      </c>
      <c r="C63" s="76">
        <f>Seasonal!C119/Seasonal!C121</f>
        <v>0.6464327946</v>
      </c>
      <c r="D63" s="76">
        <f>Seasonal!D119/Seasonal!D121</f>
        <v>0.7442348008</v>
      </c>
      <c r="E63" s="76">
        <f>Seasonal!E119/Seasonal!E121</f>
        <v>0.7159375373</v>
      </c>
      <c r="F63" s="76">
        <f>Seasonal!F119/Seasonal!F121</f>
        <v>0.7032427905</v>
      </c>
      <c r="G63" s="76">
        <f>Seasonal!G119/Seasonal!G121</f>
        <v>0.7066161184</v>
      </c>
      <c r="H63" s="76">
        <f>Seasonal!H119/Seasonal!H121</f>
        <v>0.7310486932</v>
      </c>
      <c r="I63" s="76">
        <f>Seasonal!I119/Seasonal!I121</f>
        <v>0.7202481669</v>
      </c>
      <c r="J63" s="76">
        <f>Seasonal!J119/Seasonal!J121</f>
        <v>0.7239673225</v>
      </c>
      <c r="K63" s="76">
        <f>Seasonal!K119/Seasonal!K121</f>
        <v>0.7970790786</v>
      </c>
      <c r="L63" s="76">
        <f>Seasonal!L119/Seasonal!L121</f>
        <v>0.8336762689</v>
      </c>
      <c r="M63" s="76">
        <f>Seasonal!M119/Seasonal!M121</f>
        <v>0.6122529333</v>
      </c>
      <c r="N63" s="76">
        <f>Seasonal!N119/Seasonal!N121</f>
        <v>0.703555524</v>
      </c>
      <c r="O63" s="77"/>
      <c r="P63" s="85"/>
      <c r="Q63" s="79"/>
    </row>
    <row r="64">
      <c r="A64" s="87" t="s">
        <v>29</v>
      </c>
      <c r="B64" s="81">
        <v>0.291</v>
      </c>
      <c r="C64" s="81">
        <v>0.291</v>
      </c>
      <c r="D64" s="81">
        <v>0.291</v>
      </c>
      <c r="E64" s="81">
        <v>0.291</v>
      </c>
      <c r="F64" s="81">
        <v>0.291</v>
      </c>
      <c r="G64" s="81">
        <v>0.291</v>
      </c>
      <c r="H64" s="81">
        <v>0.291</v>
      </c>
      <c r="I64" s="81">
        <v>0.291</v>
      </c>
      <c r="J64" s="81">
        <v>0.291</v>
      </c>
      <c r="K64" s="81">
        <v>0.291</v>
      </c>
      <c r="L64" s="81">
        <v>0.291</v>
      </c>
      <c r="M64" s="81">
        <v>0.291</v>
      </c>
      <c r="N64" s="81">
        <v>0.291</v>
      </c>
      <c r="O64" s="88"/>
      <c r="Q64" s="89"/>
    </row>
    <row r="65">
      <c r="A65" s="90" t="s">
        <v>27</v>
      </c>
      <c r="B65" s="81">
        <v>0.277</v>
      </c>
      <c r="C65" s="81">
        <v>0.277</v>
      </c>
      <c r="D65" s="81">
        <v>0.277</v>
      </c>
      <c r="E65" s="81">
        <v>0.277</v>
      </c>
      <c r="F65" s="81">
        <v>0.277</v>
      </c>
      <c r="G65" s="81">
        <v>0.277</v>
      </c>
      <c r="H65" s="81">
        <v>0.277</v>
      </c>
      <c r="I65" s="81">
        <v>0.277</v>
      </c>
      <c r="J65" s="81">
        <v>0.277</v>
      </c>
      <c r="K65" s="81">
        <v>0.277</v>
      </c>
      <c r="L65" s="81">
        <v>0.277</v>
      </c>
      <c r="M65" s="81">
        <v>0.277</v>
      </c>
      <c r="N65" s="81">
        <v>0.277</v>
      </c>
      <c r="O65" s="88"/>
      <c r="Q65" s="89"/>
    </row>
    <row r="66">
      <c r="A66" s="87" t="s">
        <v>25</v>
      </c>
      <c r="B66" s="81">
        <v>0.1767</v>
      </c>
      <c r="C66" s="81">
        <v>0.1767</v>
      </c>
      <c r="D66" s="81">
        <v>0.1767</v>
      </c>
      <c r="E66" s="81">
        <v>0.1767</v>
      </c>
      <c r="F66" s="81">
        <v>0.1767</v>
      </c>
      <c r="G66" s="81">
        <v>0.1767</v>
      </c>
      <c r="H66" s="81">
        <v>0.1767</v>
      </c>
      <c r="I66" s="81">
        <v>0.1767</v>
      </c>
      <c r="J66" s="81">
        <v>0.1767</v>
      </c>
      <c r="K66" s="81">
        <v>0.1767</v>
      </c>
      <c r="L66" s="81">
        <v>0.1767</v>
      </c>
      <c r="M66" s="81">
        <v>0.1767</v>
      </c>
      <c r="N66" s="81">
        <v>0.1767</v>
      </c>
      <c r="O66" s="88"/>
      <c r="Q66" s="89"/>
    </row>
    <row r="67">
      <c r="A67" s="90" t="s">
        <v>26</v>
      </c>
      <c r="B67" s="81">
        <v>0.2334</v>
      </c>
      <c r="C67" s="81">
        <v>0.2334</v>
      </c>
      <c r="D67" s="81">
        <v>0.2334</v>
      </c>
      <c r="E67" s="81">
        <v>0.2334</v>
      </c>
      <c r="F67" s="81">
        <v>0.2334</v>
      </c>
      <c r="G67" s="81">
        <v>0.2334</v>
      </c>
      <c r="H67" s="81">
        <v>0.2334</v>
      </c>
      <c r="I67" s="81">
        <v>0.2334</v>
      </c>
      <c r="J67" s="81">
        <v>0.2334</v>
      </c>
      <c r="K67" s="81">
        <v>0.2334</v>
      </c>
      <c r="L67" s="81">
        <v>0.2334</v>
      </c>
      <c r="M67" s="81">
        <v>0.2334</v>
      </c>
      <c r="N67" s="81">
        <v>0.2334</v>
      </c>
      <c r="O67" s="88"/>
      <c r="Q67" s="89"/>
    </row>
    <row r="68">
      <c r="A68" s="87" t="s">
        <v>28</v>
      </c>
      <c r="B68" s="81">
        <v>0.0152</v>
      </c>
      <c r="C68" s="81">
        <v>0.0152</v>
      </c>
      <c r="D68" s="81">
        <v>0.0152</v>
      </c>
      <c r="E68" s="81">
        <v>0.0152</v>
      </c>
      <c r="F68" s="81">
        <v>0.0152</v>
      </c>
      <c r="G68" s="81">
        <v>0.0152</v>
      </c>
      <c r="H68" s="81">
        <v>0.0152</v>
      </c>
      <c r="I68" s="81">
        <v>0.0152</v>
      </c>
      <c r="J68" s="81">
        <v>0.0152</v>
      </c>
      <c r="K68" s="81">
        <v>0.0152</v>
      </c>
      <c r="L68" s="81">
        <v>0.0152</v>
      </c>
      <c r="M68" s="81">
        <v>0.0152</v>
      </c>
      <c r="N68" s="81">
        <v>0.0152</v>
      </c>
      <c r="O68" s="88"/>
      <c r="Q68" s="89"/>
    </row>
    <row r="69">
      <c r="A69" s="91" t="s">
        <v>55</v>
      </c>
      <c r="B69" s="92">
        <f t="shared" ref="B69:N69" si="2">B58+B63*B66+B59*B60</f>
        <v>0.1150043709</v>
      </c>
      <c r="C69" s="92">
        <f t="shared" si="2"/>
        <v>0.1208830311</v>
      </c>
      <c r="D69" s="92">
        <f t="shared" si="2"/>
        <v>0.2121026089</v>
      </c>
      <c r="E69" s="92">
        <f t="shared" si="2"/>
        <v>0.2371272142</v>
      </c>
      <c r="F69" s="92">
        <f t="shared" si="2"/>
        <v>0.2410513222</v>
      </c>
      <c r="G69" s="92">
        <f t="shared" si="2"/>
        <v>0.2403048306</v>
      </c>
      <c r="H69" s="92">
        <f t="shared" si="2"/>
        <v>0.2350216571</v>
      </c>
      <c r="I69" s="92">
        <f t="shared" si="2"/>
        <v>0.2373637338</v>
      </c>
      <c r="J69" s="92">
        <f t="shared" si="2"/>
        <v>0.2365431366</v>
      </c>
      <c r="K69" s="92">
        <f t="shared" si="2"/>
        <v>0.1651848848</v>
      </c>
      <c r="L69" s="92">
        <f t="shared" si="2"/>
        <v>0.1473105967</v>
      </c>
      <c r="M69" s="92">
        <f t="shared" si="2"/>
        <v>0.1163452634</v>
      </c>
      <c r="N69" s="92">
        <f t="shared" si="2"/>
        <v>0.1856689788</v>
      </c>
      <c r="O69" s="93">
        <f t="shared" ref="O69:O73" si="4">P77/$P$82</f>
        <v>0.1849056604</v>
      </c>
      <c r="P69" s="94"/>
      <c r="Q69" s="95"/>
    </row>
    <row r="70">
      <c r="A70" s="91" t="s">
        <v>56</v>
      </c>
      <c r="B70" s="92">
        <f t="shared" ref="B70:N70" si="3">B59*B62+B63*B64</f>
        <v>0.4092472833</v>
      </c>
      <c r="C70" s="92">
        <f t="shared" si="3"/>
        <v>0.3745678952</v>
      </c>
      <c r="D70" s="92">
        <f t="shared" si="3"/>
        <v>0.216572327</v>
      </c>
      <c r="E70" s="92">
        <f t="shared" si="3"/>
        <v>0.2083378233</v>
      </c>
      <c r="F70" s="92">
        <f t="shared" si="3"/>
        <v>0.204643652</v>
      </c>
      <c r="G70" s="92">
        <f t="shared" si="3"/>
        <v>0.2056252904</v>
      </c>
      <c r="H70" s="92">
        <f t="shared" si="3"/>
        <v>0.2127351697</v>
      </c>
      <c r="I70" s="92">
        <f t="shared" si="3"/>
        <v>0.2095922166</v>
      </c>
      <c r="J70" s="92">
        <f t="shared" si="3"/>
        <v>0.2106744909</v>
      </c>
      <c r="K70" s="92">
        <f t="shared" si="3"/>
        <v>0.2319500119</v>
      </c>
      <c r="L70" s="92">
        <f t="shared" si="3"/>
        <v>0.2425997942</v>
      </c>
      <c r="M70" s="92">
        <f t="shared" si="3"/>
        <v>0.4066772974</v>
      </c>
      <c r="N70" s="92">
        <f t="shared" si="3"/>
        <v>0.2730054646</v>
      </c>
      <c r="O70" s="93">
        <f t="shared" si="4"/>
        <v>0.2867924528</v>
      </c>
      <c r="P70" s="94"/>
      <c r="Q70" s="95"/>
    </row>
    <row r="71">
      <c r="A71" s="96" t="s">
        <v>57</v>
      </c>
      <c r="B71" s="92">
        <f t="shared" ref="B71:N71" si="5">B59*B61+B63*B65</f>
        <v>0.200573694</v>
      </c>
      <c r="C71" s="92">
        <f t="shared" si="5"/>
        <v>0.2056953094</v>
      </c>
      <c r="D71" s="92">
        <f t="shared" si="5"/>
        <v>0.2061530398</v>
      </c>
      <c r="E71" s="92">
        <f t="shared" si="5"/>
        <v>0.1983146978</v>
      </c>
      <c r="F71" s="92">
        <f t="shared" si="5"/>
        <v>0.194798253</v>
      </c>
      <c r="G71" s="92">
        <f t="shared" si="5"/>
        <v>0.1957326648</v>
      </c>
      <c r="H71" s="92">
        <f t="shared" si="5"/>
        <v>0.202500488</v>
      </c>
      <c r="I71" s="92">
        <f t="shared" si="5"/>
        <v>0.1995087422</v>
      </c>
      <c r="J71" s="92">
        <f t="shared" si="5"/>
        <v>0.2005389483</v>
      </c>
      <c r="K71" s="92">
        <f t="shared" si="5"/>
        <v>0.2207909048</v>
      </c>
      <c r="L71" s="92">
        <f t="shared" si="5"/>
        <v>0.2309283265</v>
      </c>
      <c r="M71" s="92">
        <f t="shared" si="5"/>
        <v>0.2022347429</v>
      </c>
      <c r="N71" s="92">
        <f t="shared" si="5"/>
        <v>0.2046367032</v>
      </c>
      <c r="O71" s="93">
        <f t="shared" si="4"/>
        <v>0.2</v>
      </c>
      <c r="P71" s="94"/>
      <c r="Q71" s="95"/>
    </row>
    <row r="72">
      <c r="A72" s="91" t="s">
        <v>58</v>
      </c>
      <c r="B72" s="92">
        <f t="shared" ref="B72:N72" si="6">B57+B63*B67</f>
        <v>0.2619549706</v>
      </c>
      <c r="C72" s="92">
        <f t="shared" si="6"/>
        <v>0.2846968861</v>
      </c>
      <c r="D72" s="92">
        <f t="shared" si="6"/>
        <v>0.3488732821</v>
      </c>
      <c r="E72" s="92">
        <f t="shared" si="6"/>
        <v>0.3405412326</v>
      </c>
      <c r="F72" s="92">
        <f t="shared" si="6"/>
        <v>0.3441057557</v>
      </c>
      <c r="G72" s="92">
        <f t="shared" si="6"/>
        <v>0.3428623211</v>
      </c>
      <c r="H72" s="92">
        <f t="shared" si="6"/>
        <v>0.3337327188</v>
      </c>
      <c r="I72" s="92">
        <f t="shared" si="6"/>
        <v>0.3377618725</v>
      </c>
      <c r="J72" s="92">
        <f t="shared" si="6"/>
        <v>0.3363885399</v>
      </c>
      <c r="K72" s="92">
        <f t="shared" si="6"/>
        <v>0.3646181667</v>
      </c>
      <c r="L72" s="92">
        <f t="shared" si="6"/>
        <v>0.3609037723</v>
      </c>
      <c r="M72" s="92">
        <f t="shared" si="6"/>
        <v>0.261334357</v>
      </c>
      <c r="N72" s="92">
        <f t="shared" si="6"/>
        <v>0.3212809875</v>
      </c>
      <c r="O72" s="93">
        <f t="shared" si="4"/>
        <v>0.3094339623</v>
      </c>
      <c r="P72" s="94"/>
      <c r="Q72" s="95"/>
    </row>
    <row r="73">
      <c r="A73" s="91" t="s">
        <v>59</v>
      </c>
      <c r="B73" s="92">
        <f t="shared" ref="B73:N73" si="7">B68*B63</f>
        <v>0.009175303872</v>
      </c>
      <c r="C73" s="92">
        <f t="shared" si="7"/>
        <v>0.009825778479</v>
      </c>
      <c r="D73" s="92">
        <f t="shared" si="7"/>
        <v>0.01131236897</v>
      </c>
      <c r="E73" s="92">
        <f t="shared" si="7"/>
        <v>0.01088225057</v>
      </c>
      <c r="F73" s="92">
        <f t="shared" si="7"/>
        <v>0.01068929042</v>
      </c>
      <c r="G73" s="92">
        <f t="shared" si="7"/>
        <v>0.010740565</v>
      </c>
      <c r="H73" s="92">
        <f t="shared" si="7"/>
        <v>0.01111194014</v>
      </c>
      <c r="I73" s="92">
        <f t="shared" si="7"/>
        <v>0.01094777214</v>
      </c>
      <c r="J73" s="92">
        <f t="shared" si="7"/>
        <v>0.0110043033</v>
      </c>
      <c r="K73" s="92">
        <f t="shared" si="7"/>
        <v>0.01211560199</v>
      </c>
      <c r="L73" s="92">
        <f t="shared" si="7"/>
        <v>0.01267187929</v>
      </c>
      <c r="M73" s="92">
        <f t="shared" si="7"/>
        <v>0.009306244586</v>
      </c>
      <c r="N73" s="92">
        <f t="shared" si="7"/>
        <v>0.01069404397</v>
      </c>
      <c r="O73" s="93">
        <f t="shared" si="4"/>
        <v>0.007547169811</v>
      </c>
      <c r="P73" s="94"/>
      <c r="Q73" s="95"/>
    </row>
    <row r="74">
      <c r="A74" s="91" t="s">
        <v>60</v>
      </c>
      <c r="B74" s="92">
        <f t="shared" ref="B74:O74" si="8">SUM(B69:B73)</f>
        <v>0.9959556226</v>
      </c>
      <c r="C74" s="92">
        <f t="shared" si="8"/>
        <v>0.9956689003</v>
      </c>
      <c r="D74" s="92">
        <f t="shared" si="8"/>
        <v>0.9950136268</v>
      </c>
      <c r="E74" s="92">
        <f t="shared" si="8"/>
        <v>0.9952032185</v>
      </c>
      <c r="F74" s="92">
        <f t="shared" si="8"/>
        <v>0.9952882733</v>
      </c>
      <c r="G74" s="92">
        <f t="shared" si="8"/>
        <v>0.995265672</v>
      </c>
      <c r="H74" s="92">
        <f t="shared" si="8"/>
        <v>0.9951019738</v>
      </c>
      <c r="I74" s="92">
        <f t="shared" si="8"/>
        <v>0.9951743373</v>
      </c>
      <c r="J74" s="92">
        <f t="shared" si="8"/>
        <v>0.9951494189</v>
      </c>
      <c r="K74" s="92">
        <f t="shared" si="8"/>
        <v>0.9946595702</v>
      </c>
      <c r="L74" s="92">
        <f t="shared" si="8"/>
        <v>0.994414369</v>
      </c>
      <c r="M74" s="92">
        <f t="shared" si="8"/>
        <v>0.9958979053</v>
      </c>
      <c r="N74" s="92">
        <f t="shared" si="8"/>
        <v>0.995286178</v>
      </c>
      <c r="O74" s="93">
        <f t="shared" si="8"/>
        <v>0.9886792453</v>
      </c>
      <c r="P74" s="94"/>
      <c r="Q74" s="95"/>
    </row>
    <row r="75">
      <c r="A75" s="97" t="s">
        <v>61</v>
      </c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>
      <c r="A76" s="99" t="s">
        <v>62</v>
      </c>
      <c r="B76" s="93" t="s">
        <v>1</v>
      </c>
      <c r="C76" s="93" t="s">
        <v>2</v>
      </c>
      <c r="D76" s="93" t="s">
        <v>3</v>
      </c>
      <c r="E76" s="93" t="s">
        <v>4</v>
      </c>
      <c r="F76" s="93" t="s">
        <v>5</v>
      </c>
      <c r="G76" s="93" t="s">
        <v>6</v>
      </c>
      <c r="H76" s="93" t="s">
        <v>7</v>
      </c>
      <c r="I76" s="93" t="s">
        <v>8</v>
      </c>
      <c r="J76" s="93" t="s">
        <v>9</v>
      </c>
      <c r="K76" s="93" t="s">
        <v>10</v>
      </c>
      <c r="L76" s="93" t="s">
        <v>11</v>
      </c>
      <c r="M76" s="93" t="s">
        <v>12</v>
      </c>
      <c r="N76" s="93" t="s">
        <v>13</v>
      </c>
      <c r="O76" s="100" t="s">
        <v>63</v>
      </c>
      <c r="P76" s="100" t="s">
        <v>43</v>
      </c>
    </row>
    <row r="77">
      <c r="A77" s="101" t="s">
        <v>25</v>
      </c>
      <c r="B77" s="102">
        <f t="shared" ref="B77:B81" si="10">B69*$B$84</f>
        <v>3.073185965</v>
      </c>
      <c r="C77" s="102">
        <f t="shared" ref="C77:M77" si="9">C69*C$84</f>
        <v>3.218288744</v>
      </c>
      <c r="D77" s="102">
        <f t="shared" si="9"/>
        <v>4.934463076</v>
      </c>
      <c r="E77" s="102">
        <f t="shared" si="9"/>
        <v>4.978284126</v>
      </c>
      <c r="F77" s="102">
        <f t="shared" si="9"/>
        <v>4.702329266</v>
      </c>
      <c r="G77" s="102">
        <f t="shared" si="9"/>
        <v>4.598840653</v>
      </c>
      <c r="H77" s="102">
        <f t="shared" si="9"/>
        <v>4.388972088</v>
      </c>
      <c r="I77" s="102">
        <f t="shared" si="9"/>
        <v>4.488815925</v>
      </c>
      <c r="J77" s="102">
        <f t="shared" si="9"/>
        <v>4.546578995</v>
      </c>
      <c r="K77" s="102">
        <f t="shared" si="9"/>
        <v>3.615723111</v>
      </c>
      <c r="L77" s="102">
        <f t="shared" si="9"/>
        <v>3.507472863</v>
      </c>
      <c r="M77" s="102">
        <f t="shared" si="9"/>
        <v>3.104853553</v>
      </c>
      <c r="N77" s="102">
        <f t="shared" ref="N77:N81" si="12">Sum(B77:M77)</f>
        <v>49.15780836</v>
      </c>
      <c r="O77" s="103">
        <v>49.0</v>
      </c>
      <c r="P77" s="103">
        <v>49.0</v>
      </c>
    </row>
    <row r="78">
      <c r="A78" s="101" t="s">
        <v>64</v>
      </c>
      <c r="B78" s="102">
        <f t="shared" si="10"/>
        <v>10.93604528</v>
      </c>
      <c r="C78" s="102">
        <f t="shared" ref="C78:M78" si="11">C70*C$84</f>
        <v>9.972182444</v>
      </c>
      <c r="D78" s="102">
        <f t="shared" si="11"/>
        <v>5.038448875</v>
      </c>
      <c r="E78" s="102">
        <f t="shared" si="11"/>
        <v>4.373875357</v>
      </c>
      <c r="F78" s="102">
        <f t="shared" si="11"/>
        <v>3.992103528</v>
      </c>
      <c r="G78" s="102">
        <f t="shared" si="11"/>
        <v>3.935159949</v>
      </c>
      <c r="H78" s="102">
        <f t="shared" si="11"/>
        <v>3.972777375</v>
      </c>
      <c r="I78" s="102">
        <f t="shared" si="11"/>
        <v>3.963625212</v>
      </c>
      <c r="J78" s="102">
        <f t="shared" si="11"/>
        <v>4.049359574</v>
      </c>
      <c r="K78" s="102">
        <f t="shared" si="11"/>
        <v>5.077141406</v>
      </c>
      <c r="L78" s="102">
        <f t="shared" si="11"/>
        <v>5.776313543</v>
      </c>
      <c r="M78" s="102">
        <f t="shared" si="11"/>
        <v>10.85281355</v>
      </c>
      <c r="N78" s="102">
        <f t="shared" si="12"/>
        <v>71.93984609</v>
      </c>
      <c r="O78" s="45">
        <v>69.0</v>
      </c>
      <c r="P78" s="45">
        <v>76.0</v>
      </c>
    </row>
    <row r="79">
      <c r="A79" s="101" t="s">
        <v>54</v>
      </c>
      <c r="B79" s="102">
        <f t="shared" si="10"/>
        <v>5.359798556</v>
      </c>
      <c r="C79" s="102">
        <f t="shared" ref="C79:M79" si="13">C71*C$84</f>
        <v>5.476259925</v>
      </c>
      <c r="D79" s="102">
        <f t="shared" si="13"/>
        <v>4.796049273</v>
      </c>
      <c r="E79" s="102">
        <f t="shared" si="13"/>
        <v>4.163448364</v>
      </c>
      <c r="F79" s="102">
        <f t="shared" si="13"/>
        <v>3.800043565</v>
      </c>
      <c r="G79" s="102">
        <f t="shared" si="13"/>
        <v>3.745839539</v>
      </c>
      <c r="H79" s="102">
        <f t="shared" si="13"/>
        <v>3.781647192</v>
      </c>
      <c r="I79" s="102">
        <f t="shared" si="13"/>
        <v>3.772935339</v>
      </c>
      <c r="J79" s="102">
        <f t="shared" si="13"/>
        <v>3.854545024</v>
      </c>
      <c r="K79" s="102">
        <f t="shared" si="13"/>
        <v>4.832880308</v>
      </c>
      <c r="L79" s="102">
        <f t="shared" si="13"/>
        <v>5.498415297</v>
      </c>
      <c r="M79" s="102">
        <f t="shared" si="13"/>
        <v>5.396947341</v>
      </c>
      <c r="N79" s="102">
        <f t="shared" si="12"/>
        <v>54.47880972</v>
      </c>
      <c r="O79" s="45">
        <v>46.0</v>
      </c>
      <c r="P79" s="45">
        <v>53.0</v>
      </c>
    </row>
    <row r="80">
      <c r="A80" s="101" t="s">
        <v>26</v>
      </c>
      <c r="B80" s="102">
        <f t="shared" si="10"/>
        <v>7.000049935</v>
      </c>
      <c r="C80" s="102">
        <f t="shared" ref="C80:M80" si="14">C72*C$84</f>
        <v>7.579531845</v>
      </c>
      <c r="D80" s="102">
        <f t="shared" si="14"/>
        <v>8.116365648</v>
      </c>
      <c r="E80" s="102">
        <f t="shared" si="14"/>
        <v>7.149373461</v>
      </c>
      <c r="F80" s="102">
        <f t="shared" si="14"/>
        <v>6.712672432</v>
      </c>
      <c r="G80" s="102">
        <f t="shared" si="14"/>
        <v>6.561537597</v>
      </c>
      <c r="H80" s="102">
        <f t="shared" si="14"/>
        <v>6.232377074</v>
      </c>
      <c r="I80" s="102">
        <f t="shared" si="14"/>
        <v>6.387457967</v>
      </c>
      <c r="J80" s="102">
        <f t="shared" si="14"/>
        <v>6.46570047</v>
      </c>
      <c r="K80" s="102">
        <f t="shared" si="14"/>
        <v>7.981107553</v>
      </c>
      <c r="L80" s="102">
        <f t="shared" si="14"/>
        <v>8.593137329</v>
      </c>
      <c r="M80" s="102">
        <f t="shared" si="14"/>
        <v>6.974112079</v>
      </c>
      <c r="N80" s="102">
        <f t="shared" si="12"/>
        <v>85.75342339</v>
      </c>
      <c r="O80" s="45">
        <v>61.0</v>
      </c>
      <c r="P80" s="104">
        <f>61+21</f>
        <v>82</v>
      </c>
    </row>
    <row r="81">
      <c r="A81" s="105" t="s">
        <v>28</v>
      </c>
      <c r="B81" s="102">
        <f t="shared" si="10"/>
        <v>0.2451855948</v>
      </c>
      <c r="C81" s="102">
        <f t="shared" ref="C81:M81" si="15">C73*C$84</f>
        <v>0.2615933103</v>
      </c>
      <c r="D81" s="102">
        <f t="shared" si="15"/>
        <v>0.263176711</v>
      </c>
      <c r="E81" s="102">
        <f t="shared" si="15"/>
        <v>0.2284635925</v>
      </c>
      <c r="F81" s="102">
        <f t="shared" si="15"/>
        <v>0.2085222462</v>
      </c>
      <c r="G81" s="102">
        <f t="shared" si="15"/>
        <v>0.2055478736</v>
      </c>
      <c r="H81" s="102">
        <f t="shared" si="15"/>
        <v>0.2075127701</v>
      </c>
      <c r="I81" s="102">
        <f t="shared" si="15"/>
        <v>0.207034719</v>
      </c>
      <c r="J81" s="102">
        <f t="shared" si="15"/>
        <v>0.21151294</v>
      </c>
      <c r="K81" s="102">
        <f t="shared" si="15"/>
        <v>0.2651977642</v>
      </c>
      <c r="L81" s="102">
        <f t="shared" si="15"/>
        <v>0.3017180957</v>
      </c>
      <c r="M81" s="102">
        <f t="shared" si="15"/>
        <v>0.2483515505</v>
      </c>
      <c r="N81" s="102">
        <f t="shared" si="12"/>
        <v>2.853817168</v>
      </c>
      <c r="O81" s="45">
        <v>2.0</v>
      </c>
      <c r="P81" s="45">
        <v>2.0</v>
      </c>
    </row>
    <row r="82">
      <c r="A82" s="105" t="s">
        <v>65</v>
      </c>
      <c r="B82" s="106">
        <f>SUM(B77:B81)</f>
        <v>26.61426533</v>
      </c>
      <c r="C82" s="102">
        <f t="shared" ref="C82:M82" si="16">C74*B$84</f>
        <v>26.60660343</v>
      </c>
      <c r="D82" s="102">
        <f t="shared" si="16"/>
        <v>26.49041082</v>
      </c>
      <c r="E82" s="102">
        <f t="shared" si="16"/>
        <v>23.15291434</v>
      </c>
      <c r="F82" s="102">
        <f t="shared" si="16"/>
        <v>20.89523055</v>
      </c>
      <c r="G82" s="102">
        <f t="shared" si="16"/>
        <v>19.41523014</v>
      </c>
      <c r="H82" s="102">
        <f t="shared" si="16"/>
        <v>19.04379283</v>
      </c>
      <c r="I82" s="102">
        <f t="shared" si="16"/>
        <v>18.58463787</v>
      </c>
      <c r="J82" s="102">
        <f t="shared" si="16"/>
        <v>18.81939793</v>
      </c>
      <c r="K82" s="102">
        <f t="shared" si="16"/>
        <v>19.11828166</v>
      </c>
      <c r="L82" s="102">
        <f t="shared" si="16"/>
        <v>21.76668295</v>
      </c>
      <c r="M82" s="102">
        <f t="shared" si="16"/>
        <v>23.7123802</v>
      </c>
      <c r="N82" s="93">
        <f t="shared" ref="N82:N83" si="17">SUM(B82:M82)</f>
        <v>264.219828</v>
      </c>
      <c r="O82" s="45">
        <v>228.0</v>
      </c>
      <c r="P82" s="45">
        <v>265.0</v>
      </c>
    </row>
    <row r="83">
      <c r="A83" s="105" t="s">
        <v>66</v>
      </c>
      <c r="B83" s="102">
        <v>29.017939094249</v>
      </c>
      <c r="C83" s="102">
        <v>27.6885757665703</v>
      </c>
      <c r="D83" s="102">
        <v>25.4277086101572</v>
      </c>
      <c r="E83" s="102">
        <v>23.3707519560371</v>
      </c>
      <c r="F83" s="102">
        <v>24.2659768544385</v>
      </c>
      <c r="G83" s="102">
        <v>24.2855981774762</v>
      </c>
      <c r="H83" s="102">
        <v>24.4443190852251</v>
      </c>
      <c r="I83" s="102">
        <v>23.8264512166402</v>
      </c>
      <c r="J83" s="102">
        <v>23.9070643692326</v>
      </c>
      <c r="K83" s="102">
        <v>24.934553520835</v>
      </c>
      <c r="L83" s="102">
        <v>25.2198475004821</v>
      </c>
      <c r="M83" s="102">
        <v>27.6308984294815</v>
      </c>
      <c r="N83" s="93">
        <f t="shared" si="17"/>
        <v>304.0196846</v>
      </c>
      <c r="O83" s="45">
        <v>254.0</v>
      </c>
      <c r="P83" s="104"/>
    </row>
    <row r="84">
      <c r="A84" s="107" t="s">
        <v>67</v>
      </c>
      <c r="B84" s="108">
        <v>26.7223405560951</v>
      </c>
      <c r="C84" s="108">
        <v>26.6231638460112</v>
      </c>
      <c r="D84" s="108">
        <v>23.2645091068917</v>
      </c>
      <c r="E84" s="108">
        <v>20.9941492472436</v>
      </c>
      <c r="F84" s="108">
        <v>19.5075854480436</v>
      </c>
      <c r="G84" s="108">
        <v>19.1375289502982</v>
      </c>
      <c r="H84" s="108">
        <v>18.6747559440404</v>
      </c>
      <c r="I84" s="108">
        <v>18.9111278861492</v>
      </c>
      <c r="J84" s="108">
        <v>19.2209296815015</v>
      </c>
      <c r="K84" s="108">
        <v>21.8889465241713</v>
      </c>
      <c r="L84" s="108">
        <v>23.81005128864</v>
      </c>
      <c r="M84" s="108">
        <v>26.6865488264046</v>
      </c>
      <c r="N84" s="108">
        <v>265.441637305491</v>
      </c>
      <c r="O84" s="104"/>
      <c r="P84" s="104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23">
      <c r="A123" s="8" t="s">
        <v>68</v>
      </c>
    </row>
    <row r="124">
      <c r="A124" s="109" t="s">
        <v>69</v>
      </c>
      <c r="B124" s="109" t="s">
        <v>70</v>
      </c>
      <c r="C124" s="109" t="s">
        <v>71</v>
      </c>
      <c r="D124" s="109" t="s">
        <v>72</v>
      </c>
      <c r="E124" s="109" t="s">
        <v>73</v>
      </c>
      <c r="F124" s="110" t="s">
        <v>74</v>
      </c>
      <c r="G124" s="109" t="s">
        <v>75</v>
      </c>
    </row>
    <row r="125">
      <c r="A125" s="111" t="s">
        <v>25</v>
      </c>
      <c r="B125" s="112">
        <v>0.0</v>
      </c>
      <c r="C125" s="112">
        <v>0.0</v>
      </c>
      <c r="D125" s="112">
        <v>0.0</v>
      </c>
      <c r="E125" s="112">
        <v>-1.27</v>
      </c>
      <c r="F125" s="112">
        <v>-2.18</v>
      </c>
      <c r="G125" s="113">
        <f t="shared" ref="G125:G128" si="18">SUM(B125:F125)</f>
        <v>-3.45</v>
      </c>
    </row>
    <row r="126">
      <c r="A126" s="111" t="s">
        <v>29</v>
      </c>
      <c r="B126" s="114">
        <v>-6.17085405329227</v>
      </c>
      <c r="C126" s="114">
        <v>-5.467827529942954</v>
      </c>
      <c r="D126" s="115">
        <v>-1.9226583294746906</v>
      </c>
      <c r="E126" s="114">
        <v>-2.5163573972281603</v>
      </c>
      <c r="F126" s="114">
        <v>-6.149004644585828</v>
      </c>
      <c r="G126" s="113">
        <f t="shared" si="18"/>
        <v>-22.22670195</v>
      </c>
    </row>
    <row r="127">
      <c r="A127" s="116" t="s">
        <v>27</v>
      </c>
      <c r="B127" s="117">
        <v>0.0</v>
      </c>
      <c r="C127" s="117">
        <v>0.0</v>
      </c>
      <c r="D127" s="117">
        <v>0.0</v>
      </c>
      <c r="E127" s="118">
        <v>0.0</v>
      </c>
      <c r="F127" s="117">
        <v>0.0</v>
      </c>
      <c r="G127" s="119">
        <f t="shared" si="18"/>
        <v>0</v>
      </c>
    </row>
    <row r="128">
      <c r="A128" s="111" t="s">
        <v>76</v>
      </c>
      <c r="B128" s="120">
        <v>-3.13</v>
      </c>
      <c r="C128" s="121">
        <v>-3.39</v>
      </c>
      <c r="D128" s="121">
        <v>-2.5</v>
      </c>
      <c r="E128" s="122">
        <v>0.0</v>
      </c>
      <c r="F128" s="121">
        <v>-3.12</v>
      </c>
      <c r="G128" s="113">
        <f t="shared" si="18"/>
        <v>-12.14</v>
      </c>
    </row>
    <row r="129">
      <c r="A129" s="111" t="s">
        <v>75</v>
      </c>
      <c r="B129" s="123">
        <f t="shared" ref="B129:G129" si="19">SUM(B125:B128)</f>
        <v>-9.300854053</v>
      </c>
      <c r="C129" s="123">
        <f t="shared" si="19"/>
        <v>-8.85782753</v>
      </c>
      <c r="D129" s="123">
        <f t="shared" si="19"/>
        <v>-4.422658329</v>
      </c>
      <c r="E129" s="123">
        <f t="shared" si="19"/>
        <v>-3.786357397</v>
      </c>
      <c r="F129" s="123">
        <f t="shared" si="19"/>
        <v>-11.44900464</v>
      </c>
      <c r="G129" s="123">
        <f t="shared" si="19"/>
        <v>-37.81670195</v>
      </c>
    </row>
    <row r="130">
      <c r="A130" s="111" t="s">
        <v>77</v>
      </c>
      <c r="B130" s="124">
        <v>-6.5</v>
      </c>
      <c r="C130" s="123">
        <f t="shared" ref="C130:D130" si="20">C10-C82</f>
        <v>-8.005714434</v>
      </c>
      <c r="D130" s="123">
        <f t="shared" si="20"/>
        <v>-4.150005816</v>
      </c>
      <c r="E130" s="123">
        <f>L10-L84</f>
        <v>-3.387234289</v>
      </c>
      <c r="F130" s="124">
        <v>-11.4</v>
      </c>
      <c r="G130" s="113">
        <f>SUM(B130:F130)</f>
        <v>-33.44295454</v>
      </c>
    </row>
    <row r="131">
      <c r="A131" s="7"/>
    </row>
    <row r="132">
      <c r="A132" s="7"/>
      <c r="F132" s="122" t="s">
        <v>78</v>
      </c>
    </row>
    <row r="133">
      <c r="A133" s="7"/>
    </row>
    <row r="134">
      <c r="A134" s="7"/>
    </row>
    <row r="135">
      <c r="A135" s="8" t="s">
        <v>79</v>
      </c>
    </row>
    <row r="136">
      <c r="A136" s="125" t="s">
        <v>80</v>
      </c>
      <c r="B136" s="126" t="s">
        <v>1</v>
      </c>
      <c r="C136" s="126" t="s">
        <v>2</v>
      </c>
      <c r="D136" s="126" t="s">
        <v>3</v>
      </c>
      <c r="E136" s="126" t="s">
        <v>4</v>
      </c>
      <c r="F136" s="126" t="s">
        <v>5</v>
      </c>
      <c r="G136" s="126" t="s">
        <v>6</v>
      </c>
      <c r="H136" s="126" t="s">
        <v>7</v>
      </c>
      <c r="I136" s="126" t="s">
        <v>8</v>
      </c>
      <c r="J136" s="126" t="s">
        <v>9</v>
      </c>
      <c r="K136" s="126" t="s">
        <v>10</v>
      </c>
      <c r="L136" s="126" t="s">
        <v>11</v>
      </c>
      <c r="M136" s="126" t="s">
        <v>12</v>
      </c>
      <c r="N136" s="126" t="s">
        <v>13</v>
      </c>
    </row>
    <row r="137">
      <c r="A137" s="127" t="s">
        <v>25</v>
      </c>
      <c r="B137" s="128">
        <f t="shared" ref="B137:D137" si="21">B77+B125</f>
        <v>3.073185965</v>
      </c>
      <c r="C137" s="128">
        <f t="shared" si="21"/>
        <v>3.218288744</v>
      </c>
      <c r="D137" s="128">
        <f t="shared" si="21"/>
        <v>4.934463076</v>
      </c>
      <c r="E137" s="128">
        <f>'Industry Sector'!L106</f>
        <v>4.631693432</v>
      </c>
      <c r="F137" s="128">
        <f>'Industry Sector'!N106</f>
        <v>4.374950691</v>
      </c>
      <c r="G137" s="128">
        <f>'Industry Sector'!P106</f>
        <v>4.278667008</v>
      </c>
      <c r="H137" s="128">
        <f>'Industry Sector'!R106</f>
        <v>4.0834096</v>
      </c>
      <c r="I137" s="128">
        <f>'Industry Sector'!T106</f>
        <v>4.176302258</v>
      </c>
      <c r="J137" s="128">
        <f>'Industry Sector'!V106</f>
        <v>3.263280804</v>
      </c>
      <c r="K137" s="128">
        <f>'Industry Sector'!X106</f>
        <v>3.363994613</v>
      </c>
      <c r="L137" s="128">
        <f t="shared" ref="L137:M137" si="22">L77+E125</f>
        <v>2.237472863</v>
      </c>
      <c r="M137" s="128">
        <f t="shared" si="22"/>
        <v>0.9248535526</v>
      </c>
      <c r="N137" s="128">
        <f t="shared" ref="N137:N141" si="26">Sum(B137:M137)</f>
        <v>42.56056261</v>
      </c>
    </row>
    <row r="138">
      <c r="A138" s="127" t="s">
        <v>64</v>
      </c>
      <c r="B138" s="128">
        <f t="shared" ref="B138:D138" si="23">B78+B126</f>
        <v>4.765191222</v>
      </c>
      <c r="C138" s="128">
        <f t="shared" si="23"/>
        <v>4.504354914</v>
      </c>
      <c r="D138" s="128">
        <f t="shared" si="23"/>
        <v>3.115790545</v>
      </c>
      <c r="E138" s="128">
        <f t="shared" ref="E138:K138" si="24">E78</f>
        <v>4.373875357</v>
      </c>
      <c r="F138" s="128">
        <f t="shared" si="24"/>
        <v>3.992103528</v>
      </c>
      <c r="G138" s="128">
        <f t="shared" si="24"/>
        <v>3.935159949</v>
      </c>
      <c r="H138" s="128">
        <f t="shared" si="24"/>
        <v>3.972777375</v>
      </c>
      <c r="I138" s="128">
        <f t="shared" si="24"/>
        <v>3.963625212</v>
      </c>
      <c r="J138" s="128">
        <f t="shared" si="24"/>
        <v>4.049359574</v>
      </c>
      <c r="K138" s="128">
        <f t="shared" si="24"/>
        <v>5.077141406</v>
      </c>
      <c r="L138" s="128">
        <f t="shared" ref="L138:M138" si="25">L78+E126</f>
        <v>3.259956146</v>
      </c>
      <c r="M138" s="128">
        <f t="shared" si="25"/>
        <v>4.70380891</v>
      </c>
      <c r="N138" s="128">
        <f t="shared" si="26"/>
        <v>49.71314414</v>
      </c>
    </row>
    <row r="139">
      <c r="A139" s="127" t="s">
        <v>54</v>
      </c>
      <c r="B139" s="128">
        <v>5.359798556453126</v>
      </c>
      <c r="C139" s="128">
        <v>5.476259925059952</v>
      </c>
      <c r="D139" s="128">
        <v>4.796049272591605</v>
      </c>
      <c r="E139" s="128">
        <v>4.163448363925115</v>
      </c>
      <c r="F139" s="128">
        <v>3.8000435647778112</v>
      </c>
      <c r="G139" s="128">
        <v>3.7458395389661217</v>
      </c>
      <c r="H139" s="128">
        <v>3.7816471922569184</v>
      </c>
      <c r="I139" s="128">
        <v>3.7729353389958664</v>
      </c>
      <c r="J139" s="128">
        <v>3.8545450243946684</v>
      </c>
      <c r="K139" s="128">
        <v>4.832880307604258</v>
      </c>
      <c r="L139" s="128">
        <v>5.498415297360571</v>
      </c>
      <c r="M139" s="128">
        <v>5.396947340613194</v>
      </c>
      <c r="N139" s="128">
        <f t="shared" si="26"/>
        <v>54.47880972</v>
      </c>
    </row>
    <row r="140">
      <c r="A140" s="127" t="s">
        <v>26</v>
      </c>
      <c r="B140" s="128">
        <f t="shared" ref="B140:D140" si="27">B80+B128</f>
        <v>3.870049935</v>
      </c>
      <c r="C140" s="128">
        <f t="shared" si="27"/>
        <v>4.189531845</v>
      </c>
      <c r="D140" s="128">
        <f t="shared" si="27"/>
        <v>5.616365648</v>
      </c>
      <c r="E140" s="128">
        <f t="shared" ref="E140:K140" si="28">E80</f>
        <v>7.149373461</v>
      </c>
      <c r="F140" s="128">
        <f t="shared" si="28"/>
        <v>6.712672432</v>
      </c>
      <c r="G140" s="128">
        <f t="shared" si="28"/>
        <v>6.561537597</v>
      </c>
      <c r="H140" s="128">
        <f t="shared" si="28"/>
        <v>6.232377074</v>
      </c>
      <c r="I140" s="128">
        <f t="shared" si="28"/>
        <v>6.387457967</v>
      </c>
      <c r="J140" s="128">
        <f t="shared" si="28"/>
        <v>6.46570047</v>
      </c>
      <c r="K140" s="128">
        <f t="shared" si="28"/>
        <v>7.981107553</v>
      </c>
      <c r="L140" s="128">
        <f>L80+F128</f>
        <v>5.473137329</v>
      </c>
      <c r="M140" s="128">
        <f>M80+F128</f>
        <v>3.854112079</v>
      </c>
      <c r="N140" s="128">
        <f t="shared" si="26"/>
        <v>70.49342339</v>
      </c>
    </row>
    <row r="141">
      <c r="A141" s="129" t="s">
        <v>28</v>
      </c>
      <c r="B141" s="128">
        <v>0.2451855947692497</v>
      </c>
      <c r="C141" s="128">
        <v>0.2615933103481936</v>
      </c>
      <c r="D141" s="128">
        <v>0.26317671098697615</v>
      </c>
      <c r="E141" s="128">
        <v>0.22846359253307488</v>
      </c>
      <c r="F141" s="128">
        <v>0.20852224615387266</v>
      </c>
      <c r="G141" s="128">
        <v>0.20554787361835755</v>
      </c>
      <c r="H141" s="128">
        <v>0.2075127701166251</v>
      </c>
      <c r="I141" s="128">
        <v>0.20703471896295003</v>
      </c>
      <c r="J141" s="128">
        <v>0.21151293996678322</v>
      </c>
      <c r="K141" s="128">
        <v>0.265197764171786</v>
      </c>
      <c r="L141" s="128">
        <v>0.3017180957396414</v>
      </c>
      <c r="M141" s="128">
        <v>0.2483515505397666</v>
      </c>
      <c r="N141" s="128">
        <f t="shared" si="26"/>
        <v>2.853817168</v>
      </c>
    </row>
    <row r="142">
      <c r="A142" s="129" t="s">
        <v>65</v>
      </c>
      <c r="B142" s="130">
        <f t="shared" ref="B142:M142" si="29">SUM(B137:B141)</f>
        <v>17.31341127</v>
      </c>
      <c r="C142" s="130">
        <f t="shared" si="29"/>
        <v>17.65002874</v>
      </c>
      <c r="D142" s="130">
        <f t="shared" si="29"/>
        <v>18.72584525</v>
      </c>
      <c r="E142" s="130">
        <f t="shared" si="29"/>
        <v>20.54685421</v>
      </c>
      <c r="F142" s="130">
        <f t="shared" si="29"/>
        <v>19.08829246</v>
      </c>
      <c r="G142" s="130">
        <f t="shared" si="29"/>
        <v>18.72675197</v>
      </c>
      <c r="H142" s="130">
        <f t="shared" si="29"/>
        <v>18.27772401</v>
      </c>
      <c r="I142" s="130">
        <f t="shared" si="29"/>
        <v>18.50735549</v>
      </c>
      <c r="J142" s="130">
        <f t="shared" si="29"/>
        <v>17.84439881</v>
      </c>
      <c r="K142" s="130">
        <f t="shared" si="29"/>
        <v>21.52032164</v>
      </c>
      <c r="L142" s="130">
        <f t="shared" si="29"/>
        <v>16.77069973</v>
      </c>
      <c r="M142" s="130">
        <f t="shared" si="29"/>
        <v>15.12807343</v>
      </c>
      <c r="N142" s="126">
        <f t="shared" ref="N142:N143" si="31">SUM(B142:M142)</f>
        <v>220.099757</v>
      </c>
    </row>
    <row r="143">
      <c r="A143" s="129" t="s">
        <v>81</v>
      </c>
      <c r="B143" s="128">
        <f t="shared" ref="B143:M143" si="30">B10</f>
        <v>20.240371</v>
      </c>
      <c r="C143" s="128">
        <f t="shared" si="30"/>
        <v>18.600889</v>
      </c>
      <c r="D143" s="128">
        <f t="shared" si="30"/>
        <v>22.340405</v>
      </c>
      <c r="E143" s="128">
        <f t="shared" si="30"/>
        <v>24.279359</v>
      </c>
      <c r="F143" s="128">
        <f t="shared" si="30"/>
        <v>31.987159</v>
      </c>
      <c r="G143" s="128">
        <f t="shared" si="30"/>
        <v>32.483216</v>
      </c>
      <c r="H143" s="128">
        <f t="shared" si="30"/>
        <v>34.965751</v>
      </c>
      <c r="I143" s="128">
        <f t="shared" si="30"/>
        <v>32.683107</v>
      </c>
      <c r="J143" s="128">
        <f t="shared" si="30"/>
        <v>27.152773</v>
      </c>
      <c r="K143" s="128">
        <f t="shared" si="30"/>
        <v>24.553762</v>
      </c>
      <c r="L143" s="128">
        <f t="shared" si="30"/>
        <v>20.422817</v>
      </c>
      <c r="M143" s="128">
        <f t="shared" si="30"/>
        <v>15.263266</v>
      </c>
      <c r="N143" s="126">
        <f t="shared" si="31"/>
        <v>304.972875</v>
      </c>
    </row>
    <row r="144">
      <c r="A144" s="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109" t="s">
        <v>69</v>
      </c>
      <c r="B170" s="109" t="s">
        <v>70</v>
      </c>
      <c r="C170" s="109" t="s">
        <v>71</v>
      </c>
      <c r="D170" s="109" t="s">
        <v>72</v>
      </c>
      <c r="E170" s="109" t="s">
        <v>82</v>
      </c>
      <c r="F170" s="109" t="s">
        <v>83</v>
      </c>
      <c r="G170" s="109" t="s">
        <v>84</v>
      </c>
      <c r="H170" s="109" t="s">
        <v>85</v>
      </c>
      <c r="I170" s="109" t="s">
        <v>86</v>
      </c>
      <c r="J170" s="109" t="s">
        <v>87</v>
      </c>
      <c r="K170" s="109" t="s">
        <v>88</v>
      </c>
      <c r="L170" s="109" t="s">
        <v>73</v>
      </c>
      <c r="M170" s="109" t="s">
        <v>74</v>
      </c>
      <c r="N170" s="109" t="s">
        <v>75</v>
      </c>
    </row>
    <row r="171">
      <c r="A171" s="111" t="s">
        <v>25</v>
      </c>
      <c r="B171" s="112">
        <v>-2.16</v>
      </c>
      <c r="C171" s="112">
        <v>-2.26</v>
      </c>
      <c r="D171" s="112">
        <v>0.0</v>
      </c>
      <c r="E171" s="131">
        <v>0.753125034399044</v>
      </c>
      <c r="F171" s="131">
        <v>0.711378017172393</v>
      </c>
      <c r="G171" s="131">
        <v>0.695722047495171</v>
      </c>
      <c r="H171" s="131">
        <v>0.663972700441666</v>
      </c>
      <c r="I171" s="131">
        <v>0.679077280981722</v>
      </c>
      <c r="J171" s="131">
        <v>0.687815796650575</v>
      </c>
      <c r="K171" s="131">
        <v>0.546994009031291</v>
      </c>
      <c r="L171" s="112">
        <v>-1.27</v>
      </c>
      <c r="M171" s="112">
        <v>-2.18</v>
      </c>
      <c r="N171" s="113">
        <f t="shared" ref="N171:N174" si="32">SUM(B171:M171)</f>
        <v>-3.131915114</v>
      </c>
    </row>
    <row r="172">
      <c r="A172" s="111" t="s">
        <v>29</v>
      </c>
      <c r="B172" s="114">
        <v>-6.17085405329227</v>
      </c>
      <c r="C172" s="114">
        <v>-5.467827529942954</v>
      </c>
      <c r="D172" s="115">
        <v>-1.9226583294746906</v>
      </c>
      <c r="E172" s="132">
        <v>0.0</v>
      </c>
      <c r="F172" s="132">
        <v>0.0</v>
      </c>
      <c r="G172" s="132">
        <v>0.0</v>
      </c>
      <c r="H172" s="132">
        <v>0.0</v>
      </c>
      <c r="I172" s="132">
        <v>0.0</v>
      </c>
      <c r="J172" s="132">
        <v>0.0</v>
      </c>
      <c r="K172" s="132">
        <v>0.0</v>
      </c>
      <c r="L172" s="114">
        <v>-2.5163573972281603</v>
      </c>
      <c r="M172" s="114">
        <v>-6.149004644585828</v>
      </c>
      <c r="N172" s="113">
        <f t="shared" si="32"/>
        <v>-22.22670195</v>
      </c>
    </row>
    <row r="173">
      <c r="A173" s="116" t="s">
        <v>27</v>
      </c>
      <c r="B173" s="117">
        <v>0.0</v>
      </c>
      <c r="C173" s="117">
        <v>0.0</v>
      </c>
      <c r="D173" s="117">
        <v>0.0</v>
      </c>
      <c r="E173" s="132">
        <v>0.0</v>
      </c>
      <c r="F173" s="132">
        <v>0.0</v>
      </c>
      <c r="G173" s="132">
        <v>0.0</v>
      </c>
      <c r="H173" s="132">
        <v>0.0</v>
      </c>
      <c r="I173" s="132">
        <v>0.0</v>
      </c>
      <c r="J173" s="132">
        <v>0.0</v>
      </c>
      <c r="K173" s="132">
        <v>0.0</v>
      </c>
      <c r="L173" s="117">
        <v>0.0</v>
      </c>
      <c r="M173" s="117">
        <v>0.0</v>
      </c>
      <c r="N173" s="119">
        <f t="shared" si="32"/>
        <v>0</v>
      </c>
    </row>
    <row r="174">
      <c r="A174" s="111" t="s">
        <v>76</v>
      </c>
      <c r="B174" s="120">
        <v>-3.13</v>
      </c>
      <c r="C174" s="121">
        <v>-3.39</v>
      </c>
      <c r="D174" s="121">
        <v>-2.5</v>
      </c>
      <c r="E174" s="132">
        <v>0.0</v>
      </c>
      <c r="F174" s="132">
        <v>0.0</v>
      </c>
      <c r="G174" s="132">
        <v>0.0</v>
      </c>
      <c r="H174" s="132">
        <v>0.0</v>
      </c>
      <c r="I174" s="132">
        <v>0.0</v>
      </c>
      <c r="J174" s="132">
        <v>0.0</v>
      </c>
      <c r="K174" s="132">
        <v>0.0</v>
      </c>
      <c r="L174" s="133">
        <v>0.0</v>
      </c>
      <c r="M174" s="121">
        <v>-3.12</v>
      </c>
      <c r="N174" s="113">
        <f t="shared" si="32"/>
        <v>-12.14</v>
      </c>
    </row>
    <row r="175">
      <c r="A175" s="111" t="s">
        <v>75</v>
      </c>
      <c r="B175" s="123">
        <f t="shared" ref="B175:N175" si="33">SUM(B171:B174)</f>
        <v>-11.46085405</v>
      </c>
      <c r="C175" s="123">
        <f t="shared" si="33"/>
        <v>-11.11782753</v>
      </c>
      <c r="D175" s="123">
        <f t="shared" si="33"/>
        <v>-4.422658329</v>
      </c>
      <c r="E175" s="134">
        <f t="shared" si="33"/>
        <v>0.7531250344</v>
      </c>
      <c r="F175" s="134">
        <f t="shared" si="33"/>
        <v>0.7113780172</v>
      </c>
      <c r="G175" s="134">
        <f t="shared" si="33"/>
        <v>0.6957220475</v>
      </c>
      <c r="H175" s="134">
        <f t="shared" si="33"/>
        <v>0.6639727004</v>
      </c>
      <c r="I175" s="134">
        <f t="shared" si="33"/>
        <v>0.679077281</v>
      </c>
      <c r="J175" s="134">
        <f t="shared" si="33"/>
        <v>0.6878157967</v>
      </c>
      <c r="K175" s="134">
        <f t="shared" si="33"/>
        <v>0.546994009</v>
      </c>
      <c r="L175" s="123">
        <f t="shared" si="33"/>
        <v>-3.786357397</v>
      </c>
      <c r="M175" s="123">
        <f t="shared" si="33"/>
        <v>-11.44900464</v>
      </c>
      <c r="N175" s="123">
        <f t="shared" si="33"/>
        <v>-37.49861707</v>
      </c>
    </row>
    <row r="176">
      <c r="A176" s="111" t="s">
        <v>77</v>
      </c>
      <c r="B176" s="135">
        <f t="shared" ref="B176:M176" si="34">B143-B84</f>
        <v>-6.481969556</v>
      </c>
      <c r="C176" s="135">
        <f t="shared" si="34"/>
        <v>-8.022274846</v>
      </c>
      <c r="D176" s="135">
        <f t="shared" si="34"/>
        <v>-0.9241041069</v>
      </c>
      <c r="E176" s="135">
        <f t="shared" si="34"/>
        <v>3.285209753</v>
      </c>
      <c r="F176" s="135">
        <f t="shared" si="34"/>
        <v>12.47957355</v>
      </c>
      <c r="G176" s="135">
        <f t="shared" si="34"/>
        <v>13.34568705</v>
      </c>
      <c r="H176" s="135">
        <f t="shared" si="34"/>
        <v>16.29099506</v>
      </c>
      <c r="I176" s="135">
        <f t="shared" si="34"/>
        <v>13.77197911</v>
      </c>
      <c r="J176" s="135">
        <f t="shared" si="34"/>
        <v>7.931843318</v>
      </c>
      <c r="K176" s="135">
        <f t="shared" si="34"/>
        <v>2.664815476</v>
      </c>
      <c r="L176" s="135">
        <f t="shared" si="34"/>
        <v>-3.387234289</v>
      </c>
      <c r="M176" s="135">
        <f t="shared" si="34"/>
        <v>-11.42328283</v>
      </c>
      <c r="N176" s="113">
        <f>SUM(B176:M176)</f>
        <v>39.53123769</v>
      </c>
    </row>
    <row r="177">
      <c r="A177" s="7"/>
    </row>
    <row r="178">
      <c r="A178" s="136" t="s">
        <v>80</v>
      </c>
      <c r="B178" s="137" t="s">
        <v>1</v>
      </c>
      <c r="C178" s="137" t="s">
        <v>2</v>
      </c>
      <c r="D178" s="137" t="s">
        <v>3</v>
      </c>
      <c r="E178" s="137" t="s">
        <v>4</v>
      </c>
      <c r="F178" s="137" t="s">
        <v>5</v>
      </c>
      <c r="G178" s="137" t="s">
        <v>6</v>
      </c>
      <c r="H178" s="137" t="s">
        <v>7</v>
      </c>
      <c r="I178" s="137" t="s">
        <v>8</v>
      </c>
      <c r="J178" s="137" t="s">
        <v>9</v>
      </c>
      <c r="K178" s="137" t="s">
        <v>10</v>
      </c>
      <c r="L178" s="137" t="s">
        <v>11</v>
      </c>
      <c r="M178" s="137" t="s">
        <v>12</v>
      </c>
    </row>
    <row r="179">
      <c r="A179" s="138" t="s">
        <v>25</v>
      </c>
      <c r="B179" s="137">
        <v>0.9131859652945895</v>
      </c>
      <c r="C179" s="137">
        <v>0.9582887442198174</v>
      </c>
      <c r="D179" s="137">
        <v>4.934463076307811</v>
      </c>
      <c r="E179" s="137">
        <f t="shared" ref="E179:K179" si="35">E137+E171</f>
        <v>5.384818466</v>
      </c>
      <c r="F179" s="137">
        <f t="shared" si="35"/>
        <v>5.086328708</v>
      </c>
      <c r="G179" s="137">
        <f t="shared" si="35"/>
        <v>4.974389056</v>
      </c>
      <c r="H179" s="137">
        <f t="shared" si="35"/>
        <v>4.747382301</v>
      </c>
      <c r="I179" s="137">
        <f t="shared" si="35"/>
        <v>4.855379539</v>
      </c>
      <c r="J179" s="137">
        <f t="shared" si="35"/>
        <v>3.9510966</v>
      </c>
      <c r="K179" s="137">
        <f t="shared" si="35"/>
        <v>3.910988622</v>
      </c>
      <c r="L179" s="137">
        <v>2.2374728629733314</v>
      </c>
      <c r="M179" s="137">
        <v>0.9248535526202666</v>
      </c>
      <c r="N179" s="139">
        <v>-0.6878157966505745</v>
      </c>
      <c r="P179" s="139">
        <v>-0.546994009031291</v>
      </c>
    </row>
    <row r="180">
      <c r="A180" s="138" t="s">
        <v>64</v>
      </c>
      <c r="B180" s="137">
        <v>4.765191221769424</v>
      </c>
      <c r="C180" s="137">
        <v>4.504354914137738</v>
      </c>
      <c r="D180" s="137">
        <v>3.11579054534176</v>
      </c>
      <c r="E180" s="137">
        <v>4.373875357047684</v>
      </c>
      <c r="F180" s="137">
        <v>3.992103528340588</v>
      </c>
      <c r="G180" s="137">
        <v>3.935159948877766</v>
      </c>
      <c r="H180" s="137">
        <v>3.9727773752590725</v>
      </c>
      <c r="I180" s="137">
        <v>3.9636252117248985</v>
      </c>
      <c r="J180" s="137">
        <v>4.049359574364074</v>
      </c>
      <c r="K180" s="137">
        <v>5.077141406183534</v>
      </c>
      <c r="L180" s="137">
        <v>3.259956146208395</v>
      </c>
      <c r="M180" s="137">
        <v>4.7038089097365425</v>
      </c>
    </row>
    <row r="181">
      <c r="A181" s="138" t="s">
        <v>54</v>
      </c>
      <c r="B181" s="137">
        <v>5.359798556453126</v>
      </c>
      <c r="C181" s="137">
        <v>5.476259925059952</v>
      </c>
      <c r="D181" s="137">
        <v>4.796049272591605</v>
      </c>
      <c r="E181" s="137">
        <v>4.163448363925115</v>
      </c>
      <c r="F181" s="137">
        <v>3.8000435647778112</v>
      </c>
      <c r="G181" s="137">
        <v>3.7458395389661217</v>
      </c>
      <c r="H181" s="137">
        <v>3.7816471922569184</v>
      </c>
      <c r="I181" s="137">
        <v>3.7729353389958664</v>
      </c>
      <c r="J181" s="137">
        <v>3.8545450243946684</v>
      </c>
      <c r="K181" s="137">
        <v>4.832880307604258</v>
      </c>
      <c r="L181" s="137">
        <v>5.498415297360571</v>
      </c>
      <c r="M181" s="137">
        <v>5.396947340613194</v>
      </c>
    </row>
    <row r="182">
      <c r="A182" s="138" t="s">
        <v>26</v>
      </c>
      <c r="B182" s="137">
        <v>3.5539253521229504</v>
      </c>
      <c r="C182" s="137">
        <v>3.8481283175617316</v>
      </c>
      <c r="D182" s="137">
        <v>5.619061392865825</v>
      </c>
      <c r="E182" s="137">
        <v>7.149373461340472</v>
      </c>
      <c r="F182" s="137">
        <v>6.7126724315829</v>
      </c>
      <c r="G182" s="137">
        <v>6.561537596872639</v>
      </c>
      <c r="H182" s="137">
        <v>6.23237707402008</v>
      </c>
      <c r="I182" s="137">
        <v>6.387457966526024</v>
      </c>
      <c r="J182" s="137">
        <v>6.465700470481742</v>
      </c>
      <c r="K182" s="137">
        <v>7.981107552774385</v>
      </c>
      <c r="L182" s="137">
        <v>8.593137328507822</v>
      </c>
      <c r="M182" s="137">
        <v>3.5407567025377076</v>
      </c>
    </row>
    <row r="183">
      <c r="A183" s="136" t="s">
        <v>28</v>
      </c>
      <c r="B183" s="137">
        <v>0.2451855947692497</v>
      </c>
      <c r="C183" s="137">
        <v>0.2615933103481936</v>
      </c>
      <c r="D183" s="137">
        <v>0.26317671098697615</v>
      </c>
      <c r="E183" s="137">
        <v>0.22846359253307488</v>
      </c>
      <c r="F183" s="137">
        <v>0.20852224615387266</v>
      </c>
      <c r="G183" s="137">
        <v>0.20554787361835755</v>
      </c>
      <c r="H183" s="137">
        <v>0.2075127701166251</v>
      </c>
      <c r="I183" s="137">
        <v>0.20703471896295003</v>
      </c>
      <c r="J183" s="137">
        <v>0.21151293996678322</v>
      </c>
      <c r="K183" s="137">
        <v>0.265197764171786</v>
      </c>
      <c r="L183" s="137">
        <v>0.3017180957396414</v>
      </c>
      <c r="M183" s="137">
        <v>0.2483515505397666</v>
      </c>
    </row>
    <row r="184">
      <c r="A184" s="136" t="s">
        <v>65</v>
      </c>
      <c r="B184" s="137">
        <v>14.837286690409341</v>
      </c>
      <c r="C184" s="137">
        <v>15.04862521132743</v>
      </c>
      <c r="D184" s="137">
        <v>18.728540998093976</v>
      </c>
      <c r="E184" s="137">
        <v>21.598063576786252</v>
      </c>
      <c r="F184" s="137">
        <v>20.08123148687466</v>
      </c>
      <c r="G184" s="137">
        <v>19.697838442145894</v>
      </c>
      <c r="H184" s="137">
        <v>19.20449485634133</v>
      </c>
      <c r="I184" s="137">
        <v>19.45520926151589</v>
      </c>
      <c r="J184" s="137">
        <v>19.771212800204477</v>
      </c>
      <c r="K184" s="137">
        <v>22.283814027695506</v>
      </c>
      <c r="L184" s="137">
        <v>19.89069973078976</v>
      </c>
      <c r="M184" s="137">
        <v>14.814718056047477</v>
      </c>
    </row>
    <row r="185">
      <c r="A185" s="136" t="s">
        <v>81</v>
      </c>
      <c r="B185" s="137">
        <v>20.240371</v>
      </c>
      <c r="C185" s="137">
        <v>18.600889</v>
      </c>
      <c r="D185" s="137">
        <v>22.340405</v>
      </c>
      <c r="E185" s="137">
        <v>24.279359</v>
      </c>
      <c r="F185" s="137">
        <v>31.987159</v>
      </c>
      <c r="G185" s="137">
        <v>32.483216</v>
      </c>
      <c r="H185" s="137">
        <v>34.965751</v>
      </c>
      <c r="I185" s="137">
        <v>32.683107</v>
      </c>
      <c r="J185" s="137">
        <v>27.152773</v>
      </c>
      <c r="K185" s="137">
        <v>24.553762</v>
      </c>
      <c r="L185" s="137">
        <v>20.422817</v>
      </c>
      <c r="M185" s="137">
        <v>15.263266</v>
      </c>
    </row>
    <row r="186">
      <c r="A186" s="8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</sheetData>
  <conditionalFormatting sqref="B43:I43">
    <cfRule type="notContainsBlanks" dxfId="0" priority="1">
      <formula>LEN(TRIM(B43))&gt;0</formula>
    </cfRule>
  </conditionalFormatting>
  <drawing r:id="rId2"/>
  <legacyDrawing r:id="rId3"/>
  <tableParts count="14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599"/>
      <c r="B1" s="600"/>
      <c r="C1" s="600"/>
      <c r="D1" s="600"/>
      <c r="E1" s="600"/>
      <c r="F1" s="600"/>
      <c r="G1" s="600"/>
      <c r="H1" s="600"/>
      <c r="I1" s="600"/>
      <c r="J1" s="601"/>
    </row>
    <row r="2">
      <c r="A2" s="602"/>
      <c r="B2" s="600">
        <v>2000.0</v>
      </c>
      <c r="C2" s="600">
        <v>2019.0</v>
      </c>
      <c r="D2" s="600">
        <v>2025.0</v>
      </c>
      <c r="E2" s="600">
        <v>2030.0</v>
      </c>
      <c r="F2" s="600">
        <v>2035.0</v>
      </c>
      <c r="G2" s="600">
        <v>2040.0</v>
      </c>
      <c r="H2" s="600">
        <v>2045.0</v>
      </c>
      <c r="I2" s="600">
        <v>2050.0</v>
      </c>
      <c r="J2" s="16">
        <v>2022.0</v>
      </c>
    </row>
    <row r="3">
      <c r="A3" s="599" t="s">
        <v>405</v>
      </c>
      <c r="B3" s="603">
        <v>167.0</v>
      </c>
      <c r="C3" s="603">
        <v>151.0</v>
      </c>
      <c r="D3" s="603">
        <v>156.0</v>
      </c>
      <c r="E3" s="603">
        <v>149.0</v>
      </c>
      <c r="F3" s="603">
        <v>142.0</v>
      </c>
      <c r="G3" s="603">
        <v>134.0</v>
      </c>
      <c r="H3" s="603">
        <v>128.0</v>
      </c>
      <c r="I3" s="603">
        <v>123.0</v>
      </c>
      <c r="J3" s="604">
        <v>132.0</v>
      </c>
    </row>
    <row r="4">
      <c r="A4" s="599" t="s">
        <v>406</v>
      </c>
      <c r="B4" s="603">
        <v>31.0</v>
      </c>
      <c r="C4" s="603">
        <v>32.0</v>
      </c>
      <c r="D4" s="603">
        <v>31.0</v>
      </c>
      <c r="E4" s="603">
        <v>31.0</v>
      </c>
      <c r="F4" s="603">
        <v>30.0</v>
      </c>
      <c r="G4" s="603">
        <v>30.0</v>
      </c>
      <c r="H4" s="603">
        <v>29.0</v>
      </c>
      <c r="I4" s="603">
        <v>29.0</v>
      </c>
      <c r="J4" s="604">
        <v>33.0</v>
      </c>
    </row>
    <row r="5">
      <c r="A5" s="599" t="s">
        <v>268</v>
      </c>
      <c r="B5" s="603">
        <v>6.0</v>
      </c>
      <c r="C5" s="603">
        <v>6.0</v>
      </c>
      <c r="D5" s="603">
        <v>6.0</v>
      </c>
      <c r="E5" s="603">
        <v>6.0</v>
      </c>
      <c r="F5" s="603">
        <v>6.0</v>
      </c>
      <c r="G5" s="603">
        <v>6.0</v>
      </c>
      <c r="H5" s="603">
        <v>6.0</v>
      </c>
      <c r="I5" s="603">
        <v>6.0</v>
      </c>
      <c r="J5" s="604">
        <v>5.0</v>
      </c>
    </row>
    <row r="6">
      <c r="A6" s="599" t="s">
        <v>213</v>
      </c>
      <c r="B6" s="605">
        <v>5.0</v>
      </c>
      <c r="C6" s="603">
        <v>4.0</v>
      </c>
      <c r="D6" s="603">
        <v>2.0</v>
      </c>
      <c r="E6" s="603">
        <v>2.0</v>
      </c>
      <c r="F6" s="603">
        <v>2.0</v>
      </c>
      <c r="G6" s="603">
        <v>2.0</v>
      </c>
      <c r="H6" s="603">
        <v>2.0</v>
      </c>
      <c r="I6" s="603">
        <v>2.0</v>
      </c>
      <c r="J6" s="604">
        <v>6.0</v>
      </c>
    </row>
    <row r="7">
      <c r="A7" s="606" t="s">
        <v>217</v>
      </c>
      <c r="B7" s="603">
        <v>3.0</v>
      </c>
      <c r="C7" s="603">
        <v>3.0</v>
      </c>
      <c r="D7" s="603">
        <v>4.0</v>
      </c>
      <c r="E7" s="603">
        <v>4.0</v>
      </c>
      <c r="F7" s="603">
        <v>4.0</v>
      </c>
      <c r="G7" s="603">
        <v>5.0</v>
      </c>
      <c r="H7" s="603">
        <v>5.0</v>
      </c>
      <c r="I7" s="603">
        <v>6.0</v>
      </c>
      <c r="J7" s="607">
        <v>4.0</v>
      </c>
    </row>
    <row r="8">
      <c r="A8" s="599" t="s">
        <v>214</v>
      </c>
      <c r="B8" s="603">
        <v>6.0</v>
      </c>
      <c r="C8" s="603">
        <v>6.0</v>
      </c>
      <c r="D8" s="603">
        <v>6.0</v>
      </c>
      <c r="E8" s="603">
        <v>6.0</v>
      </c>
      <c r="F8" s="603">
        <v>6.0</v>
      </c>
      <c r="G8" s="603">
        <v>6.0</v>
      </c>
      <c r="H8" s="603">
        <v>6.0</v>
      </c>
      <c r="I8" s="603">
        <v>6.0</v>
      </c>
      <c r="J8" s="604">
        <v>6.1</v>
      </c>
    </row>
    <row r="9">
      <c r="A9" s="599" t="s">
        <v>211</v>
      </c>
      <c r="B9" s="603">
        <v>13.0</v>
      </c>
      <c r="C9" s="603">
        <v>16.0</v>
      </c>
      <c r="D9" s="603">
        <v>14.0</v>
      </c>
      <c r="E9" s="603">
        <v>13.0</v>
      </c>
      <c r="F9" s="603">
        <v>13.0</v>
      </c>
      <c r="G9" s="603">
        <v>13.0</v>
      </c>
      <c r="H9" s="603">
        <v>13.0</v>
      </c>
      <c r="I9" s="603">
        <v>12.0</v>
      </c>
      <c r="J9" s="607">
        <v>15.0</v>
      </c>
    </row>
    <row r="10">
      <c r="A10" s="599" t="s">
        <v>215</v>
      </c>
      <c r="B10" s="603">
        <v>5.0</v>
      </c>
      <c r="C10" s="603">
        <v>9.0</v>
      </c>
      <c r="D10" s="603">
        <v>9.0</v>
      </c>
      <c r="E10" s="603">
        <v>9.0</v>
      </c>
      <c r="F10" s="603">
        <v>10.0</v>
      </c>
      <c r="G10" s="603">
        <v>10.0</v>
      </c>
      <c r="H10" s="603">
        <v>10.0</v>
      </c>
      <c r="I10" s="603">
        <v>10.0</v>
      </c>
      <c r="J10" s="604">
        <v>9.0</v>
      </c>
    </row>
    <row r="11">
      <c r="A11" s="608" t="s">
        <v>269</v>
      </c>
      <c r="B11" s="609">
        <v>236.0</v>
      </c>
      <c r="C11" s="609">
        <v>227.0</v>
      </c>
      <c r="D11" s="609">
        <v>229.0</v>
      </c>
      <c r="E11" s="609">
        <v>221.0</v>
      </c>
      <c r="F11" s="609">
        <v>213.0</v>
      </c>
      <c r="G11" s="609">
        <v>205.0</v>
      </c>
      <c r="H11" s="609">
        <v>199.0</v>
      </c>
      <c r="I11" s="609">
        <v>193.0</v>
      </c>
      <c r="J11" s="607">
        <v>233.0</v>
      </c>
    </row>
    <row r="15">
      <c r="A15" s="610" t="s">
        <v>407</v>
      </c>
      <c r="B15" s="12"/>
      <c r="C15" s="12"/>
      <c r="D15" s="12"/>
      <c r="E15" s="12"/>
      <c r="F15" s="12"/>
      <c r="G15" s="12"/>
      <c r="H15" s="12"/>
      <c r="I15" s="12"/>
      <c r="J15" s="12"/>
      <c r="K15" s="288"/>
      <c r="L15" s="288"/>
      <c r="M15" s="288"/>
    </row>
    <row r="16">
      <c r="A16" s="602"/>
      <c r="B16" s="600">
        <v>2000.0</v>
      </c>
      <c r="C16" s="600">
        <v>2019.0</v>
      </c>
      <c r="D16" s="600">
        <v>2025.0</v>
      </c>
      <c r="E16" s="600">
        <v>2030.0</v>
      </c>
      <c r="F16" s="600">
        <v>2035.0</v>
      </c>
      <c r="G16" s="600">
        <v>2040.0</v>
      </c>
      <c r="H16" s="600">
        <v>2045.0</v>
      </c>
      <c r="I16" s="600">
        <v>2050.0</v>
      </c>
      <c r="J16" s="611" t="s">
        <v>408</v>
      </c>
      <c r="K16" s="612"/>
      <c r="L16" s="612"/>
      <c r="M16" s="612"/>
    </row>
    <row r="17">
      <c r="A17" s="613" t="s">
        <v>405</v>
      </c>
      <c r="B17" s="603"/>
      <c r="C17" s="603"/>
      <c r="D17" s="603"/>
      <c r="E17" s="603"/>
      <c r="F17" s="603"/>
      <c r="G17" s="603"/>
      <c r="H17" s="603"/>
      <c r="I17" s="603"/>
      <c r="J17" s="603"/>
      <c r="K17" s="614"/>
      <c r="L17" s="615"/>
      <c r="M17" s="615"/>
    </row>
    <row r="18">
      <c r="A18" s="616" t="s">
        <v>260</v>
      </c>
      <c r="B18" s="617">
        <v>13.0</v>
      </c>
      <c r="C18" s="617">
        <v>16.0</v>
      </c>
      <c r="D18" s="617">
        <v>19.0</v>
      </c>
      <c r="E18" s="617">
        <v>20.0</v>
      </c>
      <c r="F18" s="617">
        <v>21.0</v>
      </c>
      <c r="G18" s="617">
        <v>21.0</v>
      </c>
      <c r="H18" s="617">
        <v>21.0</v>
      </c>
      <c r="I18" s="617">
        <v>22.0</v>
      </c>
      <c r="J18" s="618">
        <f t="shared" ref="J18:J19" si="2">I18/$I$27</f>
        <v>0.3151862464</v>
      </c>
      <c r="K18" s="619"/>
      <c r="L18" s="620"/>
      <c r="M18" s="620"/>
    </row>
    <row r="19">
      <c r="A19" s="599" t="s">
        <v>406</v>
      </c>
      <c r="B19" s="603">
        <f t="shared" ref="B19:I19" si="1">B20*B4</f>
        <v>6.82</v>
      </c>
      <c r="C19" s="603">
        <f t="shared" si="1"/>
        <v>9.28</v>
      </c>
      <c r="D19" s="603">
        <f t="shared" si="1"/>
        <v>8.37</v>
      </c>
      <c r="E19" s="603">
        <f t="shared" si="1"/>
        <v>8.37</v>
      </c>
      <c r="F19" s="603">
        <f t="shared" si="1"/>
        <v>7.8</v>
      </c>
      <c r="G19" s="603">
        <f t="shared" si="1"/>
        <v>7.2</v>
      </c>
      <c r="H19" s="603">
        <f t="shared" si="1"/>
        <v>6.38</v>
      </c>
      <c r="I19" s="603">
        <f t="shared" si="1"/>
        <v>5.8</v>
      </c>
      <c r="J19" s="618">
        <f t="shared" si="2"/>
        <v>0.08309455587</v>
      </c>
      <c r="K19" s="620"/>
      <c r="L19" s="620"/>
      <c r="M19" s="620"/>
    </row>
    <row r="20">
      <c r="A20" s="611" t="s">
        <v>260</v>
      </c>
      <c r="B20" s="621">
        <v>0.22</v>
      </c>
      <c r="C20" s="621">
        <v>0.29</v>
      </c>
      <c r="D20" s="621">
        <v>0.27</v>
      </c>
      <c r="E20" s="621">
        <v>0.27</v>
      </c>
      <c r="F20" s="621">
        <v>0.26</v>
      </c>
      <c r="G20" s="621">
        <v>0.24</v>
      </c>
      <c r="H20" s="621">
        <v>0.22</v>
      </c>
      <c r="I20" s="621">
        <v>0.2</v>
      </c>
      <c r="J20" s="618"/>
      <c r="K20" s="620"/>
      <c r="L20" s="620"/>
      <c r="M20" s="620"/>
    </row>
    <row r="21">
      <c r="A21" s="599" t="s">
        <v>268</v>
      </c>
      <c r="B21" s="603">
        <v>6.0</v>
      </c>
      <c r="C21" s="603">
        <v>6.0</v>
      </c>
      <c r="D21" s="603">
        <v>6.0</v>
      </c>
      <c r="E21" s="603">
        <v>6.0</v>
      </c>
      <c r="F21" s="603">
        <v>6.0</v>
      </c>
      <c r="G21" s="603">
        <v>6.0</v>
      </c>
      <c r="H21" s="603">
        <v>6.0</v>
      </c>
      <c r="I21" s="603">
        <v>6.0</v>
      </c>
      <c r="J21" s="618">
        <f t="shared" ref="J21:J27" si="3">I21/$I$27</f>
        <v>0.08595988539</v>
      </c>
      <c r="K21" s="145">
        <v>102.0</v>
      </c>
      <c r="L21" s="622">
        <f t="shared" ref="L21:L26" si="4">K21/$K$27</f>
        <v>0.08947368421</v>
      </c>
      <c r="M21" s="622">
        <f t="shared" ref="M21:M26" si="5">D21/$D$27</f>
        <v>0.0877577885</v>
      </c>
    </row>
    <row r="22">
      <c r="A22" s="599" t="s">
        <v>213</v>
      </c>
      <c r="B22" s="605">
        <v>5.0</v>
      </c>
      <c r="C22" s="603">
        <v>4.0</v>
      </c>
      <c r="D22" s="603">
        <v>2.0</v>
      </c>
      <c r="E22" s="603">
        <v>2.0</v>
      </c>
      <c r="F22" s="603">
        <v>2.0</v>
      </c>
      <c r="G22" s="603">
        <v>2.0</v>
      </c>
      <c r="H22" s="603">
        <v>2.0</v>
      </c>
      <c r="I22" s="603">
        <v>2.0</v>
      </c>
      <c r="J22" s="618">
        <f t="shared" si="3"/>
        <v>0.02865329513</v>
      </c>
      <c r="K22" s="145">
        <v>219.0</v>
      </c>
      <c r="L22" s="622">
        <f t="shared" si="4"/>
        <v>0.1921052632</v>
      </c>
      <c r="M22" s="622">
        <f t="shared" si="5"/>
        <v>0.02925259617</v>
      </c>
    </row>
    <row r="23">
      <c r="A23" s="606" t="s">
        <v>217</v>
      </c>
      <c r="B23" s="603">
        <v>3.0</v>
      </c>
      <c r="C23" s="603">
        <v>3.0</v>
      </c>
      <c r="D23" s="603">
        <v>4.0</v>
      </c>
      <c r="E23" s="603">
        <v>4.0</v>
      </c>
      <c r="F23" s="603">
        <v>4.0</v>
      </c>
      <c r="G23" s="603">
        <v>5.0</v>
      </c>
      <c r="H23" s="603">
        <v>5.0</v>
      </c>
      <c r="I23" s="603">
        <v>6.0</v>
      </c>
      <c r="J23" s="618">
        <f t="shared" si="3"/>
        <v>0.08595988539</v>
      </c>
      <c r="K23" s="145">
        <v>209.0</v>
      </c>
      <c r="L23" s="622">
        <f t="shared" si="4"/>
        <v>0.1833333333</v>
      </c>
      <c r="M23" s="622">
        <f t="shared" si="5"/>
        <v>0.05850519234</v>
      </c>
    </row>
    <row r="24">
      <c r="A24" s="599" t="s">
        <v>214</v>
      </c>
      <c r="B24" s="603">
        <v>6.0</v>
      </c>
      <c r="C24" s="603">
        <v>6.0</v>
      </c>
      <c r="D24" s="603">
        <v>6.0</v>
      </c>
      <c r="E24" s="603">
        <v>6.0</v>
      </c>
      <c r="F24" s="603">
        <v>6.0</v>
      </c>
      <c r="G24" s="603">
        <v>6.0</v>
      </c>
      <c r="H24" s="603">
        <v>6.0</v>
      </c>
      <c r="I24" s="603">
        <v>6.0</v>
      </c>
      <c r="J24" s="618">
        <f t="shared" si="3"/>
        <v>0.08595988539</v>
      </c>
      <c r="K24" s="145">
        <v>16.0</v>
      </c>
      <c r="L24" s="622">
        <f t="shared" si="4"/>
        <v>0.01403508772</v>
      </c>
      <c r="M24" s="622">
        <f t="shared" si="5"/>
        <v>0.0877577885</v>
      </c>
    </row>
    <row r="25">
      <c r="A25" s="599" t="s">
        <v>211</v>
      </c>
      <c r="B25" s="603">
        <v>13.0</v>
      </c>
      <c r="C25" s="603">
        <v>16.0</v>
      </c>
      <c r="D25" s="603">
        <v>14.0</v>
      </c>
      <c r="E25" s="603">
        <v>13.0</v>
      </c>
      <c r="F25" s="603">
        <v>13.0</v>
      </c>
      <c r="G25" s="603">
        <v>13.0</v>
      </c>
      <c r="H25" s="603">
        <v>13.0</v>
      </c>
      <c r="I25" s="603">
        <v>12.0</v>
      </c>
      <c r="J25" s="618">
        <f t="shared" si="3"/>
        <v>0.1719197708</v>
      </c>
      <c r="K25" s="145">
        <v>445.0</v>
      </c>
      <c r="L25" s="622">
        <f t="shared" si="4"/>
        <v>0.3903508772</v>
      </c>
      <c r="M25" s="622">
        <f t="shared" si="5"/>
        <v>0.2047681732</v>
      </c>
    </row>
    <row r="26">
      <c r="A26" s="599" t="s">
        <v>215</v>
      </c>
      <c r="B26" s="603">
        <v>5.0</v>
      </c>
      <c r="C26" s="603">
        <v>9.0</v>
      </c>
      <c r="D26" s="603">
        <v>9.0</v>
      </c>
      <c r="E26" s="603">
        <v>9.0</v>
      </c>
      <c r="F26" s="603">
        <v>10.0</v>
      </c>
      <c r="G26" s="603">
        <v>10.0</v>
      </c>
      <c r="H26" s="603">
        <v>10.0</v>
      </c>
      <c r="I26" s="603">
        <v>10.0</v>
      </c>
      <c r="J26" s="618">
        <f t="shared" si="3"/>
        <v>0.1432664756</v>
      </c>
      <c r="K26" s="145">
        <v>149.0</v>
      </c>
      <c r="L26" s="622">
        <f t="shared" si="4"/>
        <v>0.1307017544</v>
      </c>
      <c r="M26" s="622">
        <f t="shared" si="5"/>
        <v>0.1316366828</v>
      </c>
    </row>
    <row r="27">
      <c r="A27" s="608" t="s">
        <v>269</v>
      </c>
      <c r="B27" s="609">
        <f t="shared" ref="B27:I27" si="6">SUM(B21:B26,B18,B19)</f>
        <v>57.82</v>
      </c>
      <c r="C27" s="609">
        <f t="shared" si="6"/>
        <v>69.28</v>
      </c>
      <c r="D27" s="609">
        <f t="shared" si="6"/>
        <v>68.37</v>
      </c>
      <c r="E27" s="609">
        <f t="shared" si="6"/>
        <v>68.37</v>
      </c>
      <c r="F27" s="609">
        <f t="shared" si="6"/>
        <v>69.8</v>
      </c>
      <c r="G27" s="609">
        <f t="shared" si="6"/>
        <v>70.2</v>
      </c>
      <c r="H27" s="609">
        <f t="shared" si="6"/>
        <v>69.38</v>
      </c>
      <c r="I27" s="609">
        <f t="shared" si="6"/>
        <v>69.8</v>
      </c>
      <c r="J27" s="617">
        <f t="shared" si="3"/>
        <v>1</v>
      </c>
      <c r="K27" s="623">
        <f t="shared" ref="K27:M27" si="7">SUM(K17:K26)</f>
        <v>1140</v>
      </c>
      <c r="L27" s="622">
        <f t="shared" si="7"/>
        <v>1</v>
      </c>
      <c r="M27" s="622">
        <f t="shared" si="7"/>
        <v>0.5996782214</v>
      </c>
    </row>
    <row r="31">
      <c r="A31" s="624" t="s">
        <v>209</v>
      </c>
      <c r="B31" s="571" t="s">
        <v>285</v>
      </c>
      <c r="C31" s="572"/>
      <c r="D31" s="571" t="s">
        <v>70</v>
      </c>
      <c r="E31" s="572"/>
      <c r="F31" s="571" t="s">
        <v>71</v>
      </c>
      <c r="G31" s="572"/>
      <c r="H31" s="571" t="s">
        <v>72</v>
      </c>
      <c r="I31" s="572"/>
      <c r="J31" s="571" t="s">
        <v>82</v>
      </c>
      <c r="K31" s="572"/>
      <c r="L31" s="571" t="s">
        <v>83</v>
      </c>
      <c r="M31" s="572"/>
      <c r="N31" s="571" t="s">
        <v>84</v>
      </c>
      <c r="O31" s="572"/>
      <c r="P31" s="571" t="s">
        <v>85</v>
      </c>
      <c r="Q31" s="572"/>
      <c r="R31" s="571" t="s">
        <v>86</v>
      </c>
      <c r="S31" s="572"/>
      <c r="T31" s="571" t="s">
        <v>87</v>
      </c>
      <c r="U31" s="572"/>
      <c r="V31" s="571" t="s">
        <v>401</v>
      </c>
      <c r="W31" s="572"/>
      <c r="X31" s="571" t="s">
        <v>73</v>
      </c>
      <c r="Y31" s="572"/>
      <c r="Z31" s="571" t="s">
        <v>74</v>
      </c>
      <c r="AA31" s="572"/>
      <c r="AB31" s="625" t="s">
        <v>75</v>
      </c>
      <c r="AC31" s="626"/>
      <c r="AD31" s="626"/>
      <c r="AE31" s="626"/>
      <c r="AF31" s="626"/>
      <c r="AG31" s="626"/>
      <c r="AH31" s="626"/>
      <c r="AI31" s="626"/>
    </row>
    <row r="32">
      <c r="A32" s="627" t="s">
        <v>405</v>
      </c>
      <c r="B32" s="628">
        <v>0.3152</v>
      </c>
      <c r="C32" s="629">
        <f>B32*Sectors!$N$78</f>
        <v>22.67543949</v>
      </c>
      <c r="D32" s="630">
        <f>E32/B$44</f>
        <v>-0.4459459459</v>
      </c>
      <c r="E32" s="629">
        <v>-3.3</v>
      </c>
      <c r="F32" s="630">
        <f>G32/C$44</f>
        <v>-0.4453125</v>
      </c>
      <c r="G32" s="629">
        <v>-2.85</v>
      </c>
      <c r="H32" s="630">
        <f>I32/$D$44</f>
        <v>-0.4285714286</v>
      </c>
      <c r="I32" s="629">
        <v>-0.6</v>
      </c>
      <c r="J32" s="630">
        <f>K32/$B$44</f>
        <v>0</v>
      </c>
      <c r="K32" s="629">
        <v>0.0</v>
      </c>
      <c r="L32" s="630">
        <f>M32/$B$44</f>
        <v>0</v>
      </c>
      <c r="M32" s="629">
        <v>0.0</v>
      </c>
      <c r="N32" s="630">
        <f>O32/$B$44</f>
        <v>0</v>
      </c>
      <c r="O32" s="629">
        <v>0.0</v>
      </c>
      <c r="P32" s="630">
        <f>Q32/$B$44</f>
        <v>0</v>
      </c>
      <c r="Q32" s="629">
        <v>0.0</v>
      </c>
      <c r="R32" s="630">
        <f>S32/$B$44</f>
        <v>0</v>
      </c>
      <c r="S32" s="629">
        <v>0.0</v>
      </c>
      <c r="T32" s="630">
        <f>U32/$B$44</f>
        <v>0</v>
      </c>
      <c r="U32" s="629">
        <v>0.0</v>
      </c>
      <c r="V32" s="630">
        <f>W32/$B$44</f>
        <v>0</v>
      </c>
      <c r="W32" s="629">
        <v>0.0</v>
      </c>
      <c r="X32" s="630">
        <f>Y32/$E$44</f>
        <v>-0.4347826087</v>
      </c>
      <c r="Y32" s="629">
        <v>-1.0</v>
      </c>
      <c r="Z32" s="630">
        <f>AA32/$F$44</f>
        <v>-0.4459459459</v>
      </c>
      <c r="AA32" s="629">
        <v>-3.3</v>
      </c>
      <c r="AB32" s="631">
        <f t="shared" ref="AB32:AB39" si="8">SUM(E32,G32,I32,K32,M32,O32,Q32,S32,U32,W32, Y32,AA32)</f>
        <v>-11.05</v>
      </c>
      <c r="AC32" s="632"/>
      <c r="AD32" s="632"/>
      <c r="AE32" s="632"/>
      <c r="AF32" s="632"/>
      <c r="AG32" s="632"/>
      <c r="AH32" s="632"/>
      <c r="AI32" s="632"/>
    </row>
    <row r="33">
      <c r="A33" s="633" t="s">
        <v>406</v>
      </c>
      <c r="B33" s="634">
        <v>0.0831</v>
      </c>
      <c r="C33" s="635">
        <f>B33*Sectors!$N$78</f>
        <v>5.97820121</v>
      </c>
      <c r="D33" s="636">
        <v>0.0</v>
      </c>
      <c r="E33" s="635">
        <f>D33*B33*Sectors!$B$78</f>
        <v>0</v>
      </c>
      <c r="F33" s="636">
        <v>0.0</v>
      </c>
      <c r="G33" s="635">
        <f>F33*$B33*Sectors!$B$78</f>
        <v>0</v>
      </c>
      <c r="H33" s="636">
        <v>0.0</v>
      </c>
      <c r="I33" s="637"/>
      <c r="J33" s="636">
        <v>0.0</v>
      </c>
      <c r="K33" s="637"/>
      <c r="L33" s="636">
        <v>0.0</v>
      </c>
      <c r="M33" s="637"/>
      <c r="N33" s="636">
        <v>0.0</v>
      </c>
      <c r="O33" s="637"/>
      <c r="P33" s="636">
        <v>0.0</v>
      </c>
      <c r="Q33" s="637"/>
      <c r="R33" s="636">
        <v>0.0</v>
      </c>
      <c r="S33" s="637"/>
      <c r="T33" s="636">
        <v>0.0</v>
      </c>
      <c r="U33" s="637"/>
      <c r="V33" s="636">
        <v>0.0</v>
      </c>
      <c r="W33" s="637"/>
      <c r="X33" s="636">
        <v>0.0</v>
      </c>
      <c r="Y33" s="635">
        <f>X33*$B33*Sectors!$L$78</f>
        <v>0</v>
      </c>
      <c r="Z33" s="636">
        <v>0.0</v>
      </c>
      <c r="AA33" s="635">
        <f>Z33*$B33*Sectors!$M$78</f>
        <v>0</v>
      </c>
      <c r="AB33" s="638">
        <f t="shared" si="8"/>
        <v>0</v>
      </c>
      <c r="AC33" s="632"/>
      <c r="AD33" s="632"/>
      <c r="AE33" s="632"/>
      <c r="AF33" s="632"/>
      <c r="AG33" s="632"/>
      <c r="AH33" s="632"/>
      <c r="AI33" s="632"/>
    </row>
    <row r="34">
      <c r="A34" s="627" t="s">
        <v>268</v>
      </c>
      <c r="B34" s="628">
        <v>0.086</v>
      </c>
      <c r="C34" s="629">
        <f>B34*Sectors!$N$78</f>
        <v>6.186826764</v>
      </c>
      <c r="D34" s="630">
        <v>-0.7</v>
      </c>
      <c r="E34" s="629">
        <f>D34*B34*Sectors!$B$78</f>
        <v>-0.6583499256</v>
      </c>
      <c r="F34" s="630">
        <v>-0.7</v>
      </c>
      <c r="G34" s="629">
        <f>F34*$B34*Sectors!C$78</f>
        <v>-0.6003253831</v>
      </c>
      <c r="H34" s="639">
        <v>-0.7</v>
      </c>
      <c r="I34" s="629">
        <f>H34*$B34*Sectors!D$78</f>
        <v>-0.3033146223</v>
      </c>
      <c r="J34" s="639">
        <v>-0.7</v>
      </c>
      <c r="K34" s="629">
        <f>J34*$B34*Sectors!E$78</f>
        <v>-0.2633072965</v>
      </c>
      <c r="L34" s="639">
        <v>-0.7</v>
      </c>
      <c r="M34" s="629">
        <f>L34*$B34*Sectors!F$78</f>
        <v>-0.2403246324</v>
      </c>
      <c r="N34" s="639">
        <v>-0.7</v>
      </c>
      <c r="O34" s="629">
        <f>N34*$B34*Sectors!G$78</f>
        <v>-0.2368966289</v>
      </c>
      <c r="P34" s="639">
        <v>-0.7</v>
      </c>
      <c r="Q34" s="629">
        <f>P34*$B34*Sectors!H$78</f>
        <v>-0.239161198</v>
      </c>
      <c r="R34" s="639">
        <v>-0.7</v>
      </c>
      <c r="S34" s="629">
        <f>R34*$B34*Sectors!I$78</f>
        <v>-0.2386102377</v>
      </c>
      <c r="T34" s="639">
        <v>-0.7</v>
      </c>
      <c r="U34" s="629">
        <f>T34*$B34*Sectors!J$78</f>
        <v>-0.2437714464</v>
      </c>
      <c r="V34" s="639">
        <v>-0.7</v>
      </c>
      <c r="W34" s="629">
        <f>V34*$B34*Sectors!K$78</f>
        <v>-0.3056439127</v>
      </c>
      <c r="X34" s="639">
        <v>-0.7</v>
      </c>
      <c r="Y34" s="629">
        <f>X34*$B34*Sectors!$L$78</f>
        <v>-0.3477340753</v>
      </c>
      <c r="Z34" s="630">
        <v>-0.7</v>
      </c>
      <c r="AA34" s="629">
        <f>Z34*$B34*Sectors!$M$78</f>
        <v>-0.653339376</v>
      </c>
      <c r="AB34" s="631">
        <f t="shared" si="8"/>
        <v>-4.330778735</v>
      </c>
      <c r="AC34" s="632"/>
      <c r="AD34" s="632"/>
      <c r="AE34" s="632"/>
      <c r="AF34" s="632"/>
      <c r="AG34" s="632"/>
      <c r="AH34" s="632"/>
      <c r="AI34" s="632"/>
    </row>
    <row r="35">
      <c r="A35" s="633" t="s">
        <v>213</v>
      </c>
      <c r="B35" s="634">
        <v>0.0287</v>
      </c>
      <c r="C35" s="635">
        <f>B35*Sectors!$N$78</f>
        <v>2.064673583</v>
      </c>
      <c r="D35" s="640">
        <v>0.0</v>
      </c>
      <c r="E35" s="635">
        <f>D35*B35*Sectors!$B$78</f>
        <v>0</v>
      </c>
      <c r="F35" s="640">
        <v>0.0</v>
      </c>
      <c r="G35" s="635">
        <f>F35*$B35*Sectors!C$78</f>
        <v>0</v>
      </c>
      <c r="H35" s="640">
        <v>0.0</v>
      </c>
      <c r="I35" s="635">
        <f>H35*$B35*Sectors!D$78</f>
        <v>0</v>
      </c>
      <c r="J35" s="640">
        <v>0.0</v>
      </c>
      <c r="K35" s="635">
        <f>J35*$B35*Sectors!E$78</f>
        <v>0</v>
      </c>
      <c r="L35" s="640">
        <v>0.0</v>
      </c>
      <c r="M35" s="635">
        <f>L35*$B35*Sectors!F$78</f>
        <v>0</v>
      </c>
      <c r="N35" s="640">
        <v>0.0</v>
      </c>
      <c r="O35" s="635">
        <f>N35*$B35*Sectors!G$78</f>
        <v>0</v>
      </c>
      <c r="P35" s="640">
        <v>0.0</v>
      </c>
      <c r="Q35" s="635">
        <f>P35*$B35*Sectors!H$78</f>
        <v>0</v>
      </c>
      <c r="R35" s="640">
        <v>0.0</v>
      </c>
      <c r="S35" s="635">
        <f>R35*$B35*Sectors!I$78</f>
        <v>0</v>
      </c>
      <c r="T35" s="640">
        <v>0.0</v>
      </c>
      <c r="U35" s="635">
        <f>T35*$B35*Sectors!J$78</f>
        <v>0</v>
      </c>
      <c r="V35" s="640">
        <v>0.0</v>
      </c>
      <c r="W35" s="635">
        <f>V35*$B35*Sectors!K$78</f>
        <v>0</v>
      </c>
      <c r="X35" s="640">
        <v>0.0</v>
      </c>
      <c r="Y35" s="635">
        <f>X35*$B35*Sectors!$L$78</f>
        <v>0</v>
      </c>
      <c r="Z35" s="640">
        <v>0.0</v>
      </c>
      <c r="AA35" s="635">
        <f>Z35*$B35*Sectors!$M$78</f>
        <v>0</v>
      </c>
      <c r="AB35" s="638">
        <f t="shared" si="8"/>
        <v>0</v>
      </c>
      <c r="AC35" s="632"/>
      <c r="AD35" s="632"/>
      <c r="AE35" s="632"/>
      <c r="AF35" s="632"/>
      <c r="AG35" s="632"/>
      <c r="AH35" s="632"/>
      <c r="AI35" s="632"/>
    </row>
    <row r="36">
      <c r="A36" s="627" t="s">
        <v>217</v>
      </c>
      <c r="B36" s="628">
        <v>0.086</v>
      </c>
      <c r="C36" s="629">
        <f>B36*Sectors!$N$78</f>
        <v>6.186826764</v>
      </c>
      <c r="D36" s="641">
        <v>0.0</v>
      </c>
      <c r="E36" s="629">
        <f>D36*B36*Sectors!$B$78</f>
        <v>0</v>
      </c>
      <c r="F36" s="641">
        <v>0.0</v>
      </c>
      <c r="G36" s="629">
        <f>F36*$B36*Sectors!C$78</f>
        <v>0</v>
      </c>
      <c r="H36" s="641">
        <v>0.0</v>
      </c>
      <c r="I36" s="629">
        <f>H36*$B36*Sectors!D$78</f>
        <v>0</v>
      </c>
      <c r="J36" s="641">
        <v>0.0</v>
      </c>
      <c r="K36" s="629">
        <f>J36*$B36*Sectors!E$78</f>
        <v>0</v>
      </c>
      <c r="L36" s="641">
        <v>0.0</v>
      </c>
      <c r="M36" s="629">
        <f>L36*$B36*Sectors!F$78</f>
        <v>0</v>
      </c>
      <c r="N36" s="641">
        <v>0.0</v>
      </c>
      <c r="O36" s="629">
        <f>N36*$B36*Sectors!G$78</f>
        <v>0</v>
      </c>
      <c r="P36" s="641">
        <v>0.0</v>
      </c>
      <c r="Q36" s="629">
        <f>P36*$B36*Sectors!H$78</f>
        <v>0</v>
      </c>
      <c r="R36" s="641">
        <v>0.0</v>
      </c>
      <c r="S36" s="629">
        <f>R36*$B36*Sectors!I$78</f>
        <v>0</v>
      </c>
      <c r="T36" s="641">
        <v>0.0</v>
      </c>
      <c r="U36" s="629">
        <f>T36*$B36*Sectors!J$78</f>
        <v>0</v>
      </c>
      <c r="V36" s="641">
        <v>0.0</v>
      </c>
      <c r="W36" s="629">
        <f>V36*$B36*Sectors!K$78</f>
        <v>0</v>
      </c>
      <c r="X36" s="641">
        <v>0.0</v>
      </c>
      <c r="Y36" s="629">
        <f>X36*$B36*Sectors!$L$78</f>
        <v>0</v>
      </c>
      <c r="Z36" s="641">
        <v>0.0</v>
      </c>
      <c r="AA36" s="629">
        <f>Z36*$B36*Sectors!$M$78</f>
        <v>0</v>
      </c>
      <c r="AB36" s="631">
        <f t="shared" si="8"/>
        <v>0</v>
      </c>
      <c r="AC36" s="632"/>
      <c r="AD36" s="632"/>
      <c r="AE36" s="632"/>
      <c r="AF36" s="632"/>
      <c r="AG36" s="632"/>
      <c r="AH36" s="632"/>
      <c r="AI36" s="632"/>
    </row>
    <row r="37">
      <c r="A37" s="633" t="s">
        <v>214</v>
      </c>
      <c r="B37" s="634">
        <v>0.086</v>
      </c>
      <c r="C37" s="635">
        <f>B37*Sectors!$N$78</f>
        <v>6.186826764</v>
      </c>
      <c r="D37" s="640">
        <v>-0.56</v>
      </c>
      <c r="E37" s="635">
        <f>D37*B37*Sectors!$B$78</f>
        <v>-0.5266799404</v>
      </c>
      <c r="F37" s="640">
        <v>-0.56</v>
      </c>
      <c r="G37" s="635">
        <f>F37*$B37*Sectors!C$78</f>
        <v>-0.4802603065</v>
      </c>
      <c r="H37" s="640">
        <v>-0.56</v>
      </c>
      <c r="I37" s="635">
        <f>H37*$B37*Sectors!D$78</f>
        <v>-0.2426516978</v>
      </c>
      <c r="J37" s="640">
        <v>-0.56</v>
      </c>
      <c r="K37" s="635">
        <f>J37*$B37*Sectors!E$78</f>
        <v>-0.2106458372</v>
      </c>
      <c r="L37" s="640">
        <v>-0.56</v>
      </c>
      <c r="M37" s="635">
        <f>L37*$B37*Sectors!F$78</f>
        <v>-0.1922597059</v>
      </c>
      <c r="N37" s="640">
        <v>-0.56</v>
      </c>
      <c r="O37" s="635">
        <f>N37*$B37*Sectors!G$78</f>
        <v>-0.1895173031</v>
      </c>
      <c r="P37" s="640">
        <v>-0.56</v>
      </c>
      <c r="Q37" s="635">
        <f>P37*$B37*Sectors!H$78</f>
        <v>-0.1913289584</v>
      </c>
      <c r="R37" s="640">
        <v>-0.56</v>
      </c>
      <c r="S37" s="635">
        <f>R37*$B37*Sectors!I$78</f>
        <v>-0.1908881902</v>
      </c>
      <c r="T37" s="640">
        <v>-0.56</v>
      </c>
      <c r="U37" s="635">
        <f>T37*$B37*Sectors!J$78</f>
        <v>-0.1950171571</v>
      </c>
      <c r="V37" s="640">
        <v>-0.56</v>
      </c>
      <c r="W37" s="635">
        <f>V37*$B37*Sectors!K$78</f>
        <v>-0.2445151301</v>
      </c>
      <c r="X37" s="640">
        <v>-0.56</v>
      </c>
      <c r="Y37" s="635">
        <f>X37*$B37*Sectors!$L$78</f>
        <v>-0.2781872603</v>
      </c>
      <c r="Z37" s="640">
        <v>-0.56</v>
      </c>
      <c r="AA37" s="635">
        <f>Z37*$B37*Sectors!$M$78</f>
        <v>-0.5226715008</v>
      </c>
      <c r="AB37" s="638">
        <f t="shared" si="8"/>
        <v>-3.464622988</v>
      </c>
      <c r="AC37" s="632"/>
      <c r="AD37" s="632"/>
      <c r="AE37" s="632"/>
      <c r="AF37" s="632"/>
      <c r="AG37" s="632"/>
      <c r="AH37" s="632"/>
      <c r="AI37" s="632"/>
    </row>
    <row r="38">
      <c r="A38" s="627" t="s">
        <v>211</v>
      </c>
      <c r="B38" s="628">
        <v>0.1719</v>
      </c>
      <c r="C38" s="629">
        <f>B38*Sectors!$N$78</f>
        <v>12.36645954</v>
      </c>
      <c r="D38" s="630">
        <v>-0.63</v>
      </c>
      <c r="E38" s="629">
        <f>D38*B38*Sectors!$B$78</f>
        <v>-1.184340895</v>
      </c>
      <c r="F38" s="630">
        <v>-0.63</v>
      </c>
      <c r="G38" s="629">
        <f>F38*$B38*Sectors!C$78</f>
        <v>-1.079957442</v>
      </c>
      <c r="H38" s="630">
        <v>-0.63</v>
      </c>
      <c r="I38" s="629">
        <f>H38*$B38*Sectors!D$78</f>
        <v>-0.5456488978</v>
      </c>
      <c r="J38" s="630">
        <v>-0.63</v>
      </c>
      <c r="K38" s="629">
        <f>J38*$B38*Sectors!E$78</f>
        <v>-0.4736775795</v>
      </c>
      <c r="L38" s="630">
        <v>-0.63</v>
      </c>
      <c r="M38" s="629">
        <f>L38*$B38*Sectors!F$78</f>
        <v>-0.4323328358</v>
      </c>
      <c r="N38" s="630">
        <v>-0.63</v>
      </c>
      <c r="O38" s="629">
        <f>N38*$B38*Sectors!G$78</f>
        <v>-0.426166017</v>
      </c>
      <c r="P38" s="630">
        <v>-0.63</v>
      </c>
      <c r="Q38" s="629">
        <f>P38*$B38*Sectors!H$78</f>
        <v>-0.4302398714</v>
      </c>
      <c r="R38" s="630">
        <v>-0.63</v>
      </c>
      <c r="S38" s="629">
        <f>R38*$B38*Sectors!I$78</f>
        <v>-0.4292487196</v>
      </c>
      <c r="T38" s="630">
        <v>-0.63</v>
      </c>
      <c r="U38" s="629">
        <f>T38*$B38*Sectors!J$78</f>
        <v>-0.4385334938</v>
      </c>
      <c r="V38" s="630">
        <v>-0.63</v>
      </c>
      <c r="W38" s="629">
        <f>V38*$B38*Sectors!K$78</f>
        <v>-0.5498391829</v>
      </c>
      <c r="X38" s="630">
        <v>-0.63</v>
      </c>
      <c r="Y38" s="629">
        <f>X38*$B38*Sectors!$L$78</f>
        <v>-0.6255574278</v>
      </c>
      <c r="Z38" s="630">
        <v>-0.63</v>
      </c>
      <c r="AA38" s="629">
        <f>Z38*$B38*Sectors!$M$78</f>
        <v>-1.175327149</v>
      </c>
      <c r="AB38" s="631">
        <f t="shared" si="8"/>
        <v>-7.790869512</v>
      </c>
      <c r="AC38" s="632"/>
      <c r="AD38" s="632"/>
      <c r="AE38" s="632"/>
      <c r="AF38" s="632"/>
      <c r="AG38" s="632"/>
      <c r="AH38" s="632"/>
      <c r="AI38" s="632"/>
    </row>
    <row r="39">
      <c r="A39" s="633" t="s">
        <v>215</v>
      </c>
      <c r="B39" s="634">
        <v>0.1433</v>
      </c>
      <c r="C39" s="635">
        <f>B39*Sectors!$N$78</f>
        <v>10.30897995</v>
      </c>
      <c r="D39" s="640">
        <v>-0.32</v>
      </c>
      <c r="E39" s="635">
        <f>D39*B39*Sectors!$B$78</f>
        <v>-0.5014832921</v>
      </c>
      <c r="F39" s="640">
        <v>-0.32</v>
      </c>
      <c r="G39" s="635">
        <f>F39*$B39*Sectors!C$78</f>
        <v>-0.4572843982</v>
      </c>
      <c r="H39" s="640">
        <v>-0.32</v>
      </c>
      <c r="I39" s="635">
        <f>H39*$B39*Sectors!D$78</f>
        <v>-0.2310431116</v>
      </c>
      <c r="J39" s="640">
        <v>-0.32</v>
      </c>
      <c r="K39" s="635">
        <f>J39*$B39*Sectors!E$78</f>
        <v>-0.2005684284</v>
      </c>
      <c r="L39" s="640">
        <v>-0.32</v>
      </c>
      <c r="M39" s="635">
        <f>L39*$B39*Sectors!F$78</f>
        <v>-0.1830618994</v>
      </c>
      <c r="N39" s="640">
        <v>-0.32</v>
      </c>
      <c r="O39" s="635">
        <f>N39*$B39*Sectors!G$78</f>
        <v>-0.1804506946</v>
      </c>
      <c r="P39" s="640">
        <v>-0.32</v>
      </c>
      <c r="Q39" s="635">
        <f>P39*$B39*Sectors!H$78</f>
        <v>-0.1821756793</v>
      </c>
      <c r="R39" s="640">
        <v>-0.32</v>
      </c>
      <c r="S39" s="635">
        <f>R39*$B39*Sectors!I$78</f>
        <v>-0.1817559977</v>
      </c>
      <c r="T39" s="640">
        <v>-0.32</v>
      </c>
      <c r="U39" s="635">
        <f>T39*$B39*Sectors!J$78</f>
        <v>-0.1856874326</v>
      </c>
      <c r="V39" s="640">
        <v>-0.32</v>
      </c>
      <c r="W39" s="635">
        <f>V39*$B39*Sectors!K$78</f>
        <v>-0.2328173963</v>
      </c>
      <c r="X39" s="640">
        <v>-0.32</v>
      </c>
      <c r="Y39" s="635">
        <f>X39*$B39*Sectors!$L$78</f>
        <v>-0.2648786338</v>
      </c>
      <c r="Z39" s="640">
        <v>-0.32</v>
      </c>
      <c r="AA39" s="635">
        <f>Z39*$B39*Sectors!$M$78</f>
        <v>-0.4976666183</v>
      </c>
      <c r="AB39" s="638">
        <f t="shared" si="8"/>
        <v>-3.298873582</v>
      </c>
      <c r="AC39" s="632"/>
      <c r="AD39" s="632"/>
      <c r="AE39" s="632"/>
      <c r="AF39" s="632"/>
      <c r="AG39" s="632"/>
      <c r="AH39" s="632"/>
      <c r="AI39" s="632"/>
    </row>
    <row r="40">
      <c r="A40" s="642" t="s">
        <v>269</v>
      </c>
      <c r="B40" s="643"/>
      <c r="C40" s="629">
        <f>SUM(C32:C39)</f>
        <v>71.95423406</v>
      </c>
      <c r="D40" s="643"/>
      <c r="E40" s="629">
        <f>SUM(E32:E39)</f>
        <v>-6.170854053</v>
      </c>
      <c r="F40" s="643"/>
      <c r="G40" s="629">
        <f>SUM(G32:G39)</f>
        <v>-5.46782753</v>
      </c>
      <c r="H40" s="643"/>
      <c r="I40" s="629">
        <f>SUM(I32:I39)</f>
        <v>-1.922658329</v>
      </c>
      <c r="J40" s="643"/>
      <c r="K40" s="629">
        <f>SUM(K32:K39)</f>
        <v>-1.148199142</v>
      </c>
      <c r="L40" s="643"/>
      <c r="M40" s="629">
        <f>SUM(M32:M39)</f>
        <v>-1.047979074</v>
      </c>
      <c r="N40" s="643"/>
      <c r="O40" s="629">
        <f>SUM(O32:O39)</f>
        <v>-1.033030644</v>
      </c>
      <c r="P40" s="643"/>
      <c r="Q40" s="629">
        <f>SUM(Q32:Q39)</f>
        <v>-1.042905707</v>
      </c>
      <c r="R40" s="643"/>
      <c r="S40" s="629">
        <f>SUM(S32:S39)</f>
        <v>-1.040503145</v>
      </c>
      <c r="T40" s="643"/>
      <c r="U40" s="629">
        <f>SUM(U32:U39)</f>
        <v>-1.06300953</v>
      </c>
      <c r="V40" s="643"/>
      <c r="W40" s="629">
        <f>SUM(W32:W39)</f>
        <v>-1.332815622</v>
      </c>
      <c r="X40" s="643"/>
      <c r="Y40" s="629">
        <f>SUM(Y32:Y39)</f>
        <v>-2.516357397</v>
      </c>
      <c r="Z40" s="643"/>
      <c r="AA40" s="629">
        <f>SUM(AA32:AA39)</f>
        <v>-6.149004645</v>
      </c>
      <c r="AB40" s="631">
        <f>SUM(E40:AA40)</f>
        <v>-29.93514482</v>
      </c>
      <c r="AC40" s="632"/>
      <c r="AD40" s="632"/>
      <c r="AE40" s="632"/>
      <c r="AF40" s="632"/>
      <c r="AG40" s="632"/>
      <c r="AH40" s="632"/>
      <c r="AI40" s="632"/>
    </row>
    <row r="42">
      <c r="A42" s="644" t="s">
        <v>409</v>
      </c>
      <c r="B42" s="12"/>
      <c r="C42" s="12"/>
      <c r="D42" s="12"/>
      <c r="E42" s="12"/>
      <c r="F42" s="12"/>
      <c r="G42" s="12"/>
    </row>
    <row r="43">
      <c r="A43" s="109" t="s">
        <v>159</v>
      </c>
      <c r="B43" s="109" t="s">
        <v>1</v>
      </c>
      <c r="C43" s="109" t="s">
        <v>2</v>
      </c>
      <c r="D43" s="109" t="s">
        <v>3</v>
      </c>
      <c r="E43" s="109" t="s">
        <v>11</v>
      </c>
      <c r="F43" s="109" t="s">
        <v>12</v>
      </c>
      <c r="G43" s="109" t="s">
        <v>75</v>
      </c>
    </row>
    <row r="44">
      <c r="A44" s="109" t="s">
        <v>410</v>
      </c>
      <c r="B44" s="109">
        <v>7.4</v>
      </c>
      <c r="C44" s="109">
        <v>6.4</v>
      </c>
      <c r="D44" s="109">
        <v>1.4</v>
      </c>
      <c r="E44" s="109">
        <v>2.3</v>
      </c>
      <c r="F44" s="109">
        <v>7.4</v>
      </c>
      <c r="G44" s="109">
        <v>24.8</v>
      </c>
    </row>
    <row r="45">
      <c r="A45" s="109" t="s">
        <v>411</v>
      </c>
      <c r="B45" s="645">
        <v>0.265</v>
      </c>
      <c r="C45" s="646">
        <v>0.23</v>
      </c>
      <c r="D45" s="646">
        <v>0.05</v>
      </c>
      <c r="E45" s="645">
        <v>0.0825</v>
      </c>
      <c r="F45" s="645">
        <v>0.265</v>
      </c>
      <c r="G45" s="109">
        <v>0.89</v>
      </c>
    </row>
    <row r="46">
      <c r="A46" s="647" t="s">
        <v>412</v>
      </c>
      <c r="B46" s="647">
        <v>3.3</v>
      </c>
      <c r="C46" s="647">
        <v>2.85</v>
      </c>
      <c r="D46" s="647">
        <v>0.6</v>
      </c>
      <c r="E46" s="647">
        <v>1.0</v>
      </c>
      <c r="F46" s="647">
        <v>3.3</v>
      </c>
      <c r="G46" s="647">
        <v>11.0</v>
      </c>
    </row>
    <row r="47">
      <c r="A47" s="109" t="s">
        <v>413</v>
      </c>
      <c r="B47" s="109">
        <v>4.1</v>
      </c>
      <c r="C47" s="109">
        <v>3.6</v>
      </c>
      <c r="D47" s="109">
        <v>0.8</v>
      </c>
      <c r="E47" s="109">
        <v>1.3</v>
      </c>
      <c r="F47" s="109">
        <v>4.1</v>
      </c>
      <c r="G47" s="109">
        <v>13.9</v>
      </c>
    </row>
    <row r="50">
      <c r="A50" s="648" t="s">
        <v>414</v>
      </c>
      <c r="B50" s="649"/>
      <c r="C50" s="650"/>
      <c r="D50" s="651"/>
      <c r="E50" s="651"/>
      <c r="F50" s="651"/>
      <c r="G50" s="651"/>
      <c r="H50" s="651"/>
      <c r="I50" s="651"/>
      <c r="J50" s="652"/>
      <c r="K50" s="652"/>
      <c r="L50" s="652"/>
      <c r="M50" s="652"/>
      <c r="N50" s="652"/>
      <c r="O50" s="652"/>
    </row>
    <row r="51">
      <c r="A51" s="653" t="s">
        <v>415</v>
      </c>
      <c r="B51" s="654"/>
      <c r="C51" s="655"/>
      <c r="D51" s="655"/>
      <c r="E51" s="655"/>
      <c r="F51" s="655"/>
      <c r="G51" s="655"/>
      <c r="H51" s="655"/>
      <c r="I51" s="655"/>
      <c r="J51" s="656"/>
      <c r="K51" s="656"/>
      <c r="L51" s="656"/>
      <c r="M51" s="656"/>
      <c r="N51" s="656"/>
      <c r="O51" s="656"/>
    </row>
    <row r="52">
      <c r="A52" s="657" t="s">
        <v>416</v>
      </c>
      <c r="B52" s="657" t="s">
        <v>417</v>
      </c>
      <c r="C52" s="658">
        <v>2000.0</v>
      </c>
      <c r="D52" s="658">
        <v>2005.0</v>
      </c>
      <c r="E52" s="658">
        <v>2010.0</v>
      </c>
      <c r="F52" s="658">
        <v>2015.0</v>
      </c>
      <c r="G52" s="658">
        <v>2020.0</v>
      </c>
      <c r="H52" s="659">
        <v>2025.0</v>
      </c>
      <c r="I52" s="658">
        <v>2030.0</v>
      </c>
      <c r="J52" s="660">
        <v>2035.0</v>
      </c>
      <c r="K52" s="660">
        <v>2040.0</v>
      </c>
      <c r="L52" s="660">
        <v>2045.0</v>
      </c>
      <c r="M52" s="660">
        <v>2050.0</v>
      </c>
      <c r="N52" s="660">
        <v>2055.0</v>
      </c>
      <c r="O52" s="660">
        <v>2060.0</v>
      </c>
    </row>
    <row r="53">
      <c r="A53" s="657" t="s">
        <v>418</v>
      </c>
      <c r="B53" s="657" t="s">
        <v>419</v>
      </c>
      <c r="C53" s="315">
        <v>1650.0</v>
      </c>
      <c r="D53" s="315">
        <v>1909.0</v>
      </c>
      <c r="E53" s="315">
        <v>2201.0</v>
      </c>
      <c r="F53" s="315">
        <v>2637.0</v>
      </c>
      <c r="G53" s="315">
        <v>2810.0</v>
      </c>
      <c r="H53" s="315">
        <v>3113.0</v>
      </c>
      <c r="I53" s="315">
        <v>3386.0</v>
      </c>
      <c r="J53" s="315">
        <v>3608.0</v>
      </c>
      <c r="K53" s="315">
        <v>3757.0</v>
      </c>
      <c r="L53" s="315">
        <v>3869.0</v>
      </c>
      <c r="M53" s="315">
        <v>3992.0</v>
      </c>
      <c r="N53" s="315">
        <v>4037.0</v>
      </c>
      <c r="O53" s="315">
        <v>4074.0</v>
      </c>
    </row>
    <row r="54">
      <c r="A54" s="657" t="s">
        <v>420</v>
      </c>
      <c r="B54" s="657" t="s">
        <v>419</v>
      </c>
      <c r="C54" s="315">
        <v>3046.0</v>
      </c>
      <c r="D54" s="315">
        <v>3175.0</v>
      </c>
      <c r="E54" s="315">
        <v>3226.0</v>
      </c>
      <c r="F54" s="315">
        <v>3292.0</v>
      </c>
      <c r="G54" s="315">
        <v>3362.0</v>
      </c>
      <c r="H54" s="315">
        <v>3416.0</v>
      </c>
      <c r="I54" s="315">
        <v>3468.0</v>
      </c>
      <c r="J54" s="315">
        <v>3514.0</v>
      </c>
      <c r="K54" s="315">
        <v>3536.0</v>
      </c>
      <c r="L54" s="315">
        <v>3555.0</v>
      </c>
      <c r="M54" s="661">
        <v>3586.0</v>
      </c>
      <c r="N54" s="315">
        <v>3629.0</v>
      </c>
      <c r="O54" s="315">
        <v>3665.0</v>
      </c>
    </row>
    <row r="55">
      <c r="A55" s="657" t="s">
        <v>421</v>
      </c>
      <c r="B55" s="657" t="s">
        <v>419</v>
      </c>
      <c r="C55" s="315">
        <v>836.0</v>
      </c>
      <c r="D55" s="315">
        <v>912.0</v>
      </c>
      <c r="E55" s="315">
        <v>1091.0</v>
      </c>
      <c r="F55" s="315">
        <v>1338.0</v>
      </c>
      <c r="G55" s="315">
        <v>1551.0</v>
      </c>
      <c r="H55" s="315">
        <v>1752.0</v>
      </c>
      <c r="I55" s="315">
        <v>1938.0</v>
      </c>
      <c r="J55" s="315">
        <v>2100.0</v>
      </c>
      <c r="K55" s="315">
        <v>2221.0</v>
      </c>
      <c r="L55" s="315">
        <v>2308.0</v>
      </c>
      <c r="M55" s="661">
        <v>2367.0</v>
      </c>
      <c r="N55" s="315">
        <v>2399.0</v>
      </c>
      <c r="O55" s="315">
        <v>2425.0</v>
      </c>
    </row>
    <row r="56">
      <c r="A56" s="657" t="s">
        <v>422</v>
      </c>
      <c r="B56" s="657" t="s">
        <v>419</v>
      </c>
      <c r="C56" s="315">
        <v>1038.0</v>
      </c>
      <c r="D56" s="315">
        <v>799.0</v>
      </c>
      <c r="E56" s="315">
        <v>597.0</v>
      </c>
      <c r="F56" s="315">
        <v>431.0</v>
      </c>
      <c r="G56" s="315">
        <v>334.0</v>
      </c>
      <c r="H56" s="315">
        <v>316.0</v>
      </c>
      <c r="I56" s="315">
        <v>296.0</v>
      </c>
      <c r="J56" s="315">
        <v>255.0</v>
      </c>
      <c r="K56" s="315">
        <v>229.0</v>
      </c>
      <c r="L56" s="315">
        <v>204.0</v>
      </c>
      <c r="M56" s="315">
        <v>181.0</v>
      </c>
      <c r="N56" s="315">
        <v>181.0</v>
      </c>
      <c r="O56" s="315">
        <v>181.0</v>
      </c>
    </row>
    <row r="57">
      <c r="A57" s="657" t="s">
        <v>423</v>
      </c>
      <c r="B57" s="657" t="s">
        <v>419</v>
      </c>
      <c r="C57" s="315">
        <v>1022.0</v>
      </c>
      <c r="D57" s="315">
        <v>1402.0</v>
      </c>
      <c r="E57" s="315">
        <v>1778.0</v>
      </c>
      <c r="F57" s="315">
        <v>1952.0</v>
      </c>
      <c r="G57" s="315">
        <v>2033.0</v>
      </c>
      <c r="H57" s="315">
        <v>2131.0</v>
      </c>
      <c r="I57" s="315">
        <v>2221.0</v>
      </c>
      <c r="J57" s="315">
        <v>2299.0</v>
      </c>
      <c r="K57" s="315">
        <v>2348.0</v>
      </c>
      <c r="L57" s="315">
        <v>2381.0</v>
      </c>
      <c r="M57" s="315">
        <v>2409.0</v>
      </c>
      <c r="N57" s="315">
        <v>2431.0</v>
      </c>
      <c r="O57" s="315">
        <v>2447.0</v>
      </c>
    </row>
    <row r="58">
      <c r="A58" s="662" t="s">
        <v>424</v>
      </c>
      <c r="B58" s="662" t="s">
        <v>425</v>
      </c>
      <c r="C58" s="315">
        <v>2990.0</v>
      </c>
      <c r="D58" s="315">
        <v>3120.0</v>
      </c>
      <c r="E58" s="315">
        <v>3295.0</v>
      </c>
      <c r="F58" s="315">
        <v>3506.0</v>
      </c>
      <c r="G58" s="315">
        <v>3699.0</v>
      </c>
      <c r="H58" s="315">
        <v>3860.0</v>
      </c>
      <c r="I58" s="315">
        <v>4012.0</v>
      </c>
      <c r="J58" s="315">
        <v>4140.0</v>
      </c>
      <c r="K58" s="315">
        <v>4218.0</v>
      </c>
      <c r="L58" s="315">
        <v>4268.0</v>
      </c>
      <c r="M58" s="315">
        <v>4306.0</v>
      </c>
      <c r="N58" s="315">
        <v>4334.0</v>
      </c>
      <c r="O58" s="315">
        <v>4352.0</v>
      </c>
    </row>
    <row r="59">
      <c r="A59" s="657" t="s">
        <v>426</v>
      </c>
      <c r="B59" s="662" t="s">
        <v>425</v>
      </c>
      <c r="C59" s="315">
        <v>39.0</v>
      </c>
      <c r="D59" s="315">
        <v>54.0</v>
      </c>
      <c r="E59" s="315">
        <v>71.0</v>
      </c>
      <c r="F59" s="315">
        <v>89.0</v>
      </c>
      <c r="G59" s="315">
        <v>130.0</v>
      </c>
      <c r="H59" s="315">
        <v>167.0</v>
      </c>
      <c r="I59" s="315">
        <v>201.0</v>
      </c>
      <c r="J59" s="315">
        <v>235.0</v>
      </c>
      <c r="K59" s="315">
        <v>270.0</v>
      </c>
      <c r="L59" s="315">
        <v>304.0</v>
      </c>
      <c r="M59" s="315">
        <v>339.0</v>
      </c>
      <c r="N59" s="315">
        <v>374.0</v>
      </c>
      <c r="O59" s="315">
        <v>410.0</v>
      </c>
    </row>
    <row r="60">
      <c r="A60" s="657" t="s">
        <v>427</v>
      </c>
      <c r="B60" s="662" t="s">
        <v>425</v>
      </c>
      <c r="C60" s="315">
        <v>1561.0</v>
      </c>
      <c r="D60" s="315">
        <v>2086.0</v>
      </c>
      <c r="E60" s="315">
        <v>2440.0</v>
      </c>
      <c r="F60" s="315">
        <v>2857.0</v>
      </c>
      <c r="G60" s="315">
        <v>3132.0</v>
      </c>
      <c r="H60" s="315">
        <v>3399.0</v>
      </c>
      <c r="I60" s="315">
        <v>3620.0</v>
      </c>
      <c r="J60" s="315">
        <v>3826.0</v>
      </c>
      <c r="K60" s="315">
        <v>3992.0</v>
      </c>
      <c r="L60" s="661">
        <v>4087.0</v>
      </c>
      <c r="M60" s="315">
        <v>4174.0</v>
      </c>
      <c r="N60" s="315">
        <v>4253.0</v>
      </c>
      <c r="O60" s="315">
        <v>4326.0</v>
      </c>
    </row>
    <row r="61">
      <c r="A61" s="657" t="s">
        <v>428</v>
      </c>
      <c r="B61" s="657" t="s">
        <v>419</v>
      </c>
      <c r="C61" s="315">
        <v>3678.0</v>
      </c>
      <c r="D61" s="315">
        <v>3850.0</v>
      </c>
      <c r="E61" s="315">
        <v>4019.0</v>
      </c>
      <c r="F61" s="315">
        <v>4278.0</v>
      </c>
      <c r="G61" s="315">
        <v>4416.0</v>
      </c>
      <c r="H61" s="315">
        <v>4526.0</v>
      </c>
      <c r="I61" s="661">
        <v>4610.0</v>
      </c>
      <c r="J61" s="315">
        <v>4658.0</v>
      </c>
      <c r="K61" s="661">
        <v>4658.0</v>
      </c>
      <c r="L61" s="661">
        <v>4647.0</v>
      </c>
      <c r="M61" s="315">
        <v>4650.0</v>
      </c>
      <c r="N61" s="315">
        <v>4669.0</v>
      </c>
      <c r="O61" s="315">
        <v>4699.0</v>
      </c>
    </row>
    <row r="62">
      <c r="A62" s="657" t="s">
        <v>429</v>
      </c>
      <c r="B62" s="657" t="s">
        <v>419</v>
      </c>
      <c r="C62" s="315">
        <v>151.0</v>
      </c>
      <c r="D62" s="315">
        <v>518.0</v>
      </c>
      <c r="E62" s="315">
        <v>1482.0</v>
      </c>
      <c r="F62" s="315">
        <v>2416.0</v>
      </c>
      <c r="G62" s="315">
        <v>2646.0</v>
      </c>
      <c r="H62" s="315">
        <v>2812.0</v>
      </c>
      <c r="I62" s="315">
        <v>2967.0</v>
      </c>
      <c r="J62" s="315">
        <v>3039.0</v>
      </c>
      <c r="K62" s="315">
        <v>3037.0</v>
      </c>
      <c r="L62" s="315">
        <v>3029.0</v>
      </c>
      <c r="M62" s="315">
        <v>3031.0</v>
      </c>
      <c r="N62" s="315">
        <v>3044.0</v>
      </c>
      <c r="O62" s="315">
        <v>3068.0</v>
      </c>
      <c r="Q62" s="663"/>
      <c r="R62" s="405" t="s">
        <v>430</v>
      </c>
      <c r="S62" s="664" t="s">
        <v>431</v>
      </c>
      <c r="T62" s="272" t="s">
        <v>432</v>
      </c>
      <c r="U62" s="122" t="s">
        <v>433</v>
      </c>
    </row>
    <row r="63">
      <c r="A63" s="662" t="s">
        <v>434</v>
      </c>
      <c r="B63" s="657" t="s">
        <v>419</v>
      </c>
      <c r="C63" s="315">
        <v>2528.0</v>
      </c>
      <c r="D63" s="315">
        <v>3010.0</v>
      </c>
      <c r="E63" s="315">
        <v>2996.0</v>
      </c>
      <c r="F63" s="315">
        <v>2134.0</v>
      </c>
      <c r="G63" s="315">
        <v>1072.0</v>
      </c>
      <c r="H63" s="315">
        <v>581.0</v>
      </c>
      <c r="I63" s="315">
        <v>319.0</v>
      </c>
      <c r="J63" s="315">
        <v>177.0</v>
      </c>
      <c r="K63" s="315">
        <v>124.0</v>
      </c>
      <c r="L63" s="315">
        <v>125.0</v>
      </c>
      <c r="M63" s="315">
        <v>126.0</v>
      </c>
      <c r="N63" s="315">
        <v>126.0</v>
      </c>
      <c r="O63" s="315">
        <v>126.0</v>
      </c>
      <c r="Q63" s="664" t="s">
        <v>435</v>
      </c>
      <c r="R63" s="665">
        <f>M56*M78+M79*M57</f>
        <v>365427</v>
      </c>
      <c r="S63" s="666">
        <f>R63*3.6*10^(-6)</f>
        <v>1.3155372</v>
      </c>
      <c r="T63" s="315"/>
      <c r="U63" s="667">
        <f t="shared" ref="U63:U64" si="9">S63/12</f>
        <v>0.1096281</v>
      </c>
    </row>
    <row r="64">
      <c r="A64" s="662" t="s">
        <v>436</v>
      </c>
      <c r="B64" s="657" t="s">
        <v>419</v>
      </c>
      <c r="C64" s="315">
        <v>1679.0</v>
      </c>
      <c r="D64" s="315">
        <v>2007.0</v>
      </c>
      <c r="E64" s="315">
        <v>2071.0</v>
      </c>
      <c r="F64" s="315">
        <v>1651.0</v>
      </c>
      <c r="G64" s="315">
        <v>1390.0</v>
      </c>
      <c r="H64" s="315">
        <v>1217.0</v>
      </c>
      <c r="I64" s="315">
        <v>1151.0</v>
      </c>
      <c r="J64" s="315">
        <v>1137.0</v>
      </c>
      <c r="K64" s="315">
        <v>1109.0</v>
      </c>
      <c r="L64" s="315">
        <v>1074.0</v>
      </c>
      <c r="M64" s="315">
        <v>1038.0</v>
      </c>
      <c r="N64" s="315">
        <v>1000.0</v>
      </c>
      <c r="O64" s="315">
        <v>962.0</v>
      </c>
      <c r="Q64" s="405" t="s">
        <v>437</v>
      </c>
      <c r="R64" s="668">
        <f t="shared" ref="R64:R65" si="10">M54*M76</f>
        <v>509212</v>
      </c>
      <c r="S64" s="669">
        <v>2.340751235</v>
      </c>
      <c r="T64" s="670"/>
      <c r="U64" s="667">
        <f t="shared" si="9"/>
        <v>0.1950626029</v>
      </c>
    </row>
    <row r="65">
      <c r="A65" s="662" t="s">
        <v>438</v>
      </c>
      <c r="B65" s="657" t="s">
        <v>419</v>
      </c>
      <c r="C65" s="315">
        <v>382.0</v>
      </c>
      <c r="D65" s="315">
        <v>1159.0</v>
      </c>
      <c r="E65" s="315">
        <v>2802.0</v>
      </c>
      <c r="F65" s="315">
        <v>3481.0</v>
      </c>
      <c r="G65" s="315">
        <v>3615.0</v>
      </c>
      <c r="H65" s="315">
        <v>3851.0</v>
      </c>
      <c r="I65" s="315">
        <v>4079.0</v>
      </c>
      <c r="J65" s="315">
        <v>4290.0</v>
      </c>
      <c r="K65" s="315">
        <v>4455.0</v>
      </c>
      <c r="L65" s="315">
        <v>4595.0</v>
      </c>
      <c r="M65" s="315">
        <v>4727.0</v>
      </c>
      <c r="N65" s="315">
        <v>4851.0</v>
      </c>
      <c r="O65" s="315">
        <v>4968.0</v>
      </c>
      <c r="Q65" s="129" t="s">
        <v>439</v>
      </c>
      <c r="R65" s="671">
        <f t="shared" si="10"/>
        <v>397656</v>
      </c>
    </row>
    <row r="66">
      <c r="A66" s="662" t="s">
        <v>440</v>
      </c>
      <c r="B66" s="657" t="s">
        <v>419</v>
      </c>
      <c r="C66" s="672"/>
      <c r="D66" s="672"/>
      <c r="E66" s="315">
        <v>88.0</v>
      </c>
      <c r="F66" s="315">
        <v>2531.0</v>
      </c>
      <c r="G66" s="315">
        <v>3464.0</v>
      </c>
      <c r="H66" s="315">
        <v>4214.0</v>
      </c>
      <c r="I66" s="315">
        <v>4622.0</v>
      </c>
      <c r="J66" s="315">
        <v>4950.0</v>
      </c>
      <c r="K66" s="315">
        <v>5222.0</v>
      </c>
      <c r="L66" s="315">
        <v>5464.0</v>
      </c>
      <c r="M66" s="315">
        <v>5693.0</v>
      </c>
      <c r="N66" s="315">
        <v>5908.0</v>
      </c>
      <c r="O66" s="315">
        <v>6111.0</v>
      </c>
      <c r="Q66" s="122" t="s">
        <v>441</v>
      </c>
      <c r="R66" s="673">
        <f>(L56+L57)*M77</f>
        <v>434280</v>
      </c>
    </row>
    <row r="67">
      <c r="A67" s="657" t="s">
        <v>442</v>
      </c>
      <c r="B67" s="657" t="s">
        <v>419</v>
      </c>
      <c r="C67" s="315">
        <v>906.0</v>
      </c>
      <c r="D67" s="315">
        <v>1857.0</v>
      </c>
      <c r="E67" s="315">
        <v>2438.0</v>
      </c>
      <c r="F67" s="315">
        <v>2788.0</v>
      </c>
      <c r="G67" s="315">
        <v>2482.0</v>
      </c>
      <c r="H67" s="315">
        <v>2380.0</v>
      </c>
      <c r="I67" s="315">
        <v>2379.0</v>
      </c>
      <c r="J67" s="315">
        <v>2379.0</v>
      </c>
      <c r="K67" s="315">
        <v>2379.0</v>
      </c>
      <c r="L67" s="315">
        <v>2379.0</v>
      </c>
      <c r="M67" s="315">
        <v>2379.0</v>
      </c>
      <c r="N67" s="315">
        <v>2379.0</v>
      </c>
      <c r="O67" s="315">
        <v>2379.0</v>
      </c>
      <c r="Q67" s="122" t="s">
        <v>443</v>
      </c>
      <c r="R67" s="674">
        <f>R66+R65+(M54-M56-M57)*M76</f>
        <v>973368</v>
      </c>
      <c r="S67" s="666">
        <f>R67*3.6*10^(-6)</f>
        <v>3.5041248</v>
      </c>
      <c r="U67" s="667">
        <f t="shared" ref="U67:U71" si="12">S67/12</f>
        <v>0.2920104</v>
      </c>
    </row>
    <row r="68">
      <c r="A68" s="662" t="s">
        <v>444</v>
      </c>
      <c r="B68" s="657" t="s">
        <v>419</v>
      </c>
      <c r="C68" s="315">
        <v>1678.0</v>
      </c>
      <c r="D68" s="315">
        <v>2075.0</v>
      </c>
      <c r="E68" s="315">
        <v>2237.0</v>
      </c>
      <c r="F68" s="315">
        <v>1540.0</v>
      </c>
      <c r="G68" s="315">
        <v>1270.0</v>
      </c>
      <c r="H68" s="315">
        <v>1228.0</v>
      </c>
      <c r="I68" s="315">
        <v>1282.0</v>
      </c>
      <c r="J68" s="315">
        <v>1398.0</v>
      </c>
      <c r="K68" s="315">
        <v>1461.0</v>
      </c>
      <c r="L68" s="315">
        <v>1415.0</v>
      </c>
      <c r="M68" s="315">
        <v>1368.0</v>
      </c>
      <c r="N68" s="315">
        <v>1318.0</v>
      </c>
      <c r="O68" s="315">
        <v>1268.0</v>
      </c>
      <c r="Q68" s="405" t="s">
        <v>445</v>
      </c>
      <c r="R68" s="668">
        <f t="shared" ref="R68:S68" si="11">R63+R64</f>
        <v>874639</v>
      </c>
      <c r="S68" s="675">
        <f t="shared" si="11"/>
        <v>3.656288435</v>
      </c>
      <c r="T68" s="670"/>
      <c r="U68" s="667">
        <f t="shared" si="12"/>
        <v>0.3046907029</v>
      </c>
    </row>
    <row r="69">
      <c r="Q69" s="664" t="s">
        <v>446</v>
      </c>
      <c r="R69" s="665">
        <v>1358252.47</v>
      </c>
      <c r="S69" s="666">
        <v>4.88970887</v>
      </c>
      <c r="T69" s="315"/>
      <c r="U69" s="667">
        <f t="shared" si="12"/>
        <v>0.4074757392</v>
      </c>
    </row>
    <row r="70">
      <c r="Q70" s="664" t="s">
        <v>447</v>
      </c>
      <c r="R70" s="665">
        <v>986672.579</v>
      </c>
      <c r="S70" s="666">
        <v>3.55202129</v>
      </c>
      <c r="T70" s="676">
        <v>0.27</v>
      </c>
      <c r="U70" s="667">
        <f t="shared" si="12"/>
        <v>0.2960017742</v>
      </c>
    </row>
    <row r="71">
      <c r="Q71" s="122" t="s">
        <v>448</v>
      </c>
      <c r="R71" s="206">
        <v>496320.0</v>
      </c>
      <c r="S71" s="667">
        <f>R71*3.6*10^(-6)</f>
        <v>1.786752</v>
      </c>
      <c r="U71" s="667">
        <f t="shared" si="12"/>
        <v>0.148896</v>
      </c>
    </row>
    <row r="72">
      <c r="A72" s="21" t="s">
        <v>449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677"/>
      <c r="Q72" s="677"/>
      <c r="R72" s="677"/>
      <c r="S72" s="677"/>
      <c r="T72" s="677"/>
      <c r="U72" s="677"/>
      <c r="V72" s="677"/>
      <c r="W72" s="677"/>
      <c r="X72" s="677"/>
      <c r="Y72" s="677"/>
      <c r="Z72" s="677"/>
      <c r="AA72" s="677"/>
      <c r="AB72" s="677"/>
      <c r="AC72" s="25"/>
      <c r="AD72" s="25"/>
      <c r="AE72" s="25"/>
      <c r="AF72" s="25"/>
      <c r="AG72" s="25"/>
      <c r="AH72" s="25"/>
      <c r="AI72" s="25"/>
    </row>
    <row r="73">
      <c r="A73" s="678" t="s">
        <v>450</v>
      </c>
      <c r="B73" s="679"/>
      <c r="C73" s="680"/>
      <c r="D73" s="680"/>
      <c r="E73" s="680"/>
      <c r="F73" s="680"/>
      <c r="G73" s="680"/>
      <c r="H73" s="680"/>
      <c r="I73" s="680"/>
      <c r="J73" s="680"/>
      <c r="K73" s="680"/>
      <c r="L73" s="680"/>
      <c r="M73" s="680"/>
      <c r="N73" s="680"/>
      <c r="O73" s="680"/>
    </row>
    <row r="74">
      <c r="A74" s="657" t="s">
        <v>416</v>
      </c>
      <c r="B74" s="657" t="s">
        <v>417</v>
      </c>
      <c r="C74" s="681">
        <v>2000.0</v>
      </c>
      <c r="D74" s="681">
        <v>2005.0</v>
      </c>
      <c r="E74" s="681">
        <v>2010.0</v>
      </c>
      <c r="F74" s="681">
        <v>2015.0</v>
      </c>
      <c r="G74" s="681">
        <v>2020.0</v>
      </c>
      <c r="H74" s="681">
        <v>2025.0</v>
      </c>
      <c r="I74" s="681">
        <v>2030.0</v>
      </c>
      <c r="J74" s="681">
        <v>2035.0</v>
      </c>
      <c r="K74" s="681">
        <v>2040.0</v>
      </c>
      <c r="L74" s="681">
        <v>2045.0</v>
      </c>
      <c r="M74" s="681">
        <v>2050.0</v>
      </c>
      <c r="N74" s="681">
        <v>2055.0</v>
      </c>
      <c r="O74" s="681">
        <v>2060.0</v>
      </c>
    </row>
    <row r="75">
      <c r="A75" s="657" t="s">
        <v>418</v>
      </c>
      <c r="B75" s="657" t="s">
        <v>419</v>
      </c>
      <c r="C75" s="348">
        <v>305.0</v>
      </c>
      <c r="D75" s="348">
        <v>265.0</v>
      </c>
      <c r="E75" s="348">
        <v>239.0</v>
      </c>
      <c r="F75" s="348">
        <v>221.0</v>
      </c>
      <c r="G75" s="348">
        <v>206.0</v>
      </c>
      <c r="H75" s="348">
        <v>194.0</v>
      </c>
      <c r="I75" s="348">
        <v>183.0</v>
      </c>
      <c r="J75" s="348">
        <v>175.0</v>
      </c>
      <c r="K75" s="348">
        <v>168.0</v>
      </c>
      <c r="L75" s="348">
        <v>163.0</v>
      </c>
      <c r="M75" s="348">
        <v>158.0</v>
      </c>
      <c r="N75" s="348">
        <v>154.0</v>
      </c>
      <c r="O75" s="348">
        <v>150.0</v>
      </c>
    </row>
    <row r="76">
      <c r="A76" s="657" t="s">
        <v>420</v>
      </c>
      <c r="B76" s="657" t="s">
        <v>419</v>
      </c>
      <c r="C76" s="348">
        <v>291.0</v>
      </c>
      <c r="D76" s="348">
        <v>277.0</v>
      </c>
      <c r="E76" s="348">
        <v>256.0</v>
      </c>
      <c r="F76" s="348">
        <v>222.0</v>
      </c>
      <c r="G76" s="348">
        <v>193.0</v>
      </c>
      <c r="H76" s="348">
        <v>174.0</v>
      </c>
      <c r="I76" s="348">
        <v>164.0</v>
      </c>
      <c r="J76" s="348">
        <v>158.0</v>
      </c>
      <c r="K76" s="348">
        <v>153.0</v>
      </c>
      <c r="L76" s="348">
        <v>147.0</v>
      </c>
      <c r="M76" s="348">
        <v>142.0</v>
      </c>
      <c r="N76" s="348">
        <v>135.0</v>
      </c>
      <c r="O76" s="348">
        <v>129.0</v>
      </c>
    </row>
    <row r="77">
      <c r="A77" s="657" t="s">
        <v>421</v>
      </c>
      <c r="B77" s="657" t="s">
        <v>419</v>
      </c>
      <c r="C77" s="348">
        <v>383.0</v>
      </c>
      <c r="D77" s="348">
        <v>362.0</v>
      </c>
      <c r="E77" s="348">
        <v>327.0</v>
      </c>
      <c r="F77" s="348">
        <v>283.0</v>
      </c>
      <c r="G77" s="348">
        <v>246.0</v>
      </c>
      <c r="H77" s="348">
        <v>220.0</v>
      </c>
      <c r="I77" s="348">
        <v>203.0</v>
      </c>
      <c r="J77" s="348">
        <v>193.0</v>
      </c>
      <c r="K77" s="348">
        <v>185.0</v>
      </c>
      <c r="L77" s="348">
        <v>177.0</v>
      </c>
      <c r="M77" s="348">
        <v>168.0</v>
      </c>
      <c r="N77" s="348">
        <v>159.0</v>
      </c>
      <c r="O77" s="348">
        <v>152.0</v>
      </c>
    </row>
    <row r="78">
      <c r="A78" s="657" t="s">
        <v>422</v>
      </c>
      <c r="B78" s="657" t="s">
        <v>419</v>
      </c>
      <c r="C78" s="348">
        <v>441.0</v>
      </c>
      <c r="D78" s="348">
        <v>407.0</v>
      </c>
      <c r="E78" s="348">
        <v>379.0</v>
      </c>
      <c r="F78" s="348">
        <v>342.0</v>
      </c>
      <c r="G78" s="348">
        <v>296.0</v>
      </c>
      <c r="H78" s="348">
        <v>227.0</v>
      </c>
      <c r="I78" s="348">
        <v>181.0</v>
      </c>
      <c r="J78" s="348">
        <v>160.0</v>
      </c>
      <c r="K78" s="348">
        <v>149.0</v>
      </c>
      <c r="L78" s="348">
        <v>138.0</v>
      </c>
      <c r="M78" s="348">
        <v>129.0</v>
      </c>
      <c r="N78" s="348">
        <v>119.0</v>
      </c>
      <c r="O78" s="348">
        <v>112.0</v>
      </c>
    </row>
    <row r="79">
      <c r="A79" s="657" t="s">
        <v>423</v>
      </c>
      <c r="B79" s="657" t="s">
        <v>419</v>
      </c>
      <c r="C79" s="348">
        <v>315.0</v>
      </c>
      <c r="D79" s="348">
        <v>310.0</v>
      </c>
      <c r="E79" s="348">
        <v>291.0</v>
      </c>
      <c r="F79" s="348">
        <v>263.0</v>
      </c>
      <c r="G79" s="348">
        <v>234.0</v>
      </c>
      <c r="H79" s="348">
        <v>203.0</v>
      </c>
      <c r="I79" s="348">
        <v>177.0</v>
      </c>
      <c r="J79" s="348">
        <v>163.0</v>
      </c>
      <c r="K79" s="348">
        <v>155.0</v>
      </c>
      <c r="L79" s="348">
        <v>149.0</v>
      </c>
      <c r="M79" s="348">
        <v>142.0</v>
      </c>
      <c r="N79" s="348">
        <v>136.0</v>
      </c>
      <c r="O79" s="348">
        <v>130.0</v>
      </c>
    </row>
    <row r="80">
      <c r="A80" s="662" t="s">
        <v>424</v>
      </c>
      <c r="B80" s="662" t="s">
        <v>425</v>
      </c>
      <c r="C80" s="348">
        <v>234.0</v>
      </c>
      <c r="D80" s="348">
        <v>219.0</v>
      </c>
      <c r="E80" s="348">
        <v>208.0</v>
      </c>
      <c r="F80" s="348">
        <v>180.0</v>
      </c>
      <c r="G80" s="348">
        <v>153.0</v>
      </c>
      <c r="H80" s="348">
        <v>137.0</v>
      </c>
      <c r="I80" s="348">
        <v>130.0</v>
      </c>
      <c r="J80" s="348">
        <v>122.0</v>
      </c>
      <c r="K80" s="348">
        <v>113.0</v>
      </c>
      <c r="L80" s="348">
        <v>106.0</v>
      </c>
      <c r="M80" s="348">
        <v>101.0</v>
      </c>
      <c r="N80" s="348">
        <v>96.0</v>
      </c>
      <c r="O80" s="348">
        <v>92.0</v>
      </c>
    </row>
    <row r="81">
      <c r="A81" s="657" t="s">
        <v>426</v>
      </c>
      <c r="B81" s="662" t="s">
        <v>425</v>
      </c>
      <c r="C81" s="348">
        <v>612.0</v>
      </c>
      <c r="D81" s="348">
        <v>592.0</v>
      </c>
      <c r="E81" s="348">
        <v>609.0</v>
      </c>
      <c r="F81" s="348">
        <v>509.0</v>
      </c>
      <c r="G81" s="348">
        <v>425.0</v>
      </c>
      <c r="H81" s="348">
        <v>384.0</v>
      </c>
      <c r="I81" s="348">
        <v>354.0</v>
      </c>
      <c r="J81" s="348">
        <v>328.0</v>
      </c>
      <c r="K81" s="348">
        <v>311.0</v>
      </c>
      <c r="L81" s="348">
        <v>297.0</v>
      </c>
      <c r="M81" s="348">
        <v>284.0</v>
      </c>
      <c r="N81" s="348">
        <v>270.0</v>
      </c>
      <c r="O81" s="348">
        <v>257.0</v>
      </c>
    </row>
    <row r="82">
      <c r="A82" s="657" t="s">
        <v>427</v>
      </c>
      <c r="B82" s="662" t="s">
        <v>425</v>
      </c>
      <c r="C82" s="348">
        <v>353.0</v>
      </c>
      <c r="D82" s="348">
        <v>344.0</v>
      </c>
      <c r="E82" s="348">
        <v>353.0</v>
      </c>
      <c r="F82" s="348">
        <v>300.0</v>
      </c>
      <c r="G82" s="348">
        <v>236.0</v>
      </c>
      <c r="H82" s="348">
        <v>174.0</v>
      </c>
      <c r="I82" s="348">
        <v>125.0</v>
      </c>
      <c r="J82" s="348">
        <v>112.0</v>
      </c>
      <c r="K82" s="348">
        <v>110.0</v>
      </c>
      <c r="L82" s="348">
        <v>109.0</v>
      </c>
      <c r="M82" s="348">
        <v>110.0</v>
      </c>
      <c r="N82" s="348">
        <v>109.0</v>
      </c>
      <c r="O82" s="348">
        <v>108.0</v>
      </c>
    </row>
    <row r="83">
      <c r="A83" s="657" t="s">
        <v>428</v>
      </c>
      <c r="B83" s="657" t="s">
        <v>419</v>
      </c>
      <c r="C83" s="348">
        <v>144.0</v>
      </c>
      <c r="D83" s="348">
        <v>142.0</v>
      </c>
      <c r="E83" s="348">
        <v>165.0</v>
      </c>
      <c r="F83" s="348">
        <v>112.0</v>
      </c>
      <c r="G83" s="348">
        <v>100.0</v>
      </c>
      <c r="H83" s="348">
        <v>111.0</v>
      </c>
      <c r="I83" s="348">
        <v>119.0</v>
      </c>
      <c r="J83" s="348">
        <v>123.0</v>
      </c>
      <c r="K83" s="348">
        <v>121.0</v>
      </c>
      <c r="L83" s="348">
        <v>118.0</v>
      </c>
      <c r="M83" s="348">
        <v>115.0</v>
      </c>
      <c r="N83" s="348">
        <v>111.0</v>
      </c>
      <c r="O83" s="348">
        <v>107.0</v>
      </c>
    </row>
    <row r="84">
      <c r="A84" s="657" t="s">
        <v>429</v>
      </c>
      <c r="B84" s="657" t="s">
        <v>419</v>
      </c>
      <c r="C84" s="348">
        <v>187.0</v>
      </c>
      <c r="D84" s="348">
        <v>120.0</v>
      </c>
      <c r="E84" s="348">
        <v>76.0</v>
      </c>
      <c r="F84" s="348">
        <v>75.0</v>
      </c>
      <c r="G84" s="348">
        <v>62.0</v>
      </c>
      <c r="H84" s="348">
        <v>57.0</v>
      </c>
      <c r="I84" s="348">
        <v>53.0</v>
      </c>
      <c r="J84" s="348">
        <v>51.0</v>
      </c>
      <c r="K84" s="348">
        <v>49.0</v>
      </c>
      <c r="L84" s="348">
        <v>47.0</v>
      </c>
      <c r="M84" s="348">
        <v>45.0</v>
      </c>
      <c r="N84" s="348">
        <v>44.0</v>
      </c>
      <c r="O84" s="348">
        <v>42.0</v>
      </c>
    </row>
    <row r="85">
      <c r="A85" s="662" t="s">
        <v>434</v>
      </c>
      <c r="B85" s="657" t="s">
        <v>419</v>
      </c>
      <c r="C85" s="348">
        <v>55.0</v>
      </c>
      <c r="D85" s="348">
        <v>42.0</v>
      </c>
      <c r="E85" s="348">
        <v>28.0</v>
      </c>
      <c r="F85" s="348">
        <v>17.0</v>
      </c>
      <c r="G85" s="348">
        <v>13.0</v>
      </c>
      <c r="H85" s="348">
        <v>12.0</v>
      </c>
      <c r="I85" s="348">
        <v>12.0</v>
      </c>
      <c r="J85" s="348">
        <v>12.0</v>
      </c>
      <c r="K85" s="348">
        <v>11.0</v>
      </c>
      <c r="L85" s="348">
        <v>11.0</v>
      </c>
      <c r="M85" s="348">
        <v>11.0</v>
      </c>
      <c r="N85" s="348">
        <v>11.0</v>
      </c>
      <c r="O85" s="348">
        <v>11.0</v>
      </c>
    </row>
    <row r="86">
      <c r="A86" s="662" t="s">
        <v>436</v>
      </c>
      <c r="B86" s="657" t="s">
        <v>419</v>
      </c>
      <c r="C86" s="348">
        <v>136.0</v>
      </c>
      <c r="D86" s="348">
        <v>109.0</v>
      </c>
      <c r="E86" s="348">
        <v>96.0</v>
      </c>
      <c r="F86" s="348">
        <v>78.0</v>
      </c>
      <c r="G86" s="348">
        <v>70.0</v>
      </c>
      <c r="H86" s="348">
        <v>66.0</v>
      </c>
      <c r="I86" s="348">
        <v>65.0</v>
      </c>
      <c r="J86" s="348">
        <v>64.0</v>
      </c>
      <c r="K86" s="348">
        <v>63.0</v>
      </c>
      <c r="L86" s="348">
        <v>62.0</v>
      </c>
      <c r="M86" s="348">
        <v>61.0</v>
      </c>
      <c r="N86" s="348">
        <v>60.0</v>
      </c>
      <c r="O86" s="348">
        <v>60.0</v>
      </c>
    </row>
    <row r="87">
      <c r="A87" s="662" t="s">
        <v>438</v>
      </c>
      <c r="B87" s="657" t="s">
        <v>419</v>
      </c>
      <c r="C87" s="348">
        <v>51.0</v>
      </c>
      <c r="D87" s="348">
        <v>53.0</v>
      </c>
      <c r="E87" s="348">
        <v>35.0</v>
      </c>
      <c r="F87" s="348">
        <v>22.0</v>
      </c>
      <c r="G87" s="348">
        <v>20.0</v>
      </c>
      <c r="H87" s="348">
        <v>20.0</v>
      </c>
      <c r="I87" s="348">
        <v>20.0</v>
      </c>
      <c r="J87" s="348">
        <v>19.0</v>
      </c>
      <c r="K87" s="348">
        <v>19.0</v>
      </c>
      <c r="L87" s="348">
        <v>19.0</v>
      </c>
      <c r="M87" s="348">
        <v>18.0</v>
      </c>
      <c r="N87" s="348">
        <v>18.0</v>
      </c>
      <c r="O87" s="348">
        <v>18.0</v>
      </c>
    </row>
    <row r="88">
      <c r="A88" s="662" t="s">
        <v>440</v>
      </c>
      <c r="B88" s="657" t="s">
        <v>419</v>
      </c>
      <c r="C88" s="682"/>
      <c r="D88" s="682"/>
      <c r="E88" s="348">
        <v>11.0</v>
      </c>
      <c r="F88" s="348">
        <v>7.0</v>
      </c>
      <c r="G88" s="348">
        <v>6.0</v>
      </c>
      <c r="H88" s="348">
        <v>6.0</v>
      </c>
      <c r="I88" s="348">
        <v>7.0</v>
      </c>
      <c r="J88" s="348">
        <v>7.0</v>
      </c>
      <c r="K88" s="348">
        <v>7.0</v>
      </c>
      <c r="L88" s="348">
        <v>7.0</v>
      </c>
      <c r="M88" s="348">
        <v>7.0</v>
      </c>
      <c r="N88" s="348">
        <v>6.0</v>
      </c>
      <c r="O88" s="348">
        <v>6.0</v>
      </c>
    </row>
    <row r="89">
      <c r="A89" s="657" t="s">
        <v>442</v>
      </c>
      <c r="B89" s="657" t="s">
        <v>419</v>
      </c>
      <c r="C89" s="348">
        <v>36.0</v>
      </c>
      <c r="D89" s="348">
        <v>26.0</v>
      </c>
      <c r="E89" s="348">
        <v>18.0</v>
      </c>
      <c r="F89" s="348">
        <v>18.0</v>
      </c>
      <c r="G89" s="348">
        <v>13.0</v>
      </c>
      <c r="H89" s="348">
        <v>13.0</v>
      </c>
      <c r="I89" s="348">
        <v>12.0</v>
      </c>
      <c r="J89" s="348">
        <v>12.0</v>
      </c>
      <c r="K89" s="348">
        <v>12.0</v>
      </c>
      <c r="L89" s="348">
        <v>12.0</v>
      </c>
      <c r="M89" s="348">
        <v>11.0</v>
      </c>
      <c r="N89" s="348">
        <v>11.0</v>
      </c>
      <c r="O89" s="348">
        <v>11.0</v>
      </c>
    </row>
    <row r="90">
      <c r="A90" s="662" t="s">
        <v>444</v>
      </c>
      <c r="B90" s="657" t="s">
        <v>419</v>
      </c>
      <c r="C90" s="348">
        <v>124.0</v>
      </c>
      <c r="D90" s="348">
        <v>73.0</v>
      </c>
      <c r="E90" s="348">
        <v>39.0</v>
      </c>
      <c r="F90" s="348">
        <v>31.0</v>
      </c>
      <c r="G90" s="348">
        <v>24.0</v>
      </c>
      <c r="H90" s="348">
        <v>21.0</v>
      </c>
      <c r="I90" s="348">
        <v>19.0</v>
      </c>
      <c r="J90" s="348">
        <v>17.0</v>
      </c>
      <c r="K90" s="348">
        <v>16.0</v>
      </c>
      <c r="L90" s="348">
        <v>15.0</v>
      </c>
      <c r="M90" s="348">
        <v>15.0</v>
      </c>
      <c r="N90" s="348">
        <v>15.0</v>
      </c>
      <c r="O90" s="348">
        <v>15.0</v>
      </c>
    </row>
    <row r="93">
      <c r="A93" s="21" t="s">
        <v>451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>
      <c r="A94" s="678" t="s">
        <v>452</v>
      </c>
      <c r="B94" s="679"/>
      <c r="C94" s="680"/>
      <c r="D94" s="680"/>
      <c r="E94" s="680"/>
      <c r="F94" s="680"/>
      <c r="G94" s="680"/>
      <c r="H94" s="680"/>
      <c r="I94" s="680"/>
      <c r="J94" s="680"/>
      <c r="K94" s="680"/>
      <c r="L94" s="680"/>
      <c r="M94" s="680"/>
      <c r="N94" s="680"/>
      <c r="O94" s="680"/>
    </row>
    <row r="95">
      <c r="A95" s="657" t="s">
        <v>416</v>
      </c>
      <c r="B95" s="657" t="s">
        <v>417</v>
      </c>
      <c r="C95" s="681">
        <v>2000.0</v>
      </c>
      <c r="D95" s="681">
        <v>2005.0</v>
      </c>
      <c r="E95" s="681">
        <v>2010.0</v>
      </c>
      <c r="F95" s="681">
        <v>2015.0</v>
      </c>
      <c r="G95" s="681">
        <v>2020.0</v>
      </c>
      <c r="H95" s="681">
        <v>2025.0</v>
      </c>
      <c r="I95" s="681">
        <v>2030.0</v>
      </c>
      <c r="J95" s="681">
        <v>2035.0</v>
      </c>
      <c r="K95" s="681">
        <v>2040.0</v>
      </c>
      <c r="L95" s="681">
        <v>2045.0</v>
      </c>
      <c r="M95" s="681">
        <v>2050.0</v>
      </c>
      <c r="N95" s="681">
        <v>2055.0</v>
      </c>
      <c r="O95" s="681">
        <v>2060.0</v>
      </c>
    </row>
    <row r="96">
      <c r="A96" s="657" t="s">
        <v>418</v>
      </c>
      <c r="B96" s="657" t="s">
        <v>419</v>
      </c>
      <c r="C96" s="348">
        <v>258.0</v>
      </c>
      <c r="D96" s="348">
        <v>229.0</v>
      </c>
      <c r="E96" s="348">
        <v>223.0</v>
      </c>
      <c r="F96" s="348">
        <v>200.0</v>
      </c>
      <c r="G96" s="348">
        <v>193.0</v>
      </c>
      <c r="H96" s="348">
        <v>181.0</v>
      </c>
      <c r="I96" s="348">
        <v>172.0</v>
      </c>
      <c r="J96" s="348">
        <v>167.0</v>
      </c>
      <c r="K96" s="348">
        <v>161.0</v>
      </c>
      <c r="L96" s="348">
        <v>157.0</v>
      </c>
      <c r="M96" s="348">
        <v>153.0</v>
      </c>
      <c r="N96" s="348">
        <v>150.0</v>
      </c>
      <c r="O96" s="348">
        <v>146.0</v>
      </c>
    </row>
    <row r="97">
      <c r="A97" s="657" t="s">
        <v>420</v>
      </c>
      <c r="B97" s="657" t="s">
        <v>419</v>
      </c>
      <c r="C97" s="348">
        <v>271.0</v>
      </c>
      <c r="D97" s="348">
        <v>235.0</v>
      </c>
      <c r="E97" s="348">
        <v>198.0</v>
      </c>
      <c r="F97" s="348">
        <v>160.0</v>
      </c>
      <c r="G97" s="348">
        <v>157.0</v>
      </c>
      <c r="H97" s="348">
        <v>151.0</v>
      </c>
      <c r="I97" s="348">
        <v>146.0</v>
      </c>
      <c r="J97" s="348">
        <v>141.0</v>
      </c>
      <c r="K97" s="348">
        <v>137.0</v>
      </c>
      <c r="L97" s="348">
        <v>133.0</v>
      </c>
      <c r="M97" s="348">
        <v>126.0</v>
      </c>
      <c r="N97" s="348">
        <v>119.0</v>
      </c>
      <c r="O97" s="348">
        <v>113.0</v>
      </c>
    </row>
    <row r="98">
      <c r="A98" s="657" t="s">
        <v>421</v>
      </c>
      <c r="B98" s="657" t="s">
        <v>419</v>
      </c>
      <c r="C98" s="348">
        <v>353.0</v>
      </c>
      <c r="D98" s="348">
        <v>297.0</v>
      </c>
      <c r="E98" s="348">
        <v>256.0</v>
      </c>
      <c r="F98" s="348">
        <v>197.0</v>
      </c>
      <c r="G98" s="348">
        <v>188.0</v>
      </c>
      <c r="H98" s="348">
        <v>183.0</v>
      </c>
      <c r="I98" s="348">
        <v>178.0</v>
      </c>
      <c r="J98" s="348">
        <v>169.0</v>
      </c>
      <c r="K98" s="348">
        <v>161.0</v>
      </c>
      <c r="L98" s="348">
        <v>152.0</v>
      </c>
      <c r="M98" s="348">
        <v>145.0</v>
      </c>
      <c r="N98" s="348">
        <v>139.0</v>
      </c>
      <c r="O98" s="348">
        <v>133.0</v>
      </c>
    </row>
    <row r="99">
      <c r="A99" s="657" t="s">
        <v>422</v>
      </c>
      <c r="B99" s="657" t="s">
        <v>419</v>
      </c>
      <c r="C99" s="348">
        <v>370.0</v>
      </c>
      <c r="D99" s="348">
        <v>319.0</v>
      </c>
      <c r="E99" s="348">
        <v>220.0</v>
      </c>
      <c r="F99" s="348">
        <v>158.0</v>
      </c>
      <c r="G99" s="348">
        <v>163.0</v>
      </c>
      <c r="H99" s="348">
        <v>157.0</v>
      </c>
      <c r="I99" s="348">
        <v>149.0</v>
      </c>
      <c r="J99" s="348">
        <v>139.0</v>
      </c>
      <c r="K99" s="348">
        <v>131.0</v>
      </c>
      <c r="L99" s="348">
        <v>122.0</v>
      </c>
      <c r="M99" s="348">
        <v>111.0</v>
      </c>
      <c r="N99" s="348">
        <v>108.0</v>
      </c>
      <c r="O99" s="348">
        <v>106.0</v>
      </c>
    </row>
    <row r="100">
      <c r="A100" s="657" t="s">
        <v>423</v>
      </c>
      <c r="B100" s="657" t="s">
        <v>419</v>
      </c>
      <c r="C100" s="348">
        <v>308.0</v>
      </c>
      <c r="D100" s="348">
        <v>268.0</v>
      </c>
      <c r="E100" s="348">
        <v>224.0</v>
      </c>
      <c r="F100" s="348">
        <v>169.0</v>
      </c>
      <c r="G100" s="348">
        <v>166.0</v>
      </c>
      <c r="H100" s="348">
        <v>163.0</v>
      </c>
      <c r="I100" s="348">
        <v>157.0</v>
      </c>
      <c r="J100" s="348">
        <v>149.0</v>
      </c>
      <c r="K100" s="348">
        <v>143.0</v>
      </c>
      <c r="L100" s="348">
        <v>138.0</v>
      </c>
      <c r="M100" s="348">
        <v>131.0</v>
      </c>
      <c r="N100" s="348">
        <v>125.0</v>
      </c>
      <c r="O100" s="348">
        <v>120.0</v>
      </c>
    </row>
    <row r="101">
      <c r="A101" s="662" t="s">
        <v>424</v>
      </c>
      <c r="B101" s="662" t="s">
        <v>425</v>
      </c>
      <c r="C101" s="348">
        <v>218.0</v>
      </c>
      <c r="D101" s="348">
        <v>211.0</v>
      </c>
      <c r="E101" s="348">
        <v>189.0</v>
      </c>
      <c r="F101" s="348">
        <v>141.0</v>
      </c>
      <c r="G101" s="348">
        <v>137.0</v>
      </c>
      <c r="H101" s="348">
        <v>130.0</v>
      </c>
      <c r="I101" s="348">
        <v>121.0</v>
      </c>
      <c r="J101" s="348">
        <v>113.0</v>
      </c>
      <c r="K101" s="348">
        <v>105.0</v>
      </c>
      <c r="L101" s="348">
        <v>100.0</v>
      </c>
      <c r="M101" s="348">
        <v>96.0</v>
      </c>
      <c r="N101" s="348">
        <v>92.0</v>
      </c>
      <c r="O101" s="348">
        <v>88.0</v>
      </c>
    </row>
    <row r="102">
      <c r="A102" s="657" t="s">
        <v>426</v>
      </c>
      <c r="B102" s="662" t="s">
        <v>425</v>
      </c>
      <c r="C102" s="348">
        <v>603.0</v>
      </c>
      <c r="D102" s="348">
        <v>603.0</v>
      </c>
      <c r="E102" s="348">
        <v>621.0</v>
      </c>
      <c r="F102" s="348">
        <v>409.0</v>
      </c>
      <c r="G102" s="348">
        <v>390.0</v>
      </c>
      <c r="H102" s="348">
        <v>358.0</v>
      </c>
      <c r="I102" s="348">
        <v>325.0</v>
      </c>
      <c r="J102" s="348">
        <v>311.0</v>
      </c>
      <c r="K102" s="348">
        <v>299.0</v>
      </c>
      <c r="L102" s="348">
        <v>284.0</v>
      </c>
      <c r="M102" s="348">
        <v>271.0</v>
      </c>
      <c r="N102" s="348">
        <v>258.0</v>
      </c>
      <c r="O102" s="348">
        <v>245.0</v>
      </c>
    </row>
    <row r="103">
      <c r="A103" s="657" t="s">
        <v>427</v>
      </c>
      <c r="B103" s="662" t="s">
        <v>425</v>
      </c>
      <c r="C103" s="348">
        <v>340.0</v>
      </c>
      <c r="D103" s="348">
        <v>363.0</v>
      </c>
      <c r="E103" s="348">
        <v>358.0</v>
      </c>
      <c r="F103" s="348">
        <v>134.0</v>
      </c>
      <c r="G103" s="348">
        <v>122.0</v>
      </c>
      <c r="H103" s="348">
        <v>115.0</v>
      </c>
      <c r="I103" s="348">
        <v>106.0</v>
      </c>
      <c r="J103" s="348">
        <v>109.0</v>
      </c>
      <c r="K103" s="348">
        <v>111.0</v>
      </c>
      <c r="L103" s="348">
        <v>110.0</v>
      </c>
      <c r="M103" s="348">
        <v>108.0</v>
      </c>
      <c r="N103" s="348">
        <v>107.0</v>
      </c>
      <c r="O103" s="348">
        <v>106.0</v>
      </c>
    </row>
    <row r="104">
      <c r="A104" s="657" t="s">
        <v>428</v>
      </c>
      <c r="B104" s="657" t="s">
        <v>419</v>
      </c>
      <c r="C104" s="348">
        <v>155.0</v>
      </c>
      <c r="D104" s="348">
        <v>161.0</v>
      </c>
      <c r="E104" s="348">
        <v>146.0</v>
      </c>
      <c r="F104" s="348">
        <v>87.0</v>
      </c>
      <c r="G104" s="348">
        <v>124.0</v>
      </c>
      <c r="H104" s="348">
        <v>134.0</v>
      </c>
      <c r="I104" s="348">
        <v>139.0</v>
      </c>
      <c r="J104" s="348">
        <v>134.0</v>
      </c>
      <c r="K104" s="348">
        <v>129.0</v>
      </c>
      <c r="L104" s="348">
        <v>124.0</v>
      </c>
      <c r="M104" s="348">
        <v>119.0</v>
      </c>
      <c r="N104" s="348">
        <v>115.0</v>
      </c>
      <c r="O104" s="348">
        <v>110.0</v>
      </c>
    </row>
    <row r="105">
      <c r="A105" s="657" t="s">
        <v>429</v>
      </c>
      <c r="B105" s="657" t="s">
        <v>419</v>
      </c>
      <c r="C105" s="348">
        <v>181.0</v>
      </c>
      <c r="D105" s="348">
        <v>63.0</v>
      </c>
      <c r="E105" s="348">
        <v>84.0</v>
      </c>
      <c r="F105" s="348">
        <v>68.0</v>
      </c>
      <c r="G105" s="348">
        <v>58.0</v>
      </c>
      <c r="H105" s="348">
        <v>54.0</v>
      </c>
      <c r="I105" s="348">
        <v>51.0</v>
      </c>
      <c r="J105" s="348">
        <v>50.0</v>
      </c>
      <c r="K105" s="348">
        <v>48.0</v>
      </c>
      <c r="L105" s="348">
        <v>46.0</v>
      </c>
      <c r="M105" s="348">
        <v>44.0</v>
      </c>
      <c r="N105" s="348">
        <v>43.0</v>
      </c>
      <c r="O105" s="348">
        <v>41.0</v>
      </c>
    </row>
    <row r="106">
      <c r="A106" s="662" t="s">
        <v>434</v>
      </c>
      <c r="B106" s="657" t="s">
        <v>419</v>
      </c>
      <c r="C106" s="348">
        <v>44.0</v>
      </c>
      <c r="D106" s="348">
        <v>37.0</v>
      </c>
      <c r="E106" s="348">
        <v>19.0</v>
      </c>
      <c r="F106" s="348">
        <v>14.0</v>
      </c>
      <c r="G106" s="348">
        <v>12.0</v>
      </c>
      <c r="H106" s="348">
        <v>12.0</v>
      </c>
      <c r="I106" s="348">
        <v>12.0</v>
      </c>
      <c r="J106" s="348">
        <v>12.0</v>
      </c>
      <c r="K106" s="348">
        <v>11.0</v>
      </c>
      <c r="L106" s="348">
        <v>11.0</v>
      </c>
      <c r="M106" s="348">
        <v>11.0</v>
      </c>
      <c r="N106" s="348">
        <v>11.0</v>
      </c>
      <c r="O106" s="348">
        <v>11.0</v>
      </c>
    </row>
    <row r="107">
      <c r="A107" s="662" t="s">
        <v>436</v>
      </c>
      <c r="B107" s="657" t="s">
        <v>419</v>
      </c>
      <c r="C107" s="348">
        <v>119.0</v>
      </c>
      <c r="D107" s="348">
        <v>115.0</v>
      </c>
      <c r="E107" s="348">
        <v>81.0</v>
      </c>
      <c r="F107" s="348">
        <v>75.0</v>
      </c>
      <c r="G107" s="348">
        <v>66.0</v>
      </c>
      <c r="H107" s="348">
        <v>65.0</v>
      </c>
      <c r="I107" s="348">
        <v>63.0</v>
      </c>
      <c r="J107" s="348">
        <v>62.0</v>
      </c>
      <c r="K107" s="348">
        <v>61.0</v>
      </c>
      <c r="L107" s="348">
        <v>59.0</v>
      </c>
      <c r="M107" s="348">
        <v>58.0</v>
      </c>
      <c r="N107" s="348">
        <v>57.0</v>
      </c>
      <c r="O107" s="348">
        <v>57.0</v>
      </c>
    </row>
    <row r="108">
      <c r="A108" s="662" t="s">
        <v>438</v>
      </c>
      <c r="B108" s="657" t="s">
        <v>419</v>
      </c>
      <c r="C108" s="348">
        <v>47.0</v>
      </c>
      <c r="D108" s="348">
        <v>59.0</v>
      </c>
      <c r="E108" s="348">
        <v>24.0</v>
      </c>
      <c r="F108" s="348">
        <v>21.0</v>
      </c>
      <c r="G108" s="348">
        <v>20.0</v>
      </c>
      <c r="H108" s="348">
        <v>19.0</v>
      </c>
      <c r="I108" s="348">
        <v>19.0</v>
      </c>
      <c r="J108" s="348">
        <v>19.0</v>
      </c>
      <c r="K108" s="348">
        <v>18.0</v>
      </c>
      <c r="L108" s="348">
        <v>18.0</v>
      </c>
      <c r="M108" s="348">
        <v>18.0</v>
      </c>
      <c r="N108" s="348">
        <v>17.0</v>
      </c>
      <c r="O108" s="348">
        <v>17.0</v>
      </c>
    </row>
    <row r="109">
      <c r="A109" s="662" t="s">
        <v>440</v>
      </c>
      <c r="B109" s="657" t="s">
        <v>419</v>
      </c>
      <c r="C109" s="682"/>
      <c r="D109" s="682"/>
      <c r="E109" s="348">
        <v>11.0</v>
      </c>
      <c r="F109" s="348">
        <v>5.0</v>
      </c>
      <c r="G109" s="348">
        <v>6.0</v>
      </c>
      <c r="H109" s="348">
        <v>6.0</v>
      </c>
      <c r="I109" s="348">
        <v>7.0</v>
      </c>
      <c r="J109" s="348">
        <v>7.0</v>
      </c>
      <c r="K109" s="348">
        <v>7.0</v>
      </c>
      <c r="L109" s="348">
        <v>7.0</v>
      </c>
      <c r="M109" s="348">
        <v>6.0</v>
      </c>
      <c r="N109" s="348">
        <v>6.0</v>
      </c>
      <c r="O109" s="348">
        <v>6.0</v>
      </c>
    </row>
    <row r="110">
      <c r="A110" s="657" t="s">
        <v>442</v>
      </c>
      <c r="B110" s="657" t="s">
        <v>419</v>
      </c>
      <c r="C110" s="348">
        <v>29.0</v>
      </c>
      <c r="D110" s="348">
        <v>24.0</v>
      </c>
      <c r="E110" s="348">
        <v>14.0</v>
      </c>
      <c r="F110" s="348">
        <v>13.0</v>
      </c>
      <c r="G110" s="348">
        <v>13.0</v>
      </c>
      <c r="H110" s="348">
        <v>13.0</v>
      </c>
      <c r="I110" s="348">
        <v>13.0</v>
      </c>
      <c r="J110" s="348">
        <v>12.0</v>
      </c>
      <c r="K110" s="348">
        <v>12.0</v>
      </c>
      <c r="L110" s="348">
        <v>12.0</v>
      </c>
      <c r="M110" s="348">
        <v>12.0</v>
      </c>
      <c r="N110" s="348">
        <v>11.0</v>
      </c>
      <c r="O110" s="348">
        <v>11.0</v>
      </c>
    </row>
    <row r="111">
      <c r="A111" s="662" t="s">
        <v>444</v>
      </c>
      <c r="B111" s="657" t="s">
        <v>419</v>
      </c>
      <c r="C111" s="348">
        <v>119.0</v>
      </c>
      <c r="D111" s="348">
        <v>47.0</v>
      </c>
      <c r="E111" s="348">
        <v>27.0</v>
      </c>
      <c r="F111" s="348">
        <v>27.0</v>
      </c>
      <c r="G111" s="348">
        <v>25.0</v>
      </c>
      <c r="H111" s="348">
        <v>24.0</v>
      </c>
      <c r="I111" s="348">
        <v>23.0</v>
      </c>
      <c r="J111" s="348">
        <v>23.0</v>
      </c>
      <c r="K111" s="348">
        <v>22.0</v>
      </c>
      <c r="L111" s="348">
        <v>22.0</v>
      </c>
      <c r="M111" s="348">
        <v>22.0</v>
      </c>
      <c r="N111" s="348">
        <v>22.0</v>
      </c>
      <c r="O111" s="348">
        <v>21.0</v>
      </c>
    </row>
    <row r="114">
      <c r="A114" s="320" t="s">
        <v>453</v>
      </c>
      <c r="B114" s="12"/>
      <c r="C114" s="12"/>
      <c r="D114" s="12"/>
      <c r="E114" s="288"/>
    </row>
    <row r="115">
      <c r="A115" s="12"/>
      <c r="B115" s="320" t="s">
        <v>454</v>
      </c>
      <c r="C115" s="320" t="s">
        <v>455</v>
      </c>
      <c r="D115" s="320" t="s">
        <v>456</v>
      </c>
      <c r="E115" s="289" t="s">
        <v>457</v>
      </c>
    </row>
    <row r="116">
      <c r="A116" s="657" t="s">
        <v>418</v>
      </c>
      <c r="B116" s="683">
        <f t="shared" ref="B116:B131" si="13">M75*M53</f>
        <v>630736</v>
      </c>
      <c r="C116" s="684">
        <f t="shared" ref="C116:C132" si="14">B116*3.6*10^(-6)</f>
        <v>2.2706496</v>
      </c>
      <c r="D116" s="684">
        <f t="shared" ref="D116:D132" si="15">C116/12</f>
        <v>0.1892208</v>
      </c>
      <c r="E116" s="685">
        <f t="shared" ref="E116:E132" si="16">4*D116</f>
        <v>0.7568832</v>
      </c>
    </row>
    <row r="117">
      <c r="A117" s="657" t="s">
        <v>420</v>
      </c>
      <c r="B117" s="683">
        <f t="shared" si="13"/>
        <v>509212</v>
      </c>
      <c r="C117" s="684">
        <f t="shared" si="14"/>
        <v>1.8331632</v>
      </c>
      <c r="D117" s="684">
        <f t="shared" si="15"/>
        <v>0.1527636</v>
      </c>
      <c r="E117" s="685">
        <f t="shared" si="16"/>
        <v>0.6110544</v>
      </c>
    </row>
    <row r="118">
      <c r="A118" s="657" t="s">
        <v>421</v>
      </c>
      <c r="B118" s="683">
        <f t="shared" si="13"/>
        <v>397656</v>
      </c>
      <c r="C118" s="684">
        <f t="shared" si="14"/>
        <v>1.4315616</v>
      </c>
      <c r="D118" s="684">
        <f t="shared" si="15"/>
        <v>0.1192968</v>
      </c>
      <c r="E118" s="685">
        <f t="shared" si="16"/>
        <v>0.4771872</v>
      </c>
    </row>
    <row r="119">
      <c r="A119" s="657" t="s">
        <v>422</v>
      </c>
      <c r="B119" s="683">
        <f t="shared" si="13"/>
        <v>23349</v>
      </c>
      <c r="C119" s="684">
        <f t="shared" si="14"/>
        <v>0.0840564</v>
      </c>
      <c r="D119" s="684">
        <f t="shared" si="15"/>
        <v>0.0070047</v>
      </c>
      <c r="E119" s="686">
        <f t="shared" si="16"/>
        <v>0.0280188</v>
      </c>
    </row>
    <row r="120">
      <c r="A120" s="657" t="s">
        <v>423</v>
      </c>
      <c r="B120" s="683">
        <f t="shared" si="13"/>
        <v>342078</v>
      </c>
      <c r="C120" s="684">
        <f t="shared" si="14"/>
        <v>1.2314808</v>
      </c>
      <c r="D120" s="684">
        <f t="shared" si="15"/>
        <v>0.1026234</v>
      </c>
      <c r="E120" s="686">
        <f t="shared" si="16"/>
        <v>0.4104936</v>
      </c>
    </row>
    <row r="121">
      <c r="A121" s="662" t="s">
        <v>424</v>
      </c>
      <c r="B121" s="683">
        <f t="shared" si="13"/>
        <v>434906</v>
      </c>
      <c r="C121" s="684">
        <f t="shared" si="14"/>
        <v>1.5656616</v>
      </c>
      <c r="D121" s="684">
        <f t="shared" si="15"/>
        <v>0.1304718</v>
      </c>
      <c r="E121" s="685">
        <f t="shared" si="16"/>
        <v>0.5218872</v>
      </c>
    </row>
    <row r="122">
      <c r="A122" s="657" t="s">
        <v>426</v>
      </c>
      <c r="B122" s="683">
        <f t="shared" si="13"/>
        <v>96276</v>
      </c>
      <c r="C122" s="684">
        <f t="shared" si="14"/>
        <v>0.3465936</v>
      </c>
      <c r="D122" s="684">
        <f t="shared" si="15"/>
        <v>0.0288828</v>
      </c>
      <c r="E122" s="685">
        <f t="shared" si="16"/>
        <v>0.1155312</v>
      </c>
    </row>
    <row r="123">
      <c r="A123" s="657" t="s">
        <v>427</v>
      </c>
      <c r="B123" s="683">
        <f t="shared" si="13"/>
        <v>459140</v>
      </c>
      <c r="C123" s="684">
        <f t="shared" si="14"/>
        <v>1.652904</v>
      </c>
      <c r="D123" s="684">
        <f t="shared" si="15"/>
        <v>0.137742</v>
      </c>
      <c r="E123" s="686">
        <f t="shared" si="16"/>
        <v>0.550968</v>
      </c>
    </row>
    <row r="124">
      <c r="A124" s="657" t="s">
        <v>428</v>
      </c>
      <c r="B124" s="683">
        <f t="shared" si="13"/>
        <v>534750</v>
      </c>
      <c r="C124" s="684">
        <f t="shared" si="14"/>
        <v>1.9251</v>
      </c>
      <c r="D124" s="684">
        <f t="shared" si="15"/>
        <v>0.160425</v>
      </c>
      <c r="E124" s="686">
        <f t="shared" si="16"/>
        <v>0.6417</v>
      </c>
    </row>
    <row r="125">
      <c r="A125" s="657" t="s">
        <v>429</v>
      </c>
      <c r="B125" s="683">
        <f t="shared" si="13"/>
        <v>136395</v>
      </c>
      <c r="C125" s="684">
        <f t="shared" si="14"/>
        <v>0.491022</v>
      </c>
      <c r="D125" s="684">
        <f t="shared" si="15"/>
        <v>0.0409185</v>
      </c>
      <c r="E125" s="685">
        <f t="shared" si="16"/>
        <v>0.163674</v>
      </c>
    </row>
    <row r="126">
      <c r="A126" s="662" t="s">
        <v>434</v>
      </c>
      <c r="B126" s="683">
        <f t="shared" si="13"/>
        <v>1386</v>
      </c>
      <c r="C126" s="684">
        <f t="shared" si="14"/>
        <v>0.0049896</v>
      </c>
      <c r="D126" s="684">
        <f t="shared" si="15"/>
        <v>0.0004158</v>
      </c>
      <c r="E126" s="685">
        <f t="shared" si="16"/>
        <v>0.0016632</v>
      </c>
    </row>
    <row r="127">
      <c r="A127" s="662" t="s">
        <v>436</v>
      </c>
      <c r="B127" s="683">
        <f t="shared" si="13"/>
        <v>63318</v>
      </c>
      <c r="C127" s="684">
        <f t="shared" si="14"/>
        <v>0.2279448</v>
      </c>
      <c r="D127" s="684">
        <f t="shared" si="15"/>
        <v>0.0189954</v>
      </c>
      <c r="E127" s="685">
        <f t="shared" si="16"/>
        <v>0.0759816</v>
      </c>
    </row>
    <row r="128">
      <c r="A128" s="662" t="s">
        <v>438</v>
      </c>
      <c r="B128" s="683">
        <f t="shared" si="13"/>
        <v>85086</v>
      </c>
      <c r="C128" s="684">
        <f t="shared" si="14"/>
        <v>0.3063096</v>
      </c>
      <c r="D128" s="684">
        <f t="shared" si="15"/>
        <v>0.0255258</v>
      </c>
      <c r="E128" s="685">
        <f t="shared" si="16"/>
        <v>0.1021032</v>
      </c>
    </row>
    <row r="129">
      <c r="A129" s="662" t="s">
        <v>440</v>
      </c>
      <c r="B129" s="683">
        <f t="shared" si="13"/>
        <v>39851</v>
      </c>
      <c r="C129" s="684">
        <f t="shared" si="14"/>
        <v>0.1434636</v>
      </c>
      <c r="D129" s="684">
        <f t="shared" si="15"/>
        <v>0.0119553</v>
      </c>
      <c r="E129" s="685">
        <f t="shared" si="16"/>
        <v>0.0478212</v>
      </c>
    </row>
    <row r="130">
      <c r="A130" s="657" t="s">
        <v>442</v>
      </c>
      <c r="B130" s="683">
        <f t="shared" si="13"/>
        <v>26169</v>
      </c>
      <c r="C130" s="684">
        <f t="shared" si="14"/>
        <v>0.0942084</v>
      </c>
      <c r="D130" s="684">
        <f t="shared" si="15"/>
        <v>0.0078507</v>
      </c>
      <c r="E130" s="685">
        <f t="shared" si="16"/>
        <v>0.0314028</v>
      </c>
    </row>
    <row r="131">
      <c r="A131" s="662" t="s">
        <v>444</v>
      </c>
      <c r="B131" s="683">
        <f t="shared" si="13"/>
        <v>20520</v>
      </c>
      <c r="C131" s="684">
        <f t="shared" si="14"/>
        <v>0.073872</v>
      </c>
      <c r="D131" s="684">
        <f t="shared" si="15"/>
        <v>0.006156</v>
      </c>
      <c r="E131" s="685">
        <f t="shared" si="16"/>
        <v>0.024624</v>
      </c>
    </row>
    <row r="132">
      <c r="A132" s="687" t="s">
        <v>75</v>
      </c>
      <c r="B132" s="683">
        <f>SUM(B116:B131)</f>
        <v>3800828</v>
      </c>
      <c r="C132" s="684">
        <f t="shared" si="14"/>
        <v>13.6829808</v>
      </c>
      <c r="D132" s="684">
        <f t="shared" si="15"/>
        <v>1.1402484</v>
      </c>
      <c r="E132" s="685">
        <f t="shared" si="16"/>
        <v>4.5609936</v>
      </c>
    </row>
  </sheetData>
  <mergeCells count="13">
    <mergeCell ref="P31:Q31"/>
    <mergeCell ref="R31:S31"/>
    <mergeCell ref="T31:U31"/>
    <mergeCell ref="V31:W31"/>
    <mergeCell ref="X31:Y31"/>
    <mergeCell ref="Z31:AA31"/>
    <mergeCell ref="B31:C31"/>
    <mergeCell ref="D31:E31"/>
    <mergeCell ref="F31:G31"/>
    <mergeCell ref="H31:I31"/>
    <mergeCell ref="J31:K31"/>
    <mergeCell ref="L31:M31"/>
    <mergeCell ref="N31:O3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688" t="s">
        <v>458</v>
      </c>
      <c r="B1" s="689">
        <v>2000.0</v>
      </c>
      <c r="C1" s="689">
        <v>2019.0</v>
      </c>
      <c r="D1" s="689">
        <v>2025.0</v>
      </c>
      <c r="E1" s="689">
        <v>2030.0</v>
      </c>
      <c r="F1" s="689">
        <v>2035.0</v>
      </c>
      <c r="G1" s="689">
        <v>2040.0</v>
      </c>
      <c r="H1" s="689">
        <v>2045.0</v>
      </c>
      <c r="I1" s="689">
        <v>2050.0</v>
      </c>
      <c r="J1" s="689">
        <v>2060.0</v>
      </c>
      <c r="K1" s="690"/>
      <c r="L1" s="690"/>
    </row>
    <row r="2">
      <c r="A2" s="691" t="s">
        <v>405</v>
      </c>
      <c r="B2" s="689">
        <v>2.0</v>
      </c>
      <c r="C2" s="689">
        <v>3.0</v>
      </c>
      <c r="D2" s="689">
        <v>3.0</v>
      </c>
      <c r="E2" s="689">
        <v>4.0</v>
      </c>
      <c r="F2" s="689">
        <v>4.0</v>
      </c>
      <c r="G2" s="689">
        <v>4.0</v>
      </c>
      <c r="H2" s="689">
        <v>4.0</v>
      </c>
      <c r="I2" s="689">
        <v>4.0</v>
      </c>
      <c r="J2" s="689">
        <v>3.0</v>
      </c>
      <c r="K2" s="692">
        <f t="shared" ref="K2:K10" si="1">J2/$J$10</f>
        <v>0.06976744186</v>
      </c>
      <c r="L2" s="693">
        <f t="shared" ref="L2:L9" si="2">K2*$L$10</f>
        <v>4.396046512</v>
      </c>
    </row>
    <row r="3">
      <c r="A3" s="694" t="s">
        <v>459</v>
      </c>
      <c r="B3" s="689">
        <v>1.0</v>
      </c>
      <c r="C3" s="689">
        <v>1.0</v>
      </c>
      <c r="D3" s="689">
        <v>1.0</v>
      </c>
      <c r="E3" s="689">
        <v>1.0</v>
      </c>
      <c r="F3" s="689">
        <v>1.0</v>
      </c>
      <c r="G3" s="689">
        <v>1.0</v>
      </c>
      <c r="H3" s="689">
        <v>1.0</v>
      </c>
      <c r="I3" s="689">
        <v>1.0</v>
      </c>
      <c r="J3" s="689">
        <v>1.0</v>
      </c>
      <c r="K3" s="692">
        <f t="shared" si="1"/>
        <v>0.02325581395</v>
      </c>
      <c r="L3" s="693">
        <f t="shared" si="2"/>
        <v>1.465348837</v>
      </c>
    </row>
    <row r="4">
      <c r="A4" s="694" t="s">
        <v>460</v>
      </c>
      <c r="B4" s="689">
        <v>10.0</v>
      </c>
      <c r="C4" s="689">
        <v>11.0</v>
      </c>
      <c r="D4" s="689">
        <v>11.0</v>
      </c>
      <c r="E4" s="689">
        <v>11.0</v>
      </c>
      <c r="F4" s="689">
        <v>10.0</v>
      </c>
      <c r="G4" s="689">
        <v>10.0</v>
      </c>
      <c r="H4" s="689">
        <v>9.0</v>
      </c>
      <c r="I4" s="689">
        <v>9.0</v>
      </c>
      <c r="J4" s="689">
        <v>8.0</v>
      </c>
      <c r="K4" s="692">
        <f t="shared" si="1"/>
        <v>0.1860465116</v>
      </c>
      <c r="L4" s="693">
        <f t="shared" si="2"/>
        <v>11.7227907</v>
      </c>
    </row>
    <row r="5">
      <c r="A5" s="691" t="s">
        <v>212</v>
      </c>
      <c r="B5" s="689">
        <v>15.0</v>
      </c>
      <c r="C5" s="689">
        <v>21.0</v>
      </c>
      <c r="D5" s="689">
        <v>20.0</v>
      </c>
      <c r="E5" s="689">
        <v>19.0</v>
      </c>
      <c r="F5" s="689">
        <v>17.0</v>
      </c>
      <c r="G5" s="689">
        <v>16.0</v>
      </c>
      <c r="H5" s="689">
        <v>16.0</v>
      </c>
      <c r="I5" s="689">
        <v>15.0</v>
      </c>
      <c r="J5" s="689">
        <v>15.0</v>
      </c>
      <c r="K5" s="692">
        <f t="shared" si="1"/>
        <v>0.3488372093</v>
      </c>
      <c r="L5" s="693">
        <f t="shared" si="2"/>
        <v>21.98023256</v>
      </c>
    </row>
    <row r="6">
      <c r="A6" s="691" t="s">
        <v>213</v>
      </c>
      <c r="B6" s="689">
        <v>16.0</v>
      </c>
      <c r="C6" s="689">
        <v>16.0</v>
      </c>
      <c r="D6" s="689">
        <v>15.0</v>
      </c>
      <c r="E6" s="689">
        <v>14.0</v>
      </c>
      <c r="F6" s="689">
        <v>12.0</v>
      </c>
      <c r="G6" s="689">
        <v>10.0</v>
      </c>
      <c r="H6" s="689">
        <v>8.0</v>
      </c>
      <c r="I6" s="689">
        <v>6.0</v>
      </c>
      <c r="J6" s="689">
        <v>5.0</v>
      </c>
      <c r="K6" s="692">
        <f t="shared" si="1"/>
        <v>0.1162790698</v>
      </c>
      <c r="L6" s="693">
        <f t="shared" si="2"/>
        <v>7.326744186</v>
      </c>
    </row>
    <row r="7">
      <c r="A7" s="691" t="s">
        <v>461</v>
      </c>
      <c r="B7" s="689">
        <v>6.0</v>
      </c>
      <c r="C7" s="689">
        <v>7.0</v>
      </c>
      <c r="D7" s="689">
        <v>7.0</v>
      </c>
      <c r="E7" s="689">
        <v>7.0</v>
      </c>
      <c r="F7" s="689">
        <v>7.0</v>
      </c>
      <c r="G7" s="689">
        <v>7.0</v>
      </c>
      <c r="H7" s="689">
        <v>6.0</v>
      </c>
      <c r="I7" s="689">
        <v>6.0</v>
      </c>
      <c r="J7" s="689">
        <v>6.0</v>
      </c>
      <c r="K7" s="692">
        <f t="shared" si="1"/>
        <v>0.1395348837</v>
      </c>
      <c r="L7" s="693">
        <f t="shared" si="2"/>
        <v>8.792093023</v>
      </c>
    </row>
    <row r="8">
      <c r="A8" s="691" t="s">
        <v>462</v>
      </c>
      <c r="B8" s="695" t="s">
        <v>278</v>
      </c>
      <c r="C8" s="695" t="s">
        <v>278</v>
      </c>
      <c r="D8" s="695" t="s">
        <v>278</v>
      </c>
      <c r="E8" s="695" t="s">
        <v>278</v>
      </c>
      <c r="F8" s="695" t="s">
        <v>278</v>
      </c>
      <c r="G8" s="695" t="s">
        <v>278</v>
      </c>
      <c r="H8" s="695" t="s">
        <v>278</v>
      </c>
      <c r="I8" s="695" t="s">
        <v>278</v>
      </c>
      <c r="J8" s="695" t="s">
        <v>278</v>
      </c>
      <c r="K8" s="692" t="str">
        <f t="shared" si="1"/>
        <v>#VALUE!</v>
      </c>
      <c r="L8" s="693" t="str">
        <f t="shared" si="2"/>
        <v>#VALUE!</v>
      </c>
    </row>
    <row r="9">
      <c r="A9" s="691" t="s">
        <v>215</v>
      </c>
      <c r="B9" s="689">
        <v>4.0</v>
      </c>
      <c r="C9" s="689">
        <v>4.0</v>
      </c>
      <c r="D9" s="689">
        <v>4.0</v>
      </c>
      <c r="E9" s="689">
        <v>4.0</v>
      </c>
      <c r="F9" s="689">
        <v>4.0</v>
      </c>
      <c r="G9" s="689">
        <v>4.0</v>
      </c>
      <c r="H9" s="689">
        <v>4.0</v>
      </c>
      <c r="I9" s="689">
        <v>4.0</v>
      </c>
      <c r="J9" s="689">
        <v>4.0</v>
      </c>
      <c r="K9" s="692">
        <f t="shared" si="1"/>
        <v>0.09302325581</v>
      </c>
      <c r="L9" s="693">
        <f t="shared" si="2"/>
        <v>5.861395349</v>
      </c>
    </row>
    <row r="10">
      <c r="A10" s="696" t="s">
        <v>75</v>
      </c>
      <c r="B10" s="689">
        <v>54.0</v>
      </c>
      <c r="C10" s="689">
        <v>63.0</v>
      </c>
      <c r="D10" s="689">
        <v>61.0</v>
      </c>
      <c r="E10" s="689">
        <v>59.0</v>
      </c>
      <c r="F10" s="689">
        <v>56.0</v>
      </c>
      <c r="G10" s="689">
        <v>52.0</v>
      </c>
      <c r="H10" s="689">
        <v>49.0</v>
      </c>
      <c r="I10" s="689">
        <v>46.0</v>
      </c>
      <c r="J10" s="689">
        <v>43.0</v>
      </c>
      <c r="K10" s="690">
        <f t="shared" si="1"/>
        <v>1</v>
      </c>
      <c r="L10" s="206">
        <v>63.01</v>
      </c>
    </row>
    <row r="14">
      <c r="A14" s="697"/>
      <c r="B14" s="697"/>
      <c r="C14" s="697"/>
      <c r="D14" s="698"/>
      <c r="E14" s="698"/>
      <c r="F14" s="698"/>
      <c r="G14" s="698"/>
      <c r="H14" s="698"/>
      <c r="I14" s="698"/>
      <c r="J14" s="698"/>
      <c r="K14" s="698"/>
      <c r="L14" s="698"/>
      <c r="M14" s="698"/>
    </row>
    <row r="15">
      <c r="A15" s="699" t="s">
        <v>209</v>
      </c>
      <c r="B15" s="700" t="s">
        <v>285</v>
      </c>
      <c r="C15" s="415"/>
      <c r="D15" s="701" t="s">
        <v>70</v>
      </c>
      <c r="E15" s="415"/>
      <c r="F15" s="701" t="s">
        <v>71</v>
      </c>
      <c r="G15" s="415"/>
      <c r="H15" s="701" t="s">
        <v>72</v>
      </c>
      <c r="I15" s="415"/>
      <c r="J15" s="701" t="s">
        <v>82</v>
      </c>
      <c r="K15" s="415"/>
      <c r="L15" s="701" t="s">
        <v>83</v>
      </c>
      <c r="M15" s="415"/>
      <c r="N15" s="701" t="s">
        <v>84</v>
      </c>
      <c r="O15" s="415"/>
      <c r="P15" s="701" t="s">
        <v>85</v>
      </c>
      <c r="Q15" s="415"/>
      <c r="R15" s="702" t="s">
        <v>86</v>
      </c>
      <c r="S15" s="415"/>
      <c r="T15" s="702" t="s">
        <v>87</v>
      </c>
      <c r="U15" s="415"/>
      <c r="V15" s="702" t="s">
        <v>88</v>
      </c>
      <c r="W15" s="415"/>
      <c r="X15" s="703" t="s">
        <v>73</v>
      </c>
      <c r="Y15" s="415"/>
      <c r="Z15" s="703" t="s">
        <v>74</v>
      </c>
      <c r="AA15" s="415"/>
      <c r="AB15" s="704" t="s">
        <v>183</v>
      </c>
    </row>
    <row r="16">
      <c r="A16" s="705" t="s">
        <v>405</v>
      </c>
      <c r="B16" s="706">
        <v>0.0698</v>
      </c>
      <c r="C16" s="707">
        <v>4.4</v>
      </c>
      <c r="D16" s="708">
        <v>-0.36</v>
      </c>
      <c r="E16" s="709">
        <f>D16*$B16*Sectors!$B$79</f>
        <v>-0.1346810181</v>
      </c>
      <c r="F16" s="708">
        <v>-0.36</v>
      </c>
      <c r="G16" s="709">
        <f>F16*$B16*Sectors!$C$79</f>
        <v>-0.1376074594</v>
      </c>
      <c r="H16" s="708">
        <v>-0.36</v>
      </c>
      <c r="I16" s="709">
        <f>H16*$B16*Sectors!$D$79</f>
        <v>-0.1205151261</v>
      </c>
      <c r="J16" s="708">
        <v>0.0</v>
      </c>
      <c r="K16" s="709">
        <f>J16*$B16*Sectors!$E$79</f>
        <v>0</v>
      </c>
      <c r="L16" s="708">
        <v>0.0</v>
      </c>
      <c r="M16" s="709">
        <f>L16*$B16*Sectors!$F$79</f>
        <v>0</v>
      </c>
      <c r="N16" s="708">
        <v>0.0</v>
      </c>
      <c r="O16" s="709">
        <f>N16*$B16*Sectors!$G$79</f>
        <v>0</v>
      </c>
      <c r="P16" s="708">
        <v>0.0</v>
      </c>
      <c r="Q16" s="709">
        <f>P16*$B16*Sectors!$H$79</f>
        <v>0</v>
      </c>
      <c r="R16" s="710">
        <v>0.0</v>
      </c>
      <c r="S16" s="711">
        <f>R16*$B16*Sectors!$I$79</f>
        <v>0</v>
      </c>
      <c r="T16" s="710">
        <v>0.0</v>
      </c>
      <c r="U16" s="711">
        <f>T16*$B16*Sectors!$J$79</f>
        <v>0</v>
      </c>
      <c r="V16" s="710">
        <v>0.0</v>
      </c>
      <c r="W16" s="712">
        <f>T16*$B16*Sectors!$J$79</f>
        <v>0</v>
      </c>
      <c r="X16" s="708">
        <v>-0.36</v>
      </c>
      <c r="Y16" s="711">
        <f>X16*$B16*Sectors!$L$79</f>
        <v>-0.1381641796</v>
      </c>
      <c r="Z16" s="708">
        <v>-0.36</v>
      </c>
      <c r="AA16" s="711">
        <f>Z16*$B16*Sectors!$M$79</f>
        <v>-0.1356144928</v>
      </c>
      <c r="AB16" s="713">
        <f t="shared" ref="AB16:AB23" si="3">SUM(E16, G16, I16, K16, M16, O16, Q16, S16, U16,W16 ,Y16,AA16 )</f>
        <v>-0.666582276</v>
      </c>
    </row>
    <row r="17">
      <c r="A17" s="714" t="s">
        <v>406</v>
      </c>
      <c r="B17" s="715">
        <v>0.0233</v>
      </c>
      <c r="C17" s="716">
        <v>1.47</v>
      </c>
      <c r="D17" s="717">
        <v>-0.1</v>
      </c>
      <c r="E17" s="718">
        <f>D17*$B17*Sectors!$B$79</f>
        <v>-0.01248833064</v>
      </c>
      <c r="F17" s="717">
        <v>-0.1</v>
      </c>
      <c r="G17" s="718">
        <f>F17*$B17*Sectors!$B$79</f>
        <v>-0.01248833064</v>
      </c>
      <c r="H17" s="717">
        <v>-0.1</v>
      </c>
      <c r="I17" s="718">
        <f>H17*$B17*Sectors!$D$79</f>
        <v>-0.01117479481</v>
      </c>
      <c r="J17" s="717">
        <v>-0.1</v>
      </c>
      <c r="K17" s="718">
        <f>J17*$B17*Sectors!$L$79</f>
        <v>-0.01281130764</v>
      </c>
      <c r="L17" s="717">
        <v>-0.1</v>
      </c>
      <c r="M17" s="718">
        <f>L17*$B17*Sectors!$M$79</f>
        <v>-0.0125748873</v>
      </c>
      <c r="N17" s="717">
        <v>-0.1</v>
      </c>
      <c r="O17" s="718">
        <f>N17*$B17*Sectors!$L$79</f>
        <v>-0.01281130764</v>
      </c>
      <c r="P17" s="717">
        <v>-0.1</v>
      </c>
      <c r="Q17" s="718">
        <f>P17*$B17*Sectors!$M$79</f>
        <v>-0.0125748873</v>
      </c>
      <c r="R17" s="719">
        <v>-0.1</v>
      </c>
      <c r="S17" s="720">
        <f>R17*$B17*Sectors!$L$79</f>
        <v>-0.01281130764</v>
      </c>
      <c r="T17" s="719">
        <v>-0.1</v>
      </c>
      <c r="U17" s="720">
        <f>T17*$B17*Sectors!$M$79</f>
        <v>-0.0125748873</v>
      </c>
      <c r="V17" s="719">
        <v>-0.1</v>
      </c>
      <c r="W17" s="721">
        <f>T17*$B17*Sectors!$J$79</f>
        <v>-0.008981089907</v>
      </c>
      <c r="X17" s="719">
        <v>-0.1</v>
      </c>
      <c r="Y17" s="720">
        <f>X17*$B17*Sectors!$L$79</f>
        <v>-0.01281130764</v>
      </c>
      <c r="Z17" s="719">
        <v>-0.1</v>
      </c>
      <c r="AA17" s="720">
        <f>Z17*$B17*Sectors!$M$79</f>
        <v>-0.0125748873</v>
      </c>
      <c r="AB17" s="722">
        <f t="shared" si="3"/>
        <v>-0.1466773258</v>
      </c>
    </row>
    <row r="18">
      <c r="A18" s="705" t="s">
        <v>463</v>
      </c>
      <c r="B18" s="706">
        <v>0.186</v>
      </c>
      <c r="C18" s="707">
        <v>11.72</v>
      </c>
      <c r="D18" s="723">
        <v>0.0</v>
      </c>
      <c r="E18" s="709">
        <f>D18*$B18*Sectors!$B$79</f>
        <v>0</v>
      </c>
      <c r="F18" s="723">
        <v>0.0</v>
      </c>
      <c r="G18" s="709">
        <f>F18*$B18*Sectors!$B$79</f>
        <v>0</v>
      </c>
      <c r="H18" s="723">
        <v>0.0</v>
      </c>
      <c r="I18" s="709">
        <f>H18*$B18*Sectors!$D$79</f>
        <v>0</v>
      </c>
      <c r="J18" s="723">
        <v>0.0</v>
      </c>
      <c r="K18" s="709">
        <f>J18*$B18*Sectors!$L$79</f>
        <v>0</v>
      </c>
      <c r="L18" s="723">
        <v>0.0</v>
      </c>
      <c r="M18" s="709">
        <f>L18*$B18*Sectors!$M$79</f>
        <v>0</v>
      </c>
      <c r="N18" s="723">
        <v>0.0</v>
      </c>
      <c r="O18" s="709">
        <f>N18*$B18*Sectors!$L$79</f>
        <v>0</v>
      </c>
      <c r="P18" s="723">
        <v>0.0</v>
      </c>
      <c r="Q18" s="709">
        <f>P18*$B18*Sectors!$M$79</f>
        <v>0</v>
      </c>
      <c r="R18" s="724">
        <v>0.0</v>
      </c>
      <c r="S18" s="711">
        <f>R18*$B18*Sectors!$L$79</f>
        <v>0</v>
      </c>
      <c r="T18" s="724">
        <v>0.0</v>
      </c>
      <c r="U18" s="711">
        <f>T18*$B18*Sectors!$M$79</f>
        <v>0</v>
      </c>
      <c r="V18" s="724">
        <v>0.0</v>
      </c>
      <c r="W18" s="712">
        <f>T18*$B18*Sectors!$J$79</f>
        <v>0</v>
      </c>
      <c r="X18" s="724">
        <v>0.0</v>
      </c>
      <c r="Y18" s="711">
        <f>X18*$B18*Sectors!$L$79</f>
        <v>0</v>
      </c>
      <c r="Z18" s="724">
        <v>0.0</v>
      </c>
      <c r="AA18" s="711">
        <f>Z18*$B18*Sectors!$M$79</f>
        <v>0</v>
      </c>
      <c r="AB18" s="713">
        <f t="shared" si="3"/>
        <v>0</v>
      </c>
    </row>
    <row r="19">
      <c r="A19" s="714" t="s">
        <v>217</v>
      </c>
      <c r="B19" s="715">
        <v>0.3488</v>
      </c>
      <c r="C19" s="716">
        <v>21.98</v>
      </c>
      <c r="D19" s="717">
        <v>-0.35</v>
      </c>
      <c r="E19" s="718">
        <f>D19*$B19*Sectors!$B$79</f>
        <v>-0.6543242078</v>
      </c>
      <c r="F19" s="717">
        <v>-0.35</v>
      </c>
      <c r="G19" s="718">
        <f>F19*$B19*Sectors!$B$79</f>
        <v>-0.6543242078</v>
      </c>
      <c r="H19" s="717">
        <v>-0.35</v>
      </c>
      <c r="I19" s="718">
        <f>H19*$B19*Sectors!$D$79</f>
        <v>-0.5855016952</v>
      </c>
      <c r="J19" s="717">
        <v>-0.35</v>
      </c>
      <c r="K19" s="718">
        <f>J19*$B19*Sectors!$L$79</f>
        <v>-0.6712465395</v>
      </c>
      <c r="L19" s="717">
        <v>-0.35</v>
      </c>
      <c r="M19" s="718">
        <f>L19*$B19*Sectors!$M$79</f>
        <v>-0.6588593313</v>
      </c>
      <c r="N19" s="717">
        <v>-0.35</v>
      </c>
      <c r="O19" s="718">
        <f>N19*$B19*Sectors!$L$79</f>
        <v>-0.6712465395</v>
      </c>
      <c r="P19" s="717">
        <v>-0.35</v>
      </c>
      <c r="Q19" s="718">
        <f>P19*$B19*Sectors!$M$79</f>
        <v>-0.6588593313</v>
      </c>
      <c r="R19" s="717">
        <v>-0.35</v>
      </c>
      <c r="S19" s="720">
        <f>R19*$B19*Sectors!$L$79</f>
        <v>-0.6712465395</v>
      </c>
      <c r="T19" s="717">
        <v>-0.35</v>
      </c>
      <c r="U19" s="720">
        <f>T19*$B19*Sectors!$M$79</f>
        <v>-0.6588593313</v>
      </c>
      <c r="V19" s="717">
        <v>-0.35</v>
      </c>
      <c r="W19" s="721">
        <f>T19*$B19*Sectors!$J$79</f>
        <v>-0.4705628566</v>
      </c>
      <c r="X19" s="717">
        <v>-0.35</v>
      </c>
      <c r="Y19" s="720">
        <f>X19*$B19*Sectors!$L$79</f>
        <v>-0.6712465395</v>
      </c>
      <c r="Z19" s="717">
        <v>-0.35</v>
      </c>
      <c r="AA19" s="720">
        <f>Z19*$B19*Sectors!$M$79</f>
        <v>-0.6588593313</v>
      </c>
      <c r="AB19" s="722">
        <f t="shared" si="3"/>
        <v>-7.685136451</v>
      </c>
    </row>
    <row r="20">
      <c r="A20" s="725" t="s">
        <v>213</v>
      </c>
      <c r="B20" s="706">
        <v>0.1163</v>
      </c>
      <c r="C20" s="707">
        <v>7.33</v>
      </c>
      <c r="D20" s="708">
        <v>-0.41</v>
      </c>
      <c r="E20" s="709">
        <f>D20*$B20*Sectors!$B$79</f>
        <v>-0.2555712746</v>
      </c>
      <c r="F20" s="708">
        <v>-0.41</v>
      </c>
      <c r="G20" s="709">
        <f>F20*$B20*Sectors!$B$79</f>
        <v>-0.2555712746</v>
      </c>
      <c r="H20" s="708">
        <v>-0.41</v>
      </c>
      <c r="I20" s="709">
        <f>H20*$B20*Sectors!$D$79</f>
        <v>-0.2286900175</v>
      </c>
      <c r="J20" s="708">
        <v>-0.41</v>
      </c>
      <c r="K20" s="709">
        <f>J20*$B20*Sectors!$L$79</f>
        <v>-0.2621809366</v>
      </c>
      <c r="L20" s="708">
        <v>-0.41</v>
      </c>
      <c r="M20" s="709">
        <f>L20*$B20*Sectors!$M$79</f>
        <v>-0.25734264</v>
      </c>
      <c r="N20" s="708">
        <v>-0.41</v>
      </c>
      <c r="O20" s="709">
        <f>N20*$B20*Sectors!$L$79</f>
        <v>-0.2621809366</v>
      </c>
      <c r="P20" s="708">
        <v>-0.41</v>
      </c>
      <c r="Q20" s="709">
        <f>P20*$B20*Sectors!$M$79</f>
        <v>-0.25734264</v>
      </c>
      <c r="R20" s="708">
        <v>-0.41</v>
      </c>
      <c r="S20" s="711">
        <f>R20*$B20*Sectors!$L$79</f>
        <v>-0.2621809366</v>
      </c>
      <c r="T20" s="708">
        <v>-0.41</v>
      </c>
      <c r="U20" s="711">
        <f>T20*$B20*Sectors!$M$79</f>
        <v>-0.25734264</v>
      </c>
      <c r="V20" s="708">
        <v>-0.41</v>
      </c>
      <c r="W20" s="712">
        <f>T20*$B20*Sectors!$J$79</f>
        <v>-0.1837962704</v>
      </c>
      <c r="X20" s="708">
        <v>-0.41</v>
      </c>
      <c r="Y20" s="711">
        <f>X20*$B20*Sectors!$L$79</f>
        <v>-0.2621809366</v>
      </c>
      <c r="Z20" s="708">
        <v>-0.41</v>
      </c>
      <c r="AA20" s="711">
        <f>Z20*$B20*Sectors!$M$79</f>
        <v>-0.25734264</v>
      </c>
      <c r="AB20" s="713">
        <f t="shared" si="3"/>
        <v>-3.001723144</v>
      </c>
    </row>
    <row r="21">
      <c r="A21" s="714" t="s">
        <v>214</v>
      </c>
      <c r="B21" s="715">
        <v>0.1395</v>
      </c>
      <c r="C21" s="716">
        <v>8.79</v>
      </c>
      <c r="D21" s="717">
        <v>0.0</v>
      </c>
      <c r="E21" s="718">
        <f>D21*$B21*Sectors!$B$79</f>
        <v>0</v>
      </c>
      <c r="F21" s="717">
        <v>0.0</v>
      </c>
      <c r="G21" s="718">
        <f>F21*$B21*Sectors!$B$79</f>
        <v>0</v>
      </c>
      <c r="H21" s="717">
        <v>0.0</v>
      </c>
      <c r="I21" s="718">
        <f>H21*$B21*Sectors!$D$79</f>
        <v>0</v>
      </c>
      <c r="J21" s="717">
        <v>0.0</v>
      </c>
      <c r="K21" s="718">
        <f>J21*$B21*Sectors!$L$79</f>
        <v>0</v>
      </c>
      <c r="L21" s="717">
        <v>0.0</v>
      </c>
      <c r="M21" s="718">
        <f>L21*$B21*Sectors!$M$79</f>
        <v>0</v>
      </c>
      <c r="N21" s="717">
        <v>0.0</v>
      </c>
      <c r="O21" s="718">
        <f>N21*$B21*Sectors!$L$79</f>
        <v>0</v>
      </c>
      <c r="P21" s="717">
        <v>0.0</v>
      </c>
      <c r="Q21" s="718">
        <f>P21*$B21*Sectors!$M$79</f>
        <v>0</v>
      </c>
      <c r="R21" s="726">
        <v>0.0</v>
      </c>
      <c r="S21" s="720">
        <f>R21*$B21*Sectors!$L$79</f>
        <v>0</v>
      </c>
      <c r="T21" s="726">
        <v>0.0</v>
      </c>
      <c r="U21" s="720">
        <f>T21*$B21*Sectors!$M$79</f>
        <v>0</v>
      </c>
      <c r="V21" s="726">
        <v>0.0</v>
      </c>
      <c r="W21" s="721">
        <f>T21*$B21*Sectors!$J$79</f>
        <v>0</v>
      </c>
      <c r="X21" s="726">
        <v>0.0</v>
      </c>
      <c r="Y21" s="720">
        <f>X21*$B21*Sectors!$L$79</f>
        <v>0</v>
      </c>
      <c r="Z21" s="726">
        <v>0.0</v>
      </c>
      <c r="AA21" s="720">
        <f>Z21*$B21*Sectors!$M$79</f>
        <v>0</v>
      </c>
      <c r="AB21" s="722">
        <f t="shared" si="3"/>
        <v>0</v>
      </c>
    </row>
    <row r="22">
      <c r="A22" s="705" t="s">
        <v>215</v>
      </c>
      <c r="B22" s="706">
        <v>0.093</v>
      </c>
      <c r="C22" s="707">
        <v>5.86</v>
      </c>
      <c r="D22" s="723">
        <v>0.0</v>
      </c>
      <c r="E22" s="709">
        <f>D22*$B22*Sectors!$B$79</f>
        <v>0</v>
      </c>
      <c r="F22" s="723">
        <v>0.0</v>
      </c>
      <c r="G22" s="709">
        <f>F22*$B22*Sectors!$B$79</f>
        <v>0</v>
      </c>
      <c r="H22" s="723">
        <v>0.0</v>
      </c>
      <c r="I22" s="709">
        <f>H22*$B22*Sectors!$D$79</f>
        <v>0</v>
      </c>
      <c r="J22" s="723">
        <v>0.0</v>
      </c>
      <c r="K22" s="709">
        <f>J22*$B22*Sectors!$L$79</f>
        <v>0</v>
      </c>
      <c r="L22" s="723">
        <v>0.0</v>
      </c>
      <c r="M22" s="709">
        <f>L22*$B22*Sectors!$M$79</f>
        <v>0</v>
      </c>
      <c r="N22" s="723">
        <v>0.0</v>
      </c>
      <c r="O22" s="709">
        <f>N22*$B22*Sectors!$L$79</f>
        <v>0</v>
      </c>
      <c r="P22" s="723">
        <v>0.0</v>
      </c>
      <c r="Q22" s="709">
        <f>P22*$B22*Sectors!$M$79</f>
        <v>0</v>
      </c>
      <c r="R22" s="724">
        <v>0.0</v>
      </c>
      <c r="S22" s="711">
        <f>R22*$B22*Sectors!$L$79</f>
        <v>0</v>
      </c>
      <c r="T22" s="724">
        <v>0.0</v>
      </c>
      <c r="U22" s="711">
        <f>T22*$B22*Sectors!$M$79</f>
        <v>0</v>
      </c>
      <c r="V22" s="724">
        <v>0.0</v>
      </c>
      <c r="W22" s="712">
        <f>T22*$B22*Sectors!$J$79</f>
        <v>0</v>
      </c>
      <c r="X22" s="724">
        <v>0.0</v>
      </c>
      <c r="Y22" s="711">
        <f>X22*$B22*Sectors!$L$79</f>
        <v>0</v>
      </c>
      <c r="Z22" s="724">
        <v>0.0</v>
      </c>
      <c r="AA22" s="711">
        <f>Z22*$B22*Sectors!$M$79</f>
        <v>0</v>
      </c>
      <c r="AB22" s="713">
        <f t="shared" si="3"/>
        <v>0</v>
      </c>
    </row>
    <row r="23">
      <c r="A23" s="727" t="s">
        <v>269</v>
      </c>
      <c r="B23" s="728"/>
      <c r="C23" s="727">
        <v>63.01</v>
      </c>
      <c r="D23" s="729"/>
      <c r="E23" s="730">
        <f>SUM(E16:E22)</f>
        <v>-1.057064831</v>
      </c>
      <c r="F23" s="729"/>
      <c r="G23" s="730">
        <f>SUM(G16:G22)</f>
        <v>-1.059991272</v>
      </c>
      <c r="H23" s="729"/>
      <c r="I23" s="730">
        <f>SUM(I16:I22)</f>
        <v>-0.9458816336</v>
      </c>
      <c r="J23" s="729"/>
      <c r="K23" s="730">
        <f>SUM(K16:K22)</f>
        <v>-0.9462387838</v>
      </c>
      <c r="L23" s="729"/>
      <c r="M23" s="730">
        <f>SUM(M16:M22)</f>
        <v>-0.9287768587</v>
      </c>
      <c r="N23" s="729"/>
      <c r="O23" s="730">
        <f>SUM(O16:O22)</f>
        <v>-0.9462387838</v>
      </c>
      <c r="P23" s="729"/>
      <c r="Q23" s="730">
        <f>SUM(Q16:Q22)</f>
        <v>-0.9287768587</v>
      </c>
      <c r="R23" s="731"/>
      <c r="S23" s="732">
        <f>SUM(S16:S22)</f>
        <v>-0.9462387838</v>
      </c>
      <c r="T23" s="731"/>
      <c r="U23" s="732">
        <f>SUM(U16:U22)</f>
        <v>-0.9287768587</v>
      </c>
      <c r="V23" s="732"/>
      <c r="W23" s="732">
        <f>SUM(W16:W22)</f>
        <v>-0.6633402169</v>
      </c>
      <c r="X23" s="731"/>
      <c r="Y23" s="732">
        <f>SUM(Y16:Y22)</f>
        <v>-1.084402963</v>
      </c>
      <c r="Z23" s="731"/>
      <c r="AA23" s="732">
        <f>SUM(AA16:AA22)</f>
        <v>-1.064391351</v>
      </c>
      <c r="AB23" s="722">
        <f t="shared" si="3"/>
        <v>-11.5001192</v>
      </c>
    </row>
    <row r="27">
      <c r="A27" s="733" t="s">
        <v>464</v>
      </c>
      <c r="B27" s="734">
        <v>2050.0</v>
      </c>
      <c r="C27" s="733" t="s">
        <v>210</v>
      </c>
      <c r="D27" s="735" t="s">
        <v>1</v>
      </c>
      <c r="E27" s="735" t="s">
        <v>2</v>
      </c>
      <c r="F27" s="735" t="s">
        <v>3</v>
      </c>
      <c r="G27" s="735" t="s">
        <v>11</v>
      </c>
      <c r="H27" s="735" t="s">
        <v>12</v>
      </c>
    </row>
    <row r="28">
      <c r="A28" s="105" t="s">
        <v>465</v>
      </c>
      <c r="B28" s="734">
        <v>9.0</v>
      </c>
      <c r="C28" s="736">
        <f t="shared" ref="C28:C39" si="4">B28/$B$39</f>
        <v>0.1956521739</v>
      </c>
      <c r="D28" s="737">
        <f>C28*Sectors!$B$79</f>
        <v>1.048656239</v>
      </c>
      <c r="E28" s="737">
        <f>C28*Sectors!$C$79</f>
        <v>1.071442159</v>
      </c>
      <c r="F28" s="737">
        <f>C28*Sectors!$D$79</f>
        <v>0.9383574664</v>
      </c>
      <c r="G28" s="737">
        <f>C28*Sectors!$L$79</f>
        <v>1.075776906</v>
      </c>
      <c r="H28" s="737">
        <f>C28*Sectors!$M$79</f>
        <v>1.05592448</v>
      </c>
    </row>
    <row r="29">
      <c r="A29" s="105" t="s">
        <v>466</v>
      </c>
      <c r="B29" s="734">
        <v>3.0</v>
      </c>
      <c r="C29" s="736">
        <f t="shared" si="4"/>
        <v>0.0652173913</v>
      </c>
      <c r="D29" s="737">
        <f>C29*Sectors!$B$79</f>
        <v>0.3495520798</v>
      </c>
      <c r="E29" s="737">
        <f>C29*Sectors!$C$79</f>
        <v>0.3571473864</v>
      </c>
      <c r="F29" s="737">
        <f>C29*Sectors!$D$79</f>
        <v>0.3127858221</v>
      </c>
      <c r="G29" s="737">
        <f>C29*Sectors!$L$79</f>
        <v>0.358592302</v>
      </c>
      <c r="H29" s="737">
        <f>C29*Sectors!$M$79</f>
        <v>0.3519748266</v>
      </c>
    </row>
    <row r="30">
      <c r="A30" s="105" t="s">
        <v>467</v>
      </c>
      <c r="B30" s="734">
        <v>4.0</v>
      </c>
      <c r="C30" s="736">
        <f t="shared" si="4"/>
        <v>0.08695652174</v>
      </c>
      <c r="D30" s="737">
        <f>C30*Sectors!$B$79</f>
        <v>0.4660694397</v>
      </c>
      <c r="E30" s="737">
        <f>C30*Sectors!$C$79</f>
        <v>0.4761965152</v>
      </c>
      <c r="F30" s="737">
        <f>C30*Sectors!$D$79</f>
        <v>0.4170477628</v>
      </c>
      <c r="G30" s="737">
        <f>C30*Sectors!$L$79</f>
        <v>0.4781230693</v>
      </c>
      <c r="H30" s="737">
        <f>C30*Sectors!$M$79</f>
        <v>0.4692997687</v>
      </c>
    </row>
    <row r="31">
      <c r="A31" s="738" t="s">
        <v>468</v>
      </c>
      <c r="B31" s="734">
        <v>3.0</v>
      </c>
      <c r="C31" s="736">
        <f t="shared" si="4"/>
        <v>0.0652173913</v>
      </c>
      <c r="D31" s="737">
        <f>C31*Sectors!$B$79</f>
        <v>0.3495520798</v>
      </c>
      <c r="E31" s="737">
        <f>C31*Sectors!$C$79</f>
        <v>0.3571473864</v>
      </c>
      <c r="F31" s="737">
        <f>C31*Sectors!$D$79</f>
        <v>0.3127858221</v>
      </c>
      <c r="G31" s="737">
        <f>C31*Sectors!$L$79</f>
        <v>0.358592302</v>
      </c>
      <c r="H31" s="737">
        <f>C31*Sectors!$M$79</f>
        <v>0.3519748266</v>
      </c>
    </row>
    <row r="32">
      <c r="A32" s="105" t="s">
        <v>469</v>
      </c>
      <c r="B32" s="734">
        <v>2.0</v>
      </c>
      <c r="C32" s="736">
        <f t="shared" si="4"/>
        <v>0.04347826087</v>
      </c>
      <c r="D32" s="737">
        <f>C32*Sectors!$B$79</f>
        <v>0.2330347198</v>
      </c>
      <c r="E32" s="737">
        <f>C32*Sectors!$C$79</f>
        <v>0.2380982576</v>
      </c>
      <c r="F32" s="737">
        <f>C32*Sectors!$D$79</f>
        <v>0.2085238814</v>
      </c>
      <c r="G32" s="737">
        <f>C32*Sectors!$L$79</f>
        <v>0.2390615347</v>
      </c>
      <c r="H32" s="737">
        <f>C32*Sectors!$M$79</f>
        <v>0.2346498844</v>
      </c>
    </row>
    <row r="33">
      <c r="A33" s="105" t="s">
        <v>470</v>
      </c>
      <c r="B33" s="734">
        <v>3.0</v>
      </c>
      <c r="C33" s="736">
        <f t="shared" si="4"/>
        <v>0.0652173913</v>
      </c>
      <c r="D33" s="737">
        <f>C33*Sectors!$B$79</f>
        <v>0.3495520798</v>
      </c>
      <c r="E33" s="737">
        <f>C33*Sectors!$C$79</f>
        <v>0.3571473864</v>
      </c>
      <c r="F33" s="737">
        <f>C33*Sectors!$D$79</f>
        <v>0.3127858221</v>
      </c>
      <c r="G33" s="737">
        <f>C33*Sectors!$L$79</f>
        <v>0.358592302</v>
      </c>
      <c r="H33" s="737">
        <f>C33*Sectors!$M$79</f>
        <v>0.3519748266</v>
      </c>
    </row>
    <row r="34">
      <c r="A34" s="105" t="s">
        <v>471</v>
      </c>
      <c r="B34" s="734">
        <v>6.0</v>
      </c>
      <c r="C34" s="736">
        <f t="shared" si="4"/>
        <v>0.1304347826</v>
      </c>
      <c r="D34" s="737">
        <f>C34*Sectors!$B$79</f>
        <v>0.6991041595</v>
      </c>
      <c r="E34" s="737">
        <f>C34*Sectors!$C$79</f>
        <v>0.7142947728</v>
      </c>
      <c r="F34" s="737">
        <f>C34*Sectors!$D$79</f>
        <v>0.6255716443</v>
      </c>
      <c r="G34" s="737">
        <f>C34*Sectors!$L$79</f>
        <v>0.717184604</v>
      </c>
      <c r="H34" s="737">
        <f>C34*Sectors!$M$79</f>
        <v>0.7039496531</v>
      </c>
    </row>
    <row r="35">
      <c r="A35" s="65" t="s">
        <v>472</v>
      </c>
      <c r="B35" s="734">
        <v>9.0</v>
      </c>
      <c r="C35" s="736">
        <f t="shared" si="4"/>
        <v>0.1956521739</v>
      </c>
      <c r="D35" s="737">
        <f>C35*Sectors!$B$79</f>
        <v>1.048656239</v>
      </c>
      <c r="E35" s="737">
        <f>C35*Sectors!$C$79</f>
        <v>1.071442159</v>
      </c>
      <c r="F35" s="737">
        <f>C35*Sectors!$D$79</f>
        <v>0.9383574664</v>
      </c>
      <c r="G35" s="737">
        <f>C35*Sectors!$L$79</f>
        <v>1.075776906</v>
      </c>
      <c r="H35" s="737">
        <f>C35*Sectors!$M$79</f>
        <v>1.05592448</v>
      </c>
    </row>
    <row r="36">
      <c r="A36" s="65" t="s">
        <v>473</v>
      </c>
      <c r="B36" s="689">
        <v>3.0</v>
      </c>
      <c r="C36" s="736">
        <f t="shared" si="4"/>
        <v>0.0652173913</v>
      </c>
      <c r="D36" s="737">
        <f>C36*Sectors!$B$79</f>
        <v>0.3495520798</v>
      </c>
      <c r="E36" s="737">
        <f>C36*Sectors!$C$79</f>
        <v>0.3571473864</v>
      </c>
      <c r="F36" s="737">
        <f>C36*Sectors!$D$79</f>
        <v>0.3127858221</v>
      </c>
      <c r="G36" s="737">
        <f>C36*Sectors!$L$79</f>
        <v>0.358592302</v>
      </c>
      <c r="H36" s="737">
        <f>C36*Sectors!$M$79</f>
        <v>0.3519748266</v>
      </c>
    </row>
    <row r="37">
      <c r="A37" s="65" t="s">
        <v>474</v>
      </c>
      <c r="B37" s="689">
        <v>2.0</v>
      </c>
      <c r="C37" s="736">
        <f t="shared" si="4"/>
        <v>0.04347826087</v>
      </c>
      <c r="D37" s="737">
        <f>C37*Sectors!$B$79</f>
        <v>0.2330347198</v>
      </c>
      <c r="E37" s="737">
        <f>C37*Sectors!$C$79</f>
        <v>0.2380982576</v>
      </c>
      <c r="F37" s="737">
        <f>C37*Sectors!$D$79</f>
        <v>0.2085238814</v>
      </c>
      <c r="G37" s="737">
        <f>C37*Sectors!$L$79</f>
        <v>0.2390615347</v>
      </c>
      <c r="H37" s="737">
        <f>C37*Sectors!$M$79</f>
        <v>0.2346498844</v>
      </c>
    </row>
    <row r="38">
      <c r="A38" s="65" t="s">
        <v>475</v>
      </c>
      <c r="B38" s="689">
        <v>2.0</v>
      </c>
      <c r="C38" s="736">
        <f t="shared" si="4"/>
        <v>0.04347826087</v>
      </c>
      <c r="D38" s="737">
        <f>C38*Sectors!$B$79</f>
        <v>0.2330347198</v>
      </c>
      <c r="E38" s="737">
        <f>C38*Sectors!$C$79</f>
        <v>0.2380982576</v>
      </c>
      <c r="F38" s="737">
        <f>C38*Sectors!$D$79</f>
        <v>0.2085238814</v>
      </c>
      <c r="G38" s="737">
        <f>C38*Sectors!$L$79</f>
        <v>0.2390615347</v>
      </c>
      <c r="H38" s="737">
        <f>C38*Sectors!$M$79</f>
        <v>0.2346498844</v>
      </c>
    </row>
    <row r="39">
      <c r="A39" s="65" t="s">
        <v>75</v>
      </c>
      <c r="B39" s="39">
        <f>SUM(B28:B38)</f>
        <v>46</v>
      </c>
      <c r="C39" s="736">
        <f t="shared" si="4"/>
        <v>1</v>
      </c>
      <c r="D39" s="737">
        <f>C39*Sectors!$B$79</f>
        <v>5.359798556</v>
      </c>
      <c r="E39" s="737">
        <f>C39*Sectors!$C$79</f>
        <v>5.476259925</v>
      </c>
      <c r="F39" s="737">
        <f>D39*Sectors!$D$79</f>
        <v>25.70585797</v>
      </c>
      <c r="G39" s="737">
        <f>C39*Sectors!$L$79</f>
        <v>5.498415297</v>
      </c>
      <c r="H39" s="737">
        <f>C39*Sectors!$M$79</f>
        <v>5.396947341</v>
      </c>
      <c r="J39" s="339"/>
    </row>
    <row r="40">
      <c r="A40" s="122"/>
      <c r="J40" s="339"/>
    </row>
    <row r="41">
      <c r="A41" s="452"/>
      <c r="B41" s="739"/>
      <c r="C41" s="739"/>
      <c r="D41" s="739"/>
      <c r="E41" s="454" t="s">
        <v>1</v>
      </c>
      <c r="F41" s="415"/>
      <c r="G41" s="454" t="s">
        <v>2</v>
      </c>
      <c r="H41" s="415"/>
      <c r="I41" s="454" t="s">
        <v>3</v>
      </c>
      <c r="J41" s="415"/>
      <c r="K41" s="454" t="s">
        <v>4</v>
      </c>
      <c r="L41" s="415"/>
      <c r="M41" s="454" t="s">
        <v>5</v>
      </c>
      <c r="N41" s="415"/>
      <c r="O41" s="454" t="s">
        <v>6</v>
      </c>
      <c r="P41" s="415"/>
      <c r="Q41" s="454" t="s">
        <v>311</v>
      </c>
      <c r="R41" s="415"/>
      <c r="S41" s="454" t="s">
        <v>8</v>
      </c>
      <c r="T41" s="415"/>
      <c r="U41" s="454" t="s">
        <v>9</v>
      </c>
      <c r="V41" s="415"/>
      <c r="W41" s="455" t="s">
        <v>10</v>
      </c>
      <c r="X41" s="415"/>
      <c r="Y41" s="454" t="s">
        <v>11</v>
      </c>
      <c r="Z41" s="415"/>
      <c r="AA41" s="454" t="s">
        <v>12</v>
      </c>
      <c r="AB41" s="415"/>
    </row>
    <row r="42">
      <c r="A42" s="740" t="s">
        <v>476</v>
      </c>
      <c r="B42" s="741">
        <v>2020.0</v>
      </c>
      <c r="C42" s="741" t="s">
        <v>210</v>
      </c>
      <c r="D42" s="741">
        <v>2050.0</v>
      </c>
      <c r="E42" s="458" t="s">
        <v>317</v>
      </c>
      <c r="F42" s="458" t="s">
        <v>318</v>
      </c>
      <c r="G42" s="458" t="s">
        <v>317</v>
      </c>
      <c r="H42" s="458" t="s">
        <v>318</v>
      </c>
      <c r="I42" s="458" t="s">
        <v>317</v>
      </c>
      <c r="J42" s="741" t="s">
        <v>318</v>
      </c>
      <c r="K42" s="741" t="s">
        <v>317</v>
      </c>
      <c r="L42" s="741" t="s">
        <v>318</v>
      </c>
      <c r="M42" s="741" t="s">
        <v>317</v>
      </c>
      <c r="N42" s="741" t="s">
        <v>318</v>
      </c>
      <c r="O42" s="741" t="s">
        <v>317</v>
      </c>
      <c r="P42" s="741" t="s">
        <v>318</v>
      </c>
      <c r="Q42" s="741" t="s">
        <v>317</v>
      </c>
      <c r="R42" s="741" t="s">
        <v>318</v>
      </c>
      <c r="S42" s="741" t="s">
        <v>317</v>
      </c>
      <c r="T42" s="741" t="s">
        <v>318</v>
      </c>
      <c r="U42" s="741" t="s">
        <v>317</v>
      </c>
      <c r="V42" s="741" t="s">
        <v>318</v>
      </c>
      <c r="W42" s="742" t="s">
        <v>317</v>
      </c>
      <c r="X42" s="743" t="s">
        <v>318</v>
      </c>
      <c r="Y42" s="741" t="s">
        <v>317</v>
      </c>
      <c r="Z42" s="741" t="s">
        <v>318</v>
      </c>
      <c r="AA42" s="741" t="s">
        <v>317</v>
      </c>
      <c r="AB42" s="741" t="s">
        <v>318</v>
      </c>
    </row>
    <row r="43">
      <c r="A43" s="744" t="s">
        <v>334</v>
      </c>
      <c r="B43" s="745">
        <v>12.3</v>
      </c>
      <c r="C43" s="746">
        <f t="shared" ref="C43:C51" si="5">B43/$B$50</f>
        <v>0.2290502793</v>
      </c>
      <c r="D43" s="481">
        <f t="shared" ref="D43:D51" si="6">C43*46</f>
        <v>10.53631285</v>
      </c>
      <c r="E43" s="481">
        <f>C43*Sectors!$B$79</f>
        <v>1.227663357</v>
      </c>
      <c r="F43" s="481">
        <f>E43</f>
        <v>1.227663357</v>
      </c>
      <c r="G43" s="747">
        <f>$C43*Sectors!$C$79</f>
        <v>1.254338866</v>
      </c>
      <c r="H43" s="481">
        <f>G43</f>
        <v>1.254338866</v>
      </c>
      <c r="I43" s="748">
        <f>$C43*Sectors!D$79</f>
        <v>1.098536426</v>
      </c>
      <c r="J43" s="481">
        <f>I43</f>
        <v>1.098536426</v>
      </c>
      <c r="K43" s="748">
        <f>$C43*Sectors!E$79</f>
        <v>0.9536390107</v>
      </c>
      <c r="L43" s="481">
        <f>K43</f>
        <v>0.9536390107</v>
      </c>
      <c r="M43" s="748">
        <f>$C43*Sectors!F$79</f>
        <v>0.87040104</v>
      </c>
      <c r="N43" s="481">
        <f>M43</f>
        <v>0.87040104</v>
      </c>
      <c r="O43" s="748">
        <f>$C43*Sectors!G$79</f>
        <v>0.8579855927</v>
      </c>
      <c r="P43" s="481">
        <f>O43</f>
        <v>0.8579855927</v>
      </c>
      <c r="Q43" s="748">
        <f>$C43*Sectors!H$79</f>
        <v>0.8661873457</v>
      </c>
      <c r="R43" s="481">
        <f>Q43</f>
        <v>0.8661873457</v>
      </c>
      <c r="S43" s="748">
        <f>$C43*Sectors!I$79</f>
        <v>0.8641918933</v>
      </c>
      <c r="T43" s="481">
        <f>S43</f>
        <v>0.8641918933</v>
      </c>
      <c r="U43" s="748">
        <f>$C43*Sectors!J$79</f>
        <v>0.8828846145</v>
      </c>
      <c r="V43" s="481">
        <f>U43</f>
        <v>0.8828846145</v>
      </c>
      <c r="W43" s="748">
        <f>$C43*Sectors!K$79</f>
        <v>1.106972584</v>
      </c>
      <c r="X43" s="481">
        <f>W43</f>
        <v>1.106972584</v>
      </c>
      <c r="Y43" s="748">
        <f>$C43*Sectors!L$79</f>
        <v>1.25941356</v>
      </c>
      <c r="Z43" s="481">
        <f>Y43</f>
        <v>1.25941356</v>
      </c>
      <c r="AA43" s="748">
        <f>$C43*Sectors!M$79</f>
        <v>1.236172296</v>
      </c>
      <c r="AB43" s="482">
        <f>AA43</f>
        <v>1.236172296</v>
      </c>
    </row>
    <row r="44">
      <c r="A44" s="749" t="s">
        <v>335</v>
      </c>
      <c r="B44" s="741">
        <v>7.3</v>
      </c>
      <c r="C44" s="750">
        <f t="shared" si="5"/>
        <v>0.1359404097</v>
      </c>
      <c r="D44" s="751">
        <f t="shared" si="6"/>
        <v>6.253258845</v>
      </c>
      <c r="E44" s="751">
        <f>C44*Sectors!$B$79</f>
        <v>0.7286132116</v>
      </c>
      <c r="F44" s="751">
        <f>E44*5/6</f>
        <v>0.6071776763</v>
      </c>
      <c r="G44" s="752">
        <f>$C44*Sectors!$C$79</f>
        <v>0.7444450177</v>
      </c>
      <c r="H44" s="751">
        <f>G44*5/6</f>
        <v>0.6203708481</v>
      </c>
      <c r="I44" s="753">
        <f>$C44*Sectors!D$79</f>
        <v>0.651976903</v>
      </c>
      <c r="J44" s="751">
        <f>I44*5/6</f>
        <v>0.5433140858</v>
      </c>
      <c r="K44" s="753">
        <f>$C44*Sectors!E$79</f>
        <v>0.5659808763</v>
      </c>
      <c r="L44" s="751">
        <f>K44*5/6</f>
        <v>0.4716507302</v>
      </c>
      <c r="M44" s="753">
        <f>$C44*Sectors!F$79</f>
        <v>0.516579479</v>
      </c>
      <c r="N44" s="751">
        <f>M44*5/6</f>
        <v>0.4304828992</v>
      </c>
      <c r="O44" s="753">
        <f>$C44*Sectors!G$79</f>
        <v>0.5092109615</v>
      </c>
      <c r="P44" s="751">
        <f>O44*5/6</f>
        <v>0.4243424679</v>
      </c>
      <c r="Q44" s="753">
        <f>$C44*Sectors!H$79</f>
        <v>0.5140786686</v>
      </c>
      <c r="R44" s="751">
        <f>Q44*5/6</f>
        <v>0.4283988905</v>
      </c>
      <c r="S44" s="753">
        <f>$C44*Sectors!I$79</f>
        <v>0.5128943757</v>
      </c>
      <c r="T44" s="751">
        <f>S44*5/6</f>
        <v>0.4274119797</v>
      </c>
      <c r="U44" s="753">
        <f>$C44*Sectors!J$79</f>
        <v>0.5239884298</v>
      </c>
      <c r="V44" s="751">
        <f>U44*5/6</f>
        <v>0.4366570248</v>
      </c>
      <c r="W44" s="753">
        <f>$C44*Sectors!K$79</f>
        <v>0.656983729</v>
      </c>
      <c r="X44" s="751">
        <f>W44*5/6</f>
        <v>0.5474864408</v>
      </c>
      <c r="Y44" s="753">
        <f>$C44*Sectors!L$79</f>
        <v>0.7474568281</v>
      </c>
      <c r="Z44" s="751">
        <f>Y44*5/6</f>
        <v>0.6228806901</v>
      </c>
      <c r="AA44" s="753">
        <f>$C44*Sectors!M$79</f>
        <v>0.7336632325</v>
      </c>
      <c r="AB44" s="751">
        <f>AA44*5/6</f>
        <v>0.6113860271</v>
      </c>
    </row>
    <row r="45">
      <c r="A45" s="744" t="s">
        <v>336</v>
      </c>
      <c r="B45" s="745">
        <v>2.3</v>
      </c>
      <c r="C45" s="746">
        <f t="shared" si="5"/>
        <v>0.04283054004</v>
      </c>
      <c r="D45" s="481">
        <f t="shared" si="6"/>
        <v>1.970204842</v>
      </c>
      <c r="E45" s="481">
        <f>C45*Sectors!$B$79</f>
        <v>0.2295630667</v>
      </c>
      <c r="F45" s="482">
        <f t="shared" ref="F45:F49" si="7">E45</f>
        <v>0.2295630667</v>
      </c>
      <c r="G45" s="747">
        <f>$C45*Sectors!$C$79</f>
        <v>0.23455117</v>
      </c>
      <c r="H45" s="482">
        <f t="shared" ref="H45:H49" si="8">G45</f>
        <v>0.23455117</v>
      </c>
      <c r="I45" s="748">
        <f>$C45*Sectors!D$79</f>
        <v>0.2054173804</v>
      </c>
      <c r="J45" s="481">
        <f t="shared" ref="J45:J49" si="9">I45</f>
        <v>0.2054173804</v>
      </c>
      <c r="K45" s="748">
        <f>$C45*Sectors!E$79</f>
        <v>0.1783227418</v>
      </c>
      <c r="L45" s="481">
        <f t="shared" ref="L45:L49" si="10">K45</f>
        <v>0.1783227418</v>
      </c>
      <c r="M45" s="748">
        <f>$C45*Sectors!F$79</f>
        <v>0.162757918</v>
      </c>
      <c r="N45" s="481">
        <f t="shared" ref="N45:N49" si="11">M45</f>
        <v>0.162757918</v>
      </c>
      <c r="O45" s="748">
        <f>$C45*Sectors!G$79</f>
        <v>0.1604363303</v>
      </c>
      <c r="P45" s="481">
        <f t="shared" ref="P45:P49" si="12">O45</f>
        <v>0.1604363303</v>
      </c>
      <c r="Q45" s="748">
        <f>$C45*Sectors!H$79</f>
        <v>0.1619699915</v>
      </c>
      <c r="R45" s="481">
        <f t="shared" ref="R45:R49" si="13">Q45</f>
        <v>0.1619699915</v>
      </c>
      <c r="S45" s="748">
        <f>$C45*Sectors!I$79</f>
        <v>0.1615968581</v>
      </c>
      <c r="T45" s="481">
        <f t="shared" ref="T45:T49" si="14">S45</f>
        <v>0.1615968581</v>
      </c>
      <c r="U45" s="748">
        <f>$C45*Sectors!J$79</f>
        <v>0.165092245</v>
      </c>
      <c r="V45" s="481">
        <f t="shared" ref="V45:V49" si="15">U45</f>
        <v>0.165092245</v>
      </c>
      <c r="W45" s="748">
        <f>$C45*Sectors!K$79</f>
        <v>0.2069948735</v>
      </c>
      <c r="X45" s="481">
        <f t="shared" ref="X45:X49" si="16">W45</f>
        <v>0.2069948735</v>
      </c>
      <c r="Y45" s="748">
        <f>$C45*Sectors!L$79</f>
        <v>0.2355000965</v>
      </c>
      <c r="Z45" s="481">
        <f t="shared" ref="Z45:Z49" si="17">Y45/2</f>
        <v>0.1177500483</v>
      </c>
      <c r="AA45" s="748">
        <f>$C45*Sectors!M$79</f>
        <v>0.2311541692</v>
      </c>
      <c r="AB45" s="482">
        <f t="shared" ref="AB45:AB49" si="18">AA45</f>
        <v>0.2311541692</v>
      </c>
    </row>
    <row r="46">
      <c r="A46" s="754" t="s">
        <v>337</v>
      </c>
      <c r="B46" s="741">
        <v>2.8</v>
      </c>
      <c r="C46" s="750">
        <f t="shared" si="5"/>
        <v>0.052141527</v>
      </c>
      <c r="D46" s="751">
        <f t="shared" si="6"/>
        <v>2.398510242</v>
      </c>
      <c r="E46" s="751">
        <f>C46*Sectors!$B$79</f>
        <v>0.2794680812</v>
      </c>
      <c r="F46" s="755">
        <f t="shared" si="7"/>
        <v>0.2794680812</v>
      </c>
      <c r="G46" s="752">
        <f>$C46*Sectors!$C$79</f>
        <v>0.2855405548</v>
      </c>
      <c r="H46" s="755">
        <f t="shared" si="8"/>
        <v>0.2855405548</v>
      </c>
      <c r="I46" s="753">
        <f>$C46*Sectors!D$79</f>
        <v>0.2500733326</v>
      </c>
      <c r="J46" s="751">
        <f t="shared" si="9"/>
        <v>0.2500733326</v>
      </c>
      <c r="K46" s="753">
        <f>$C46*Sectors!E$79</f>
        <v>0.2170885553</v>
      </c>
      <c r="L46" s="751">
        <f t="shared" si="10"/>
        <v>0.2170885553</v>
      </c>
      <c r="M46" s="753">
        <f>$C46*Sectors!F$79</f>
        <v>0.1981400741</v>
      </c>
      <c r="N46" s="751">
        <f t="shared" si="11"/>
        <v>0.1981400741</v>
      </c>
      <c r="O46" s="753">
        <f>$C46*Sectors!G$79</f>
        <v>0.1953137935</v>
      </c>
      <c r="P46" s="751">
        <f t="shared" si="12"/>
        <v>0.1953137935</v>
      </c>
      <c r="Q46" s="753">
        <f>$C46*Sectors!H$79</f>
        <v>0.1971808592</v>
      </c>
      <c r="R46" s="751">
        <f t="shared" si="13"/>
        <v>0.1971808592</v>
      </c>
      <c r="S46" s="753">
        <f>$C46*Sectors!I$79</f>
        <v>0.1967266099</v>
      </c>
      <c r="T46" s="751">
        <f t="shared" si="14"/>
        <v>0.1967266099</v>
      </c>
      <c r="U46" s="753">
        <f>$C46*Sectors!J$79</f>
        <v>0.2009818635</v>
      </c>
      <c r="V46" s="751">
        <f t="shared" si="15"/>
        <v>0.2009818635</v>
      </c>
      <c r="W46" s="753">
        <f>$C46*Sectors!K$79</f>
        <v>0.2519937591</v>
      </c>
      <c r="X46" s="751">
        <f t="shared" si="16"/>
        <v>0.2519937591</v>
      </c>
      <c r="Y46" s="753">
        <f>$C46*Sectors!L$79</f>
        <v>0.2866957697</v>
      </c>
      <c r="Z46" s="751">
        <f t="shared" si="17"/>
        <v>0.1433478848</v>
      </c>
      <c r="AA46" s="753">
        <f>$C46*Sectors!M$79</f>
        <v>0.2814050755</v>
      </c>
      <c r="AB46" s="755">
        <f t="shared" si="18"/>
        <v>0.2814050755</v>
      </c>
    </row>
    <row r="47">
      <c r="A47" s="744" t="s">
        <v>338</v>
      </c>
      <c r="B47" s="745">
        <v>4.7</v>
      </c>
      <c r="C47" s="746">
        <f t="shared" si="5"/>
        <v>0.08752327747</v>
      </c>
      <c r="D47" s="481">
        <f t="shared" si="6"/>
        <v>4.026070764</v>
      </c>
      <c r="E47" s="481">
        <f>C47*Sectors!$B$79</f>
        <v>0.4691071362</v>
      </c>
      <c r="F47" s="482">
        <f t="shared" si="7"/>
        <v>0.4691071362</v>
      </c>
      <c r="G47" s="747">
        <f>$C47*Sectors!$C$79</f>
        <v>0.4793002169</v>
      </c>
      <c r="H47" s="482">
        <f t="shared" si="8"/>
        <v>0.4793002169</v>
      </c>
      <c r="I47" s="748">
        <f>$C47*Sectors!D$79</f>
        <v>0.4197659512</v>
      </c>
      <c r="J47" s="481">
        <f t="shared" si="9"/>
        <v>0.4197659512</v>
      </c>
      <c r="K47" s="748">
        <f>$C47*Sectors!E$79</f>
        <v>0.3643986464</v>
      </c>
      <c r="L47" s="481">
        <f t="shared" si="10"/>
        <v>0.3643986464</v>
      </c>
      <c r="M47" s="748">
        <f>$C47*Sectors!F$79</f>
        <v>0.3325922673</v>
      </c>
      <c r="N47" s="481">
        <f t="shared" si="11"/>
        <v>0.3325922673</v>
      </c>
      <c r="O47" s="748">
        <f>$C47*Sectors!G$79</f>
        <v>0.3278481533</v>
      </c>
      <c r="P47" s="481">
        <f t="shared" si="12"/>
        <v>0.3278481533</v>
      </c>
      <c r="Q47" s="748">
        <f>$C47*Sectors!H$79</f>
        <v>0.3309821565</v>
      </c>
      <c r="R47" s="481">
        <f t="shared" si="13"/>
        <v>0.3309821565</v>
      </c>
      <c r="S47" s="748">
        <f>$C47*Sectors!I$79</f>
        <v>0.3302196665</v>
      </c>
      <c r="T47" s="481">
        <f t="shared" si="14"/>
        <v>0.3302196665</v>
      </c>
      <c r="U47" s="748">
        <f>$C47*Sectors!J$79</f>
        <v>0.3373624137</v>
      </c>
      <c r="V47" s="481">
        <f t="shared" si="15"/>
        <v>0.3373624137</v>
      </c>
      <c r="W47" s="748">
        <f>$C47*Sectors!K$79</f>
        <v>0.4229895241</v>
      </c>
      <c r="X47" s="481">
        <f t="shared" si="16"/>
        <v>0.4229895241</v>
      </c>
      <c r="Y47" s="748">
        <f>$C47*Sectors!L$79</f>
        <v>0.4812393277</v>
      </c>
      <c r="Z47" s="481">
        <f t="shared" si="17"/>
        <v>0.2406196639</v>
      </c>
      <c r="AA47" s="748">
        <f>$C47*Sectors!M$79</f>
        <v>0.4723585196</v>
      </c>
      <c r="AB47" s="482">
        <f t="shared" si="18"/>
        <v>0.4723585196</v>
      </c>
    </row>
    <row r="48">
      <c r="A48" s="749" t="s">
        <v>339</v>
      </c>
      <c r="B48" s="741">
        <v>7.0</v>
      </c>
      <c r="C48" s="750">
        <f t="shared" si="5"/>
        <v>0.1303538175</v>
      </c>
      <c r="D48" s="751">
        <f t="shared" si="6"/>
        <v>5.996275605</v>
      </c>
      <c r="E48" s="751">
        <f>C48*Sectors!$B$79</f>
        <v>0.6986702029</v>
      </c>
      <c r="F48" s="755">
        <f t="shared" si="7"/>
        <v>0.6986702029</v>
      </c>
      <c r="G48" s="752">
        <f>$C48*Sectors!$C$79</f>
        <v>0.7138513869</v>
      </c>
      <c r="H48" s="755">
        <f t="shared" si="8"/>
        <v>0.7138513869</v>
      </c>
      <c r="I48" s="753">
        <f>$C48*Sectors!D$79</f>
        <v>0.6251833316</v>
      </c>
      <c r="J48" s="751">
        <f t="shared" si="9"/>
        <v>0.6251833316</v>
      </c>
      <c r="K48" s="753">
        <f>$C48*Sectors!E$79</f>
        <v>0.5427213882</v>
      </c>
      <c r="L48" s="751">
        <f t="shared" si="10"/>
        <v>0.5427213882</v>
      </c>
      <c r="M48" s="753">
        <f>$C48*Sectors!F$79</f>
        <v>0.4953501854</v>
      </c>
      <c r="N48" s="751">
        <f t="shared" si="11"/>
        <v>0.4953501854</v>
      </c>
      <c r="O48" s="753">
        <f>$C48*Sectors!G$79</f>
        <v>0.4882844837</v>
      </c>
      <c r="P48" s="751">
        <f t="shared" si="12"/>
        <v>0.4882844837</v>
      </c>
      <c r="Q48" s="753">
        <f>$C48*Sectors!H$79</f>
        <v>0.492952148</v>
      </c>
      <c r="R48" s="751">
        <f t="shared" si="13"/>
        <v>0.492952148</v>
      </c>
      <c r="S48" s="753">
        <f>$C48*Sectors!I$79</f>
        <v>0.4918165246</v>
      </c>
      <c r="T48" s="751">
        <f t="shared" si="14"/>
        <v>0.4918165246</v>
      </c>
      <c r="U48" s="753">
        <f>$C48*Sectors!J$79</f>
        <v>0.5024546587</v>
      </c>
      <c r="V48" s="751">
        <f t="shared" si="15"/>
        <v>0.5024546587</v>
      </c>
      <c r="W48" s="753">
        <f>$C48*Sectors!K$79</f>
        <v>0.6299843976</v>
      </c>
      <c r="X48" s="751">
        <f t="shared" si="16"/>
        <v>0.6299843976</v>
      </c>
      <c r="Y48" s="753">
        <f>$C48*Sectors!L$79</f>
        <v>0.7167394242</v>
      </c>
      <c r="Z48" s="751">
        <f t="shared" si="17"/>
        <v>0.3583697121</v>
      </c>
      <c r="AA48" s="753">
        <f>$C48*Sectors!M$79</f>
        <v>0.7035126887</v>
      </c>
      <c r="AB48" s="755">
        <f t="shared" si="18"/>
        <v>0.7035126887</v>
      </c>
    </row>
    <row r="49">
      <c r="A49" s="744" t="s">
        <v>372</v>
      </c>
      <c r="B49" s="745">
        <v>17.3</v>
      </c>
      <c r="C49" s="746">
        <f t="shared" si="5"/>
        <v>0.322160149</v>
      </c>
      <c r="D49" s="481">
        <f t="shared" si="6"/>
        <v>14.81936685</v>
      </c>
      <c r="E49" s="481">
        <f>C49*Sectors!$B$79</f>
        <v>1.726713501</v>
      </c>
      <c r="F49" s="482">
        <f t="shared" si="7"/>
        <v>1.726713501</v>
      </c>
      <c r="G49" s="747">
        <f>$C49*Sectors!$C$79</f>
        <v>1.764232713</v>
      </c>
      <c r="H49" s="482">
        <f t="shared" si="8"/>
        <v>1.764232713</v>
      </c>
      <c r="I49" s="748">
        <f>$C49*Sectors!D$79</f>
        <v>1.545095948</v>
      </c>
      <c r="J49" s="481">
        <f t="shared" si="9"/>
        <v>1.545095948</v>
      </c>
      <c r="K49" s="748">
        <f>$C49*Sectors!E$79</f>
        <v>1.341297145</v>
      </c>
      <c r="L49" s="481">
        <f t="shared" si="10"/>
        <v>1.341297145</v>
      </c>
      <c r="M49" s="748">
        <f>$C49*Sectors!F$79</f>
        <v>1.224222601</v>
      </c>
      <c r="N49" s="481">
        <f t="shared" si="11"/>
        <v>1.224222601</v>
      </c>
      <c r="O49" s="748">
        <f>$C49*Sectors!G$79</f>
        <v>1.206760224</v>
      </c>
      <c r="P49" s="481">
        <f t="shared" si="12"/>
        <v>1.206760224</v>
      </c>
      <c r="Q49" s="748">
        <f>$C49*Sectors!H$79</f>
        <v>1.218296023</v>
      </c>
      <c r="R49" s="481">
        <f t="shared" si="13"/>
        <v>1.218296023</v>
      </c>
      <c r="S49" s="748">
        <f>$C49*Sectors!I$79</f>
        <v>1.215489411</v>
      </c>
      <c r="T49" s="481">
        <f t="shared" si="14"/>
        <v>1.215489411</v>
      </c>
      <c r="U49" s="748">
        <f>$C49*Sectors!J$79</f>
        <v>1.241780799</v>
      </c>
      <c r="V49" s="481">
        <f t="shared" si="15"/>
        <v>1.241780799</v>
      </c>
      <c r="W49" s="748">
        <f>$C49*Sectors!K$79</f>
        <v>1.55696144</v>
      </c>
      <c r="X49" s="481">
        <f t="shared" si="16"/>
        <v>1.55696144</v>
      </c>
      <c r="Y49" s="748">
        <f>$C49*Sectors!L$79</f>
        <v>1.771370291</v>
      </c>
      <c r="Z49" s="481">
        <f t="shared" si="17"/>
        <v>0.8856851457</v>
      </c>
      <c r="AA49" s="748">
        <f>$C49*Sectors!M$79</f>
        <v>1.738681359</v>
      </c>
      <c r="AB49" s="482">
        <f t="shared" si="18"/>
        <v>1.738681359</v>
      </c>
    </row>
    <row r="50">
      <c r="A50" s="740" t="s">
        <v>75</v>
      </c>
      <c r="B50" s="756">
        <f>SUM(B43:B49)</f>
        <v>53.7</v>
      </c>
      <c r="C50" s="750">
        <f t="shared" si="5"/>
        <v>1</v>
      </c>
      <c r="D50" s="756">
        <f t="shared" si="6"/>
        <v>46</v>
      </c>
      <c r="E50" s="751">
        <f>C50*Sectors!$B$79</f>
        <v>5.359798556</v>
      </c>
      <c r="F50" s="755">
        <f>SUM(F43:F49)</f>
        <v>5.238363021</v>
      </c>
      <c r="G50" s="752">
        <f>$C50*Sectors!$C$79</f>
        <v>5.476259925</v>
      </c>
      <c r="H50" s="755">
        <f t="shared" ref="H50:AB50" si="19">SUM(H43:H49)</f>
        <v>5.352185755</v>
      </c>
      <c r="I50" s="755">
        <f t="shared" si="19"/>
        <v>4.796049273</v>
      </c>
      <c r="J50" s="755">
        <f t="shared" si="19"/>
        <v>4.687386455</v>
      </c>
      <c r="K50" s="755">
        <f t="shared" si="19"/>
        <v>4.163448364</v>
      </c>
      <c r="L50" s="755">
        <f t="shared" si="19"/>
        <v>4.069118218</v>
      </c>
      <c r="M50" s="755">
        <f t="shared" si="19"/>
        <v>3.800043565</v>
      </c>
      <c r="N50" s="755">
        <f t="shared" si="19"/>
        <v>3.713946985</v>
      </c>
      <c r="O50" s="755">
        <f t="shared" si="19"/>
        <v>3.745839539</v>
      </c>
      <c r="P50" s="755">
        <f t="shared" si="19"/>
        <v>3.660971045</v>
      </c>
      <c r="Q50" s="755">
        <f t="shared" si="19"/>
        <v>3.781647192</v>
      </c>
      <c r="R50" s="755">
        <f t="shared" si="19"/>
        <v>3.695967414</v>
      </c>
      <c r="S50" s="755">
        <f t="shared" si="19"/>
        <v>3.772935339</v>
      </c>
      <c r="T50" s="755">
        <f t="shared" si="19"/>
        <v>3.687452943</v>
      </c>
      <c r="U50" s="755">
        <f t="shared" si="19"/>
        <v>3.854545024</v>
      </c>
      <c r="V50" s="755">
        <f t="shared" si="19"/>
        <v>3.767213619</v>
      </c>
      <c r="W50" s="755">
        <f t="shared" si="19"/>
        <v>4.832880308</v>
      </c>
      <c r="X50" s="755">
        <f t="shared" si="19"/>
        <v>4.723383019</v>
      </c>
      <c r="Y50" s="755">
        <f t="shared" si="19"/>
        <v>5.498415297</v>
      </c>
      <c r="Z50" s="755">
        <f t="shared" si="19"/>
        <v>3.628066705</v>
      </c>
      <c r="AA50" s="755">
        <f t="shared" si="19"/>
        <v>5.396947341</v>
      </c>
      <c r="AB50" s="755">
        <f t="shared" si="19"/>
        <v>5.274670135</v>
      </c>
    </row>
    <row r="51">
      <c r="A51" s="757" t="s">
        <v>477</v>
      </c>
      <c r="B51" s="758"/>
      <c r="C51" s="758">
        <f t="shared" si="5"/>
        <v>0</v>
      </c>
      <c r="D51" s="758">
        <f t="shared" si="6"/>
        <v>0</v>
      </c>
      <c r="E51" s="759">
        <f>E50-F50</f>
        <v>0.1214355353</v>
      </c>
      <c r="F51" s="760"/>
      <c r="G51" s="759">
        <f>G50-H50</f>
        <v>0.1240741696</v>
      </c>
      <c r="H51" s="760"/>
      <c r="I51" s="759">
        <f>I50-J50</f>
        <v>0.1086628172</v>
      </c>
      <c r="J51" s="760"/>
      <c r="K51" s="759">
        <f>K50-L50</f>
        <v>0.09433014605</v>
      </c>
      <c r="L51" s="760"/>
      <c r="M51" s="759">
        <f>M50-N50</f>
        <v>0.08609657984</v>
      </c>
      <c r="N51" s="760"/>
      <c r="O51" s="759">
        <f>O50-P50</f>
        <v>0.08486849359</v>
      </c>
      <c r="P51" s="760"/>
      <c r="Q51" s="759">
        <f>Q50-R50</f>
        <v>0.0856797781</v>
      </c>
      <c r="R51" s="760"/>
      <c r="S51" s="759">
        <f>S50-T50</f>
        <v>0.08548239595</v>
      </c>
      <c r="T51" s="760"/>
      <c r="U51" s="759">
        <f>U50-V50</f>
        <v>0.08733140496</v>
      </c>
      <c r="V51" s="760"/>
      <c r="W51" s="759">
        <f>W50-X50</f>
        <v>0.1094972882</v>
      </c>
      <c r="X51" s="760"/>
      <c r="Y51" s="759">
        <f>Y50-Z50</f>
        <v>1.870348593</v>
      </c>
      <c r="Z51" s="760"/>
      <c r="AA51" s="759">
        <f>AA50-AB50</f>
        <v>0.1222772054</v>
      </c>
      <c r="AB51" s="760"/>
    </row>
    <row r="52">
      <c r="A52" s="761"/>
      <c r="B52" s="761"/>
      <c r="C52" s="761"/>
      <c r="D52" s="761"/>
      <c r="E52" s="762"/>
      <c r="F52" s="763"/>
      <c r="G52" s="764"/>
      <c r="H52" s="763"/>
      <c r="I52" s="765"/>
      <c r="J52" s="762"/>
      <c r="K52" s="765"/>
      <c r="L52" s="762"/>
      <c r="M52" s="765"/>
      <c r="N52" s="762"/>
      <c r="O52" s="765"/>
      <c r="P52" s="762"/>
      <c r="Q52" s="765"/>
      <c r="R52" s="762"/>
      <c r="S52" s="765"/>
      <c r="T52" s="762"/>
      <c r="U52" s="765"/>
      <c r="V52" s="762"/>
      <c r="W52" s="765"/>
      <c r="X52" s="762"/>
      <c r="Y52" s="765"/>
      <c r="Z52" s="762"/>
      <c r="AA52" s="765"/>
      <c r="AB52" s="763"/>
    </row>
    <row r="54">
      <c r="A54" s="766" t="s">
        <v>62</v>
      </c>
      <c r="B54" s="767" t="s">
        <v>1</v>
      </c>
      <c r="C54" s="767" t="s">
        <v>2</v>
      </c>
      <c r="D54" s="767" t="s">
        <v>3</v>
      </c>
      <c r="E54" s="767" t="s">
        <v>4</v>
      </c>
      <c r="F54" s="767" t="s">
        <v>5</v>
      </c>
      <c r="G54" s="767" t="s">
        <v>6</v>
      </c>
      <c r="H54" s="767" t="s">
        <v>7</v>
      </c>
      <c r="I54" s="767" t="s">
        <v>8</v>
      </c>
      <c r="J54" s="767" t="s">
        <v>9</v>
      </c>
      <c r="K54" s="767" t="s">
        <v>10</v>
      </c>
      <c r="L54" s="767" t="s">
        <v>11</v>
      </c>
      <c r="M54" s="767" t="s">
        <v>12</v>
      </c>
      <c r="N54" s="767" t="s">
        <v>13</v>
      </c>
      <c r="O54" s="165" t="s">
        <v>63</v>
      </c>
      <c r="R54" s="122" t="s">
        <v>478</v>
      </c>
    </row>
    <row r="55">
      <c r="A55" s="768" t="s">
        <v>54</v>
      </c>
      <c r="B55" s="769">
        <v>5.87891492</v>
      </c>
      <c r="C55" s="769">
        <v>6.12332768</v>
      </c>
      <c r="D55" s="769">
        <v>5.58348219</v>
      </c>
      <c r="E55" s="769">
        <v>4.82865433</v>
      </c>
      <c r="F55" s="769">
        <v>4.48674465</v>
      </c>
      <c r="G55" s="769">
        <v>4.40163166</v>
      </c>
      <c r="H55" s="769">
        <v>4.29519387</v>
      </c>
      <c r="I55" s="769">
        <v>4.53867069</v>
      </c>
      <c r="J55" s="769">
        <v>4.61302312</v>
      </c>
      <c r="K55" s="769">
        <v>5.6911261</v>
      </c>
      <c r="L55" s="769">
        <v>6.42871385</v>
      </c>
      <c r="M55" s="769">
        <v>6.13790623</v>
      </c>
      <c r="N55" s="769">
        <v>63.00738929</v>
      </c>
      <c r="O55" s="183">
        <v>46.0</v>
      </c>
      <c r="R55" s="302">
        <f>(B55-H55)/H55</f>
        <v>0.3687193403</v>
      </c>
    </row>
    <row r="56">
      <c r="A56" s="160" t="s">
        <v>479</v>
      </c>
      <c r="B56" s="770">
        <f t="shared" ref="B56:M56" si="20">B55-$H$55</f>
        <v>1.58372105</v>
      </c>
      <c r="C56" s="770">
        <f t="shared" si="20"/>
        <v>1.82813381</v>
      </c>
      <c r="D56" s="770">
        <f t="shared" si="20"/>
        <v>1.28828832</v>
      </c>
      <c r="E56" s="770">
        <f t="shared" si="20"/>
        <v>0.53346046</v>
      </c>
      <c r="F56" s="770">
        <f t="shared" si="20"/>
        <v>0.19155078</v>
      </c>
      <c r="G56" s="770">
        <f t="shared" si="20"/>
        <v>0.10643779</v>
      </c>
      <c r="H56" s="770">
        <f t="shared" si="20"/>
        <v>0</v>
      </c>
      <c r="I56" s="770">
        <f t="shared" si="20"/>
        <v>0.24347682</v>
      </c>
      <c r="J56" s="770">
        <f t="shared" si="20"/>
        <v>0.31782925</v>
      </c>
      <c r="K56" s="770">
        <f t="shared" si="20"/>
        <v>1.39593223</v>
      </c>
      <c r="L56" s="770">
        <f t="shared" si="20"/>
        <v>2.13351998</v>
      </c>
      <c r="M56" s="770">
        <f t="shared" si="20"/>
        <v>1.84271236</v>
      </c>
      <c r="N56" s="770">
        <f>SUM(B56:M56)</f>
        <v>11.46506285</v>
      </c>
      <c r="O56" s="771"/>
      <c r="R56" s="122" t="s">
        <v>480</v>
      </c>
    </row>
    <row r="57">
      <c r="A57" s="160" t="s">
        <v>481</v>
      </c>
      <c r="B57" s="772">
        <f t="shared" ref="B57:M57" si="21">B56/$H$55</f>
        <v>0.3687193403</v>
      </c>
      <c r="C57" s="772">
        <f t="shared" si="21"/>
        <v>0.4256231186</v>
      </c>
      <c r="D57" s="772">
        <f t="shared" si="21"/>
        <v>0.2999371761</v>
      </c>
      <c r="E57" s="772">
        <f t="shared" si="21"/>
        <v>0.1241993903</v>
      </c>
      <c r="F57" s="772">
        <f t="shared" si="21"/>
        <v>0.04459653878</v>
      </c>
      <c r="G57" s="772">
        <f t="shared" si="21"/>
        <v>0.02478067189</v>
      </c>
      <c r="H57" s="772">
        <f t="shared" si="21"/>
        <v>0</v>
      </c>
      <c r="I57" s="772">
        <f t="shared" si="21"/>
        <v>0.05668587434</v>
      </c>
      <c r="J57" s="772">
        <f t="shared" si="21"/>
        <v>0.07399648529</v>
      </c>
      <c r="K57" s="772">
        <f t="shared" si="21"/>
        <v>0.3249986548</v>
      </c>
      <c r="L57" s="772">
        <f t="shared" si="21"/>
        <v>0.4967226264</v>
      </c>
      <c r="M57" s="772">
        <f t="shared" si="21"/>
        <v>0.4290172727</v>
      </c>
      <c r="N57" s="773"/>
      <c r="O57" s="771"/>
    </row>
    <row r="58">
      <c r="A58" s="160" t="s">
        <v>218</v>
      </c>
      <c r="B58" s="770">
        <f t="shared" ref="B58:G58" si="22">$H$58*(1+B57)</f>
        <v>0.5611749295</v>
      </c>
      <c r="C58" s="770">
        <f t="shared" si="22"/>
        <v>0.5845054786</v>
      </c>
      <c r="D58" s="770">
        <f t="shared" si="22"/>
        <v>0.5329742422</v>
      </c>
      <c r="E58" s="770">
        <f t="shared" si="22"/>
        <v>0.46092175</v>
      </c>
      <c r="F58" s="770">
        <f t="shared" si="22"/>
        <v>0.4282845809</v>
      </c>
      <c r="G58" s="770">
        <f t="shared" si="22"/>
        <v>0.4201600755</v>
      </c>
      <c r="H58" s="770">
        <v>0.41</v>
      </c>
      <c r="I58" s="770">
        <f t="shared" ref="I58:M58" si="23">$H$58*(1+I57)</f>
        <v>0.4332412085</v>
      </c>
      <c r="J58" s="770">
        <f t="shared" si="23"/>
        <v>0.440338559</v>
      </c>
      <c r="K58" s="770">
        <f t="shared" si="23"/>
        <v>0.5432494485</v>
      </c>
      <c r="L58" s="770">
        <f t="shared" si="23"/>
        <v>0.6136562768</v>
      </c>
      <c r="M58" s="770">
        <f t="shared" si="23"/>
        <v>0.5858970818</v>
      </c>
      <c r="N58" s="770">
        <f>sum(B58:M58)</f>
        <v>6.014403631</v>
      </c>
      <c r="O58" s="771"/>
    </row>
    <row r="59">
      <c r="A59" s="160" t="s">
        <v>53</v>
      </c>
      <c r="B59" s="770">
        <f t="shared" ref="B59:E59" si="24">(B56-B58)*0.75</f>
        <v>0.7669095904</v>
      </c>
      <c r="C59" s="770">
        <f t="shared" si="24"/>
        <v>0.9327212485</v>
      </c>
      <c r="D59" s="770">
        <f t="shared" si="24"/>
        <v>0.5664855584</v>
      </c>
      <c r="E59" s="770">
        <f t="shared" si="24"/>
        <v>0.05440403247</v>
      </c>
      <c r="F59" s="770">
        <v>0.0</v>
      </c>
      <c r="G59" s="770">
        <v>0.0</v>
      </c>
      <c r="H59" s="770">
        <v>0.0</v>
      </c>
      <c r="I59" s="770">
        <v>0.0</v>
      </c>
      <c r="J59" s="770">
        <v>0.0</v>
      </c>
      <c r="K59" s="770">
        <f t="shared" ref="K59:N59" si="25">(K56-K58)*0.75</f>
        <v>0.6395120861</v>
      </c>
      <c r="L59" s="770">
        <f t="shared" si="25"/>
        <v>1.139897777</v>
      </c>
      <c r="M59" s="770">
        <f t="shared" si="25"/>
        <v>0.9426114586</v>
      </c>
      <c r="N59" s="773">
        <f t="shared" si="25"/>
        <v>4.087994414</v>
      </c>
      <c r="O59" s="333"/>
    </row>
    <row r="82">
      <c r="A82" s="774" t="s">
        <v>482</v>
      </c>
      <c r="B82" s="775"/>
      <c r="C82" s="775"/>
      <c r="D82" s="775"/>
      <c r="E82" s="775"/>
      <c r="F82" s="776"/>
      <c r="G82" s="777" t="s">
        <v>483</v>
      </c>
    </row>
    <row r="83">
      <c r="A83" s="778"/>
      <c r="B83" s="779">
        <v>2019.0</v>
      </c>
      <c r="C83" s="779">
        <v>2030.0</v>
      </c>
      <c r="D83" s="779">
        <v>2040.0</v>
      </c>
      <c r="E83" s="779">
        <v>2050.0</v>
      </c>
      <c r="F83" s="779">
        <v>2060.0</v>
      </c>
      <c r="G83" s="780" t="s">
        <v>408</v>
      </c>
    </row>
    <row r="84">
      <c r="A84" s="781" t="s">
        <v>484</v>
      </c>
      <c r="B84" s="782">
        <v>81.8</v>
      </c>
      <c r="C84" s="782">
        <v>62.5</v>
      </c>
      <c r="D84" s="782">
        <v>42.1</v>
      </c>
      <c r="E84" s="782">
        <v>29.1</v>
      </c>
      <c r="F84" s="782">
        <v>24.9</v>
      </c>
      <c r="G84" s="783">
        <f t="shared" ref="G84:G91" si="26">1-E84/B84</f>
        <v>0.6442542787</v>
      </c>
    </row>
    <row r="85">
      <c r="A85" s="784" t="s">
        <v>485</v>
      </c>
      <c r="B85" s="779">
        <v>84.1</v>
      </c>
      <c r="C85" s="779">
        <v>64.2</v>
      </c>
      <c r="D85" s="779">
        <v>43.3</v>
      </c>
      <c r="E85" s="779">
        <v>29.9</v>
      </c>
      <c r="F85" s="779">
        <v>25.5</v>
      </c>
      <c r="G85" s="785">
        <f t="shared" si="26"/>
        <v>0.644470868</v>
      </c>
    </row>
    <row r="86">
      <c r="A86" s="781" t="s">
        <v>461</v>
      </c>
      <c r="B86" s="782">
        <v>29.5</v>
      </c>
      <c r="C86" s="782">
        <v>22.4</v>
      </c>
      <c r="D86" s="782">
        <v>15.0</v>
      </c>
      <c r="E86" s="782">
        <v>7.8</v>
      </c>
      <c r="F86" s="782">
        <v>5.5</v>
      </c>
      <c r="G86" s="783">
        <f t="shared" si="26"/>
        <v>0.7355932203</v>
      </c>
    </row>
    <row r="87">
      <c r="A87" s="784" t="s">
        <v>486</v>
      </c>
      <c r="B87" s="779">
        <v>31.8</v>
      </c>
      <c r="C87" s="779">
        <v>24.2</v>
      </c>
      <c r="D87" s="779">
        <v>16.2</v>
      </c>
      <c r="E87" s="779">
        <v>9.4</v>
      </c>
      <c r="F87" s="779">
        <v>7.2</v>
      </c>
      <c r="G87" s="785">
        <f t="shared" si="26"/>
        <v>0.7044025157</v>
      </c>
    </row>
    <row r="88">
      <c r="A88" s="781" t="s">
        <v>487</v>
      </c>
      <c r="B88" s="782">
        <v>72.6</v>
      </c>
      <c r="C88" s="782">
        <v>55.4</v>
      </c>
      <c r="D88" s="782">
        <v>37.3</v>
      </c>
      <c r="E88" s="782">
        <v>23.8</v>
      </c>
      <c r="F88" s="782">
        <v>19.5</v>
      </c>
      <c r="G88" s="783">
        <f t="shared" si="26"/>
        <v>0.6721763085</v>
      </c>
    </row>
    <row r="89">
      <c r="A89" s="784" t="s">
        <v>488</v>
      </c>
      <c r="B89" s="779">
        <v>54.4</v>
      </c>
      <c r="C89" s="779">
        <v>41.5</v>
      </c>
      <c r="D89" s="779">
        <v>27.9</v>
      </c>
      <c r="E89" s="779">
        <v>17.4</v>
      </c>
      <c r="F89" s="779">
        <v>14.1</v>
      </c>
      <c r="G89" s="785">
        <f t="shared" si="26"/>
        <v>0.6801470588</v>
      </c>
    </row>
    <row r="90">
      <c r="A90" s="781" t="s">
        <v>469</v>
      </c>
      <c r="B90" s="782">
        <v>26.3</v>
      </c>
      <c r="C90" s="782">
        <v>20.0</v>
      </c>
      <c r="D90" s="782">
        <v>13.4</v>
      </c>
      <c r="E90" s="782">
        <v>6.9</v>
      </c>
      <c r="F90" s="782">
        <v>4.8</v>
      </c>
      <c r="G90" s="783">
        <f t="shared" si="26"/>
        <v>0.7376425856</v>
      </c>
    </row>
    <row r="91">
      <c r="A91" s="784" t="s">
        <v>468</v>
      </c>
      <c r="B91" s="779">
        <v>28.6</v>
      </c>
      <c r="C91" s="779">
        <v>21.8</v>
      </c>
      <c r="D91" s="779">
        <v>14.6</v>
      </c>
      <c r="E91" s="779">
        <v>7.8</v>
      </c>
      <c r="F91" s="779">
        <v>5.6</v>
      </c>
      <c r="G91" s="785">
        <f t="shared" si="26"/>
        <v>0.7272727273</v>
      </c>
    </row>
    <row r="92">
      <c r="A92" s="786" t="s">
        <v>489</v>
      </c>
      <c r="B92" s="787"/>
      <c r="C92" s="787"/>
      <c r="D92" s="787"/>
      <c r="E92" s="787"/>
      <c r="F92" s="787"/>
      <c r="G92" s="788">
        <f>AVERAGE(G84:G91)</f>
        <v>0.6932449454</v>
      </c>
    </row>
  </sheetData>
  <mergeCells count="38">
    <mergeCell ref="P15:Q15"/>
    <mergeCell ref="R15:S15"/>
    <mergeCell ref="T15:U15"/>
    <mergeCell ref="V15:W15"/>
    <mergeCell ref="X15:Y15"/>
    <mergeCell ref="Z15:AA15"/>
    <mergeCell ref="B15:C15"/>
    <mergeCell ref="D15:E15"/>
    <mergeCell ref="F15:G15"/>
    <mergeCell ref="H15:I15"/>
    <mergeCell ref="J15:K15"/>
    <mergeCell ref="L15:M15"/>
    <mergeCell ref="N15:O15"/>
    <mergeCell ref="S41:T41"/>
    <mergeCell ref="U41:V41"/>
    <mergeCell ref="W41:X41"/>
    <mergeCell ref="Y41:Z41"/>
    <mergeCell ref="AA41:AB41"/>
    <mergeCell ref="E41:F41"/>
    <mergeCell ref="G41:H41"/>
    <mergeCell ref="I41:J41"/>
    <mergeCell ref="K41:L41"/>
    <mergeCell ref="M41:N41"/>
    <mergeCell ref="O41:P41"/>
    <mergeCell ref="Q41:R41"/>
    <mergeCell ref="S51:T51"/>
    <mergeCell ref="U51:V51"/>
    <mergeCell ref="W51:X51"/>
    <mergeCell ref="Y51:Z51"/>
    <mergeCell ref="AA51:AB51"/>
    <mergeCell ref="E51:F51"/>
    <mergeCell ref="G51:H51"/>
    <mergeCell ref="I51:J51"/>
    <mergeCell ref="K51:L51"/>
    <mergeCell ref="M51:N51"/>
    <mergeCell ref="O51:P51"/>
    <mergeCell ref="Q51:R51"/>
    <mergeCell ref="A82:F82"/>
  </mergeCells>
  <drawing r:id="rId1"/>
  <tableParts count="4"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9" t="s">
        <v>490</v>
      </c>
    </row>
    <row r="4">
      <c r="A4" s="790">
        <v>255.5</v>
      </c>
      <c r="B4" s="331" t="s">
        <v>491</v>
      </c>
      <c r="C4" s="331" t="s">
        <v>492</v>
      </c>
      <c r="D4" s="331" t="s">
        <v>493</v>
      </c>
      <c r="E4" s="331" t="s">
        <v>494</v>
      </c>
      <c r="F4" s="331" t="s">
        <v>320</v>
      </c>
      <c r="G4" s="331" t="s">
        <v>209</v>
      </c>
    </row>
    <row r="5">
      <c r="A5" s="331" t="s">
        <v>495</v>
      </c>
      <c r="B5" s="791">
        <f>$A$4* 3600</f>
        <v>919800</v>
      </c>
      <c r="C5" s="791">
        <f>$A$4* 3.6</f>
        <v>919.8</v>
      </c>
      <c r="D5" s="792">
        <f t="shared" ref="D5:E5" si="1">$A$4* 3.6 *10^(-6)</f>
        <v>0.0009198</v>
      </c>
      <c r="E5" s="793">
        <f t="shared" si="1"/>
        <v>0.0009198</v>
      </c>
      <c r="F5" s="793">
        <f>$A$4* 3.6 *10^(-9)</f>
        <v>0.0000009198</v>
      </c>
      <c r="G5" s="791">
        <f>$A$4* 3.6 *10^(-12)</f>
        <v>0.0000000009198</v>
      </c>
    </row>
    <row r="6">
      <c r="A6" s="331" t="s">
        <v>496</v>
      </c>
      <c r="B6" s="792">
        <f>$A$4* 3600*10^(3)</f>
        <v>919800000</v>
      </c>
      <c r="C6" s="791">
        <f>$A$4* 3600</f>
        <v>919800</v>
      </c>
      <c r="D6" s="791">
        <f>$A$4* 3.6</f>
        <v>919.8</v>
      </c>
      <c r="E6" s="793">
        <f>$A$4* 3.6 *10^(-3)</f>
        <v>0.9198</v>
      </c>
      <c r="F6" s="793">
        <f>$A$4* 3.6 *10^(-6)</f>
        <v>0.0009198</v>
      </c>
      <c r="G6" s="793">
        <f>$A$4* 3.6 *10^(-9)</f>
        <v>0.0000009198</v>
      </c>
    </row>
    <row r="7">
      <c r="A7" s="331" t="s">
        <v>497</v>
      </c>
      <c r="B7" s="792">
        <f>$A$4* 3600*10^(6)</f>
        <v>919800000000</v>
      </c>
      <c r="C7" s="792">
        <f>$A$4* 3600*10^(3)</f>
        <v>919800000</v>
      </c>
      <c r="D7" s="793">
        <f>$A$4* 3600</f>
        <v>919800</v>
      </c>
      <c r="E7" s="791">
        <f>$A$4* 3.6</f>
        <v>919.8</v>
      </c>
      <c r="F7" s="793">
        <f>$A$4* 3.6 *10^(-3)</f>
        <v>0.9198</v>
      </c>
      <c r="G7" s="793">
        <f>$A$4* 3.6 *10^(-6)</f>
        <v>0.0009198</v>
      </c>
    </row>
    <row r="8">
      <c r="A8" s="331" t="s">
        <v>498</v>
      </c>
      <c r="B8" s="792">
        <f>$A$4* 3600*10^(9)</f>
        <v>919800000000000</v>
      </c>
      <c r="C8" s="792">
        <f>$A$4* 3600*10^(6)</f>
        <v>919800000000</v>
      </c>
      <c r="D8" s="792">
        <f>$A$4* 3600*10^(3)</f>
        <v>919800000</v>
      </c>
      <c r="E8" s="793">
        <f>$A$4* 3600</f>
        <v>919800</v>
      </c>
      <c r="F8" s="791">
        <f>$A$4* 3.6</f>
        <v>919.8</v>
      </c>
      <c r="G8" s="793">
        <f>$A$4* 3.6 *10^(-3)</f>
        <v>0.9198</v>
      </c>
    </row>
    <row r="9">
      <c r="A9" s="331" t="s">
        <v>360</v>
      </c>
      <c r="B9" s="792">
        <f>$A$4* 3600*10^(12)</f>
        <v>9.198E+17</v>
      </c>
      <c r="C9" s="793">
        <f>$A$4* 3600*10^(9)</f>
        <v>919800000000000</v>
      </c>
      <c r="D9" s="792">
        <f>$A$4* 3600*10^(6)</f>
        <v>919800000000</v>
      </c>
      <c r="E9" s="792">
        <f>$A$4* 3600*10^(3)</f>
        <v>919800000</v>
      </c>
      <c r="F9" s="791">
        <f>$A$4* 3600</f>
        <v>919800</v>
      </c>
      <c r="G9" s="791">
        <f>$A$4* 3.6</f>
        <v>919.8</v>
      </c>
    </row>
    <row r="12">
      <c r="A12" s="794">
        <v>35.77</v>
      </c>
      <c r="B12" s="331" t="s">
        <v>495</v>
      </c>
      <c r="C12" s="331" t="s">
        <v>496</v>
      </c>
      <c r="D12" s="331" t="s">
        <v>497</v>
      </c>
      <c r="E12" s="331" t="s">
        <v>498</v>
      </c>
      <c r="F12" s="331" t="s">
        <v>360</v>
      </c>
    </row>
    <row r="13">
      <c r="A13" s="331" t="s">
        <v>491</v>
      </c>
      <c r="B13" s="795">
        <f>$A$12/3.6*10^(-3)</f>
        <v>0.009936111111</v>
      </c>
      <c r="C13" s="795">
        <f>$A$12/3.6*10^(-6)</f>
        <v>0.000009936111111</v>
      </c>
      <c r="D13" s="795">
        <f>$A$12/3.6*10^(-9)</f>
        <v>0.000000009936111111</v>
      </c>
      <c r="E13" s="795">
        <f>$A$12/3.6*10^(-12)</f>
        <v>0</v>
      </c>
      <c r="F13" s="795">
        <f>$A$12/3.6*10^(-15)</f>
        <v>0</v>
      </c>
    </row>
    <row r="14">
      <c r="A14" s="331" t="s">
        <v>492</v>
      </c>
      <c r="B14" s="795">
        <f>$A$12/3.6*10^(0)</f>
        <v>9.936111111</v>
      </c>
      <c r="C14" s="795">
        <f>$A$12/3.6*10^(-3)</f>
        <v>0.009936111111</v>
      </c>
      <c r="D14" s="795">
        <f>$A$12/3.6*10^(-6)</f>
        <v>0.000009936111111</v>
      </c>
      <c r="E14" s="795">
        <f>$A$12/3.6*10^(-9)</f>
        <v>0.000000009936111111</v>
      </c>
      <c r="F14" s="795">
        <f>$A$12/3.6*10^(-12)</f>
        <v>0</v>
      </c>
    </row>
    <row r="15">
      <c r="A15" s="331" t="s">
        <v>493</v>
      </c>
      <c r="B15" s="795">
        <f>$A$12/3.6*10^(3)</f>
        <v>9936.111111</v>
      </c>
      <c r="C15" s="795">
        <f>$A$12/3.6*10^(-0)</f>
        <v>9.936111111</v>
      </c>
      <c r="D15" s="795">
        <f>$A$12/3.6*10^(-3)</f>
        <v>0.009936111111</v>
      </c>
      <c r="E15" s="795">
        <f>$A$12/3.6*10^(-6)</f>
        <v>0.000009936111111</v>
      </c>
      <c r="F15" s="795">
        <f>$A$12/3.6*10^(-9)</f>
        <v>0.000000009936111111</v>
      </c>
    </row>
    <row r="16">
      <c r="A16" s="331" t="s">
        <v>494</v>
      </c>
      <c r="B16" s="795">
        <f>$A$12/3.6*10^(6)</f>
        <v>9936111.111</v>
      </c>
      <c r="C16" s="795">
        <f>$A$12/3.6*10^(3)</f>
        <v>9936.111111</v>
      </c>
      <c r="D16" s="795">
        <f>$A$12/3.6*10^(-0)</f>
        <v>9.936111111</v>
      </c>
      <c r="E16" s="795">
        <f>$A$12/3.6*10^(-3)</f>
        <v>0.009936111111</v>
      </c>
      <c r="F16" s="795">
        <f>$A$12/3.6*10^(-6)</f>
        <v>0.000009936111111</v>
      </c>
    </row>
    <row r="17">
      <c r="A17" s="331" t="s">
        <v>320</v>
      </c>
      <c r="B17" s="795">
        <f>$A$12/3.6*10^(9)</f>
        <v>9936111111</v>
      </c>
      <c r="C17" s="795">
        <f>$A$12/3.6*10^(6)</f>
        <v>9936111.111</v>
      </c>
      <c r="D17" s="795">
        <f>$A$12/3.6*10^(3)</f>
        <v>9936.111111</v>
      </c>
      <c r="E17" s="795">
        <f>$A$12/3.6*10^(-0)</f>
        <v>9.936111111</v>
      </c>
      <c r="F17" s="795">
        <f>$A$12/3.6*10^(-3)</f>
        <v>0.009936111111</v>
      </c>
    </row>
    <row r="18">
      <c r="A18" s="331" t="s">
        <v>209</v>
      </c>
      <c r="B18" s="795">
        <f>$A$12/3.6*10^(12)</f>
        <v>9936111111111</v>
      </c>
      <c r="C18" s="795">
        <f>$A$12/3.6*10^(9)</f>
        <v>9936111111</v>
      </c>
      <c r="D18" s="795">
        <f>$A$12/3.6*10^(6)</f>
        <v>9936111.111</v>
      </c>
      <c r="E18" s="795">
        <f>$A$12/3.6*10^(3)</f>
        <v>9936.111111</v>
      </c>
      <c r="F18" s="795">
        <f>$A$12/3.6*10^(-0)</f>
        <v>9.936111111</v>
      </c>
    </row>
    <row r="26">
      <c r="D26" s="674"/>
    </row>
  </sheetData>
  <mergeCells count="1">
    <mergeCell ref="A1:A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4" width="20.25"/>
    <col customWidth="1" min="5" max="5" width="16.63"/>
    <col customWidth="1" min="6" max="6" width="13.75"/>
    <col customWidth="1" min="7" max="14" width="14.63"/>
    <col customWidth="1" min="15" max="15" width="20.25"/>
  </cols>
  <sheetData>
    <row r="1" ht="17.25" customHeight="1">
      <c r="A1" s="796" t="s">
        <v>499</v>
      </c>
      <c r="B1" s="797"/>
      <c r="C1" s="798"/>
      <c r="D1" s="799"/>
      <c r="E1" s="800"/>
      <c r="F1" s="800"/>
      <c r="G1" s="800"/>
      <c r="H1" s="800"/>
      <c r="I1" s="801"/>
      <c r="J1" s="801"/>
      <c r="K1" s="800"/>
      <c r="L1" s="800"/>
      <c r="M1" s="800"/>
      <c r="N1" s="800"/>
      <c r="O1" s="802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</row>
    <row r="2" ht="17.25" customHeight="1">
      <c r="A2" s="804" t="s">
        <v>69</v>
      </c>
      <c r="B2" s="805" t="s">
        <v>500</v>
      </c>
      <c r="C2" s="806" t="s">
        <v>315</v>
      </c>
      <c r="D2" s="807" t="s">
        <v>316</v>
      </c>
      <c r="E2" s="808" t="s">
        <v>1</v>
      </c>
      <c r="F2" s="809"/>
      <c r="G2" s="810" t="s">
        <v>2</v>
      </c>
      <c r="H2" s="811"/>
      <c r="I2" s="812" t="s">
        <v>3</v>
      </c>
      <c r="J2" s="809"/>
      <c r="K2" s="810" t="s">
        <v>11</v>
      </c>
      <c r="L2" s="811"/>
      <c r="M2" s="808" t="s">
        <v>12</v>
      </c>
      <c r="N2" s="811"/>
      <c r="O2" s="813" t="s">
        <v>501</v>
      </c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3"/>
    </row>
    <row r="3" ht="17.25" customHeight="1">
      <c r="A3" s="814"/>
      <c r="B3" s="815"/>
      <c r="C3" s="816"/>
      <c r="D3" s="817"/>
      <c r="E3" s="818" t="s">
        <v>317</v>
      </c>
      <c r="F3" s="819" t="s">
        <v>502</v>
      </c>
      <c r="G3" s="806" t="s">
        <v>317</v>
      </c>
      <c r="H3" s="819" t="s">
        <v>502</v>
      </c>
      <c r="I3" s="820" t="s">
        <v>503</v>
      </c>
      <c r="J3" s="819" t="s">
        <v>502</v>
      </c>
      <c r="K3" s="806" t="s">
        <v>317</v>
      </c>
      <c r="L3" s="821" t="s">
        <v>502</v>
      </c>
      <c r="M3" s="818" t="s">
        <v>317</v>
      </c>
      <c r="N3" s="821" t="s">
        <v>502</v>
      </c>
      <c r="O3" s="822"/>
      <c r="P3" s="803"/>
      <c r="Q3" s="803"/>
      <c r="R3" s="803"/>
      <c r="S3" s="803"/>
      <c r="T3" s="803"/>
      <c r="U3" s="803"/>
      <c r="V3" s="803"/>
      <c r="W3" s="803"/>
      <c r="X3" s="803"/>
      <c r="Y3" s="803"/>
      <c r="Z3" s="803"/>
    </row>
    <row r="4" ht="17.25" customHeight="1">
      <c r="A4" s="823" t="s">
        <v>25</v>
      </c>
      <c r="B4" s="824" t="s">
        <v>319</v>
      </c>
      <c r="C4" s="825">
        <v>0.18854700854700854</v>
      </c>
      <c r="D4" s="826">
        <v>9.295367521367519</v>
      </c>
      <c r="E4" s="827">
        <v>0.0</v>
      </c>
      <c r="F4" s="828">
        <v>0.0</v>
      </c>
      <c r="G4" s="829">
        <v>0.0</v>
      </c>
      <c r="H4" s="830">
        <v>0.0</v>
      </c>
      <c r="I4" s="831">
        <v>0.0</v>
      </c>
      <c r="J4" s="828">
        <v>0.0</v>
      </c>
      <c r="K4" s="832">
        <v>0.0</v>
      </c>
      <c r="L4" s="830">
        <v>0.0</v>
      </c>
      <c r="M4" s="827">
        <v>0.0</v>
      </c>
      <c r="N4" s="830">
        <v>0.0</v>
      </c>
      <c r="O4" s="833">
        <f t="shared" ref="O4:O32" si="1">SUM(F4,H4,J4,L4,N4)</f>
        <v>0</v>
      </c>
      <c r="P4" s="803"/>
      <c r="Q4" s="803"/>
      <c r="R4" s="803"/>
      <c r="S4" s="803"/>
      <c r="T4" s="803"/>
      <c r="U4" s="803"/>
      <c r="V4" s="803"/>
      <c r="W4" s="803"/>
      <c r="X4" s="803"/>
      <c r="Y4" s="803"/>
      <c r="Z4" s="803"/>
    </row>
    <row r="5" ht="17.25" customHeight="1">
      <c r="A5" s="814"/>
      <c r="B5" s="834" t="s">
        <v>290</v>
      </c>
      <c r="C5" s="835">
        <v>0.11794871794871796</v>
      </c>
      <c r="D5" s="836">
        <v>5.814871794871794</v>
      </c>
      <c r="E5" s="837">
        <v>0.0</v>
      </c>
      <c r="F5" s="838">
        <v>0.0</v>
      </c>
      <c r="G5" s="839">
        <v>0.0</v>
      </c>
      <c r="H5" s="840">
        <v>0.0</v>
      </c>
      <c r="I5" s="841">
        <v>0.0</v>
      </c>
      <c r="J5" s="838">
        <v>0.0</v>
      </c>
      <c r="K5" s="842">
        <v>0.0</v>
      </c>
      <c r="L5" s="840">
        <v>0.0</v>
      </c>
      <c r="M5" s="837">
        <v>0.0</v>
      </c>
      <c r="N5" s="840">
        <v>0.0</v>
      </c>
      <c r="O5" s="833">
        <f t="shared" si="1"/>
        <v>0</v>
      </c>
      <c r="P5" s="803"/>
      <c r="Q5" s="803"/>
      <c r="R5" s="803"/>
      <c r="S5" s="803"/>
      <c r="T5" s="803"/>
      <c r="U5" s="803"/>
      <c r="V5" s="803"/>
      <c r="W5" s="803"/>
      <c r="X5" s="803"/>
      <c r="Y5" s="803"/>
      <c r="Z5" s="803"/>
    </row>
    <row r="6" ht="17.25" customHeight="1">
      <c r="A6" s="814"/>
      <c r="B6" s="834" t="s">
        <v>291</v>
      </c>
      <c r="C6" s="835">
        <v>0.08205128205128205</v>
      </c>
      <c r="D6" s="836">
        <v>4.045128205128204</v>
      </c>
      <c r="E6" s="837">
        <v>0.0</v>
      </c>
      <c r="F6" s="838">
        <v>0.0</v>
      </c>
      <c r="G6" s="839">
        <v>0.0</v>
      </c>
      <c r="H6" s="840">
        <v>0.0</v>
      </c>
      <c r="I6" s="841">
        <v>0.0</v>
      </c>
      <c r="J6" s="838">
        <v>0.0</v>
      </c>
      <c r="K6" s="842">
        <v>-0.5</v>
      </c>
      <c r="L6" s="840">
        <v>-0.14389632258352128</v>
      </c>
      <c r="M6" s="837">
        <v>-1.0</v>
      </c>
      <c r="N6" s="840">
        <v>-0.2547572145739706</v>
      </c>
      <c r="O6" s="833">
        <f t="shared" si="1"/>
        <v>-0.3986535372</v>
      </c>
      <c r="P6" s="803"/>
      <c r="Q6" s="803"/>
      <c r="R6" s="803"/>
      <c r="S6" s="803"/>
      <c r="T6" s="803"/>
      <c r="U6" s="803"/>
      <c r="V6" s="803"/>
      <c r="W6" s="803"/>
      <c r="X6" s="803"/>
      <c r="Y6" s="803"/>
      <c r="Z6" s="803"/>
    </row>
    <row r="7" ht="17.25" customHeight="1">
      <c r="A7" s="814"/>
      <c r="B7" s="834" t="s">
        <v>292</v>
      </c>
      <c r="C7" s="835">
        <v>0.03076923076923077</v>
      </c>
      <c r="D7" s="836">
        <v>1.5169230769230766</v>
      </c>
      <c r="E7" s="837">
        <v>0.0</v>
      </c>
      <c r="F7" s="838">
        <v>0.0</v>
      </c>
      <c r="G7" s="839">
        <v>0.0</v>
      </c>
      <c r="H7" s="840">
        <v>0.0</v>
      </c>
      <c r="I7" s="841">
        <v>0.0</v>
      </c>
      <c r="J7" s="838">
        <v>0.0</v>
      </c>
      <c r="K7" s="842">
        <v>-0.5</v>
      </c>
      <c r="L7" s="840">
        <v>-0.053961120968820483</v>
      </c>
      <c r="M7" s="837">
        <v>-1.0</v>
      </c>
      <c r="N7" s="840">
        <v>-0.09553395546523898</v>
      </c>
      <c r="O7" s="833">
        <f t="shared" si="1"/>
        <v>-0.1494950764</v>
      </c>
      <c r="P7" s="803"/>
      <c r="Q7" s="803"/>
      <c r="R7" s="803"/>
      <c r="S7" s="803"/>
      <c r="T7" s="803"/>
      <c r="U7" s="803"/>
      <c r="V7" s="803"/>
      <c r="W7" s="803"/>
      <c r="X7" s="803"/>
      <c r="Y7" s="803"/>
      <c r="Z7" s="803"/>
    </row>
    <row r="8" ht="17.25" customHeight="1">
      <c r="A8" s="814"/>
      <c r="B8" s="834" t="s">
        <v>293</v>
      </c>
      <c r="C8" s="835">
        <v>0.14017094017094017</v>
      </c>
      <c r="D8" s="836">
        <v>6.910427350427349</v>
      </c>
      <c r="E8" s="837">
        <v>0.0</v>
      </c>
      <c r="F8" s="838">
        <v>0.0</v>
      </c>
      <c r="G8" s="839">
        <v>0.0</v>
      </c>
      <c r="H8" s="840">
        <v>0.0</v>
      </c>
      <c r="I8" s="841">
        <v>0.0</v>
      </c>
      <c r="J8" s="838">
        <v>0.0</v>
      </c>
      <c r="K8" s="842">
        <v>-0.5</v>
      </c>
      <c r="L8" s="840">
        <v>-0.24582288441351555</v>
      </c>
      <c r="M8" s="837">
        <v>-1.0</v>
      </c>
      <c r="N8" s="840">
        <v>-0.43521024156386645</v>
      </c>
      <c r="O8" s="833">
        <f t="shared" si="1"/>
        <v>-0.681033126</v>
      </c>
      <c r="P8" s="803"/>
      <c r="Q8" s="803"/>
      <c r="R8" s="803"/>
      <c r="S8" s="803"/>
      <c r="T8" s="803"/>
      <c r="U8" s="803"/>
      <c r="V8" s="803"/>
      <c r="W8" s="803"/>
      <c r="X8" s="803"/>
      <c r="Y8" s="803"/>
      <c r="Z8" s="803"/>
    </row>
    <row r="9" ht="17.25" customHeight="1">
      <c r="A9" s="814"/>
      <c r="B9" s="834" t="s">
        <v>294</v>
      </c>
      <c r="C9" s="835">
        <v>0.11794871794871796</v>
      </c>
      <c r="D9" s="836">
        <v>5.814871794871794</v>
      </c>
      <c r="E9" s="837">
        <v>0.0</v>
      </c>
      <c r="F9" s="838">
        <v>0.0</v>
      </c>
      <c r="G9" s="839">
        <v>0.0</v>
      </c>
      <c r="H9" s="840">
        <v>0.0</v>
      </c>
      <c r="I9" s="841">
        <v>0.0</v>
      </c>
      <c r="J9" s="838">
        <v>0.0</v>
      </c>
      <c r="K9" s="842">
        <v>-0.5</v>
      </c>
      <c r="L9" s="840">
        <v>-0.20685096371381187</v>
      </c>
      <c r="M9" s="837">
        <v>-1.0</v>
      </c>
      <c r="N9" s="840">
        <v>-0.3662134959500828</v>
      </c>
      <c r="O9" s="833">
        <f t="shared" si="1"/>
        <v>-0.5730644597</v>
      </c>
      <c r="P9" s="803"/>
      <c r="Q9" s="803"/>
      <c r="R9" s="803"/>
      <c r="S9" s="803"/>
      <c r="T9" s="803"/>
      <c r="U9" s="803"/>
      <c r="V9" s="803"/>
      <c r="W9" s="803"/>
      <c r="X9" s="803"/>
      <c r="Y9" s="803"/>
      <c r="Z9" s="803"/>
    </row>
    <row r="10" ht="17.25" customHeight="1">
      <c r="A10" s="814"/>
      <c r="B10" s="834" t="s">
        <v>295</v>
      </c>
      <c r="C10" s="835">
        <v>0.16923076923076924</v>
      </c>
      <c r="D10" s="836">
        <v>8.343076923076922</v>
      </c>
      <c r="E10" s="837">
        <v>0.0</v>
      </c>
      <c r="F10" s="838">
        <v>0.0</v>
      </c>
      <c r="G10" s="839">
        <v>0.0</v>
      </c>
      <c r="H10" s="840">
        <v>0.0</v>
      </c>
      <c r="I10" s="841">
        <v>0.0</v>
      </c>
      <c r="J10" s="838">
        <v>0.0</v>
      </c>
      <c r="K10" s="842">
        <v>-0.5</v>
      </c>
      <c r="L10" s="840">
        <v>-0.29678616532851265</v>
      </c>
      <c r="M10" s="837">
        <v>-1.0</v>
      </c>
      <c r="N10" s="840">
        <v>-0.5254367550588144</v>
      </c>
      <c r="O10" s="833">
        <f t="shared" si="1"/>
        <v>-0.8222229204</v>
      </c>
      <c r="P10" s="803"/>
      <c r="Q10" s="803"/>
      <c r="R10" s="803"/>
      <c r="S10" s="803"/>
      <c r="T10" s="803"/>
      <c r="U10" s="803"/>
      <c r="V10" s="803"/>
      <c r="W10" s="803"/>
      <c r="X10" s="803"/>
      <c r="Y10" s="803"/>
      <c r="Z10" s="803"/>
    </row>
    <row r="11" ht="17.25" customHeight="1">
      <c r="A11" s="814"/>
      <c r="B11" s="834" t="s">
        <v>296</v>
      </c>
      <c r="C11" s="835">
        <v>0.0547008547008547</v>
      </c>
      <c r="D11" s="836">
        <v>2.6967521367521363</v>
      </c>
      <c r="E11" s="837">
        <v>0.0</v>
      </c>
      <c r="F11" s="838">
        <v>0.0</v>
      </c>
      <c r="G11" s="839">
        <v>0.0</v>
      </c>
      <c r="H11" s="840">
        <v>0.0</v>
      </c>
      <c r="I11" s="841">
        <v>0.0</v>
      </c>
      <c r="J11" s="838">
        <v>0.0</v>
      </c>
      <c r="K11" s="842">
        <v>-0.5</v>
      </c>
      <c r="L11" s="840">
        <v>-0.09593088172234752</v>
      </c>
      <c r="M11" s="837">
        <v>-1.0</v>
      </c>
      <c r="N11" s="840">
        <v>-0.16983814304931374</v>
      </c>
      <c r="O11" s="833">
        <f t="shared" si="1"/>
        <v>-0.2657690248</v>
      </c>
      <c r="P11" s="803"/>
      <c r="Q11" s="803"/>
      <c r="R11" s="803"/>
      <c r="S11" s="803"/>
      <c r="T11" s="803"/>
      <c r="U11" s="803"/>
      <c r="V11" s="803"/>
      <c r="W11" s="803"/>
      <c r="X11" s="803"/>
      <c r="Y11" s="803"/>
      <c r="Z11" s="803"/>
    </row>
    <row r="12" ht="17.25" customHeight="1">
      <c r="A12" s="814"/>
      <c r="B12" s="834" t="s">
        <v>297</v>
      </c>
      <c r="C12" s="835">
        <v>0.02905982905982906</v>
      </c>
      <c r="D12" s="836">
        <v>1.4326495726495725</v>
      </c>
      <c r="E12" s="837">
        <v>0.0</v>
      </c>
      <c r="F12" s="838">
        <v>0.0</v>
      </c>
      <c r="G12" s="839">
        <v>0.0</v>
      </c>
      <c r="H12" s="840">
        <v>0.0</v>
      </c>
      <c r="I12" s="841">
        <v>0.0</v>
      </c>
      <c r="J12" s="838">
        <v>0.0</v>
      </c>
      <c r="K12" s="842">
        <v>-0.5</v>
      </c>
      <c r="L12" s="840">
        <v>-0.050963280914997126</v>
      </c>
      <c r="M12" s="837">
        <v>-1.0</v>
      </c>
      <c r="N12" s="840">
        <v>-0.09022651349494792</v>
      </c>
      <c r="O12" s="833">
        <f t="shared" si="1"/>
        <v>-0.1411897944</v>
      </c>
      <c r="P12" s="803"/>
      <c r="Q12" s="803"/>
      <c r="R12" s="803"/>
      <c r="S12" s="803"/>
      <c r="T12" s="803"/>
      <c r="U12" s="803"/>
      <c r="V12" s="803"/>
      <c r="W12" s="803"/>
      <c r="X12" s="803"/>
      <c r="Y12" s="803"/>
      <c r="Z12" s="803"/>
    </row>
    <row r="13" ht="17.25" customHeight="1">
      <c r="A13" s="814"/>
      <c r="B13" s="834" t="s">
        <v>298</v>
      </c>
      <c r="C13" s="835">
        <v>0.02905982905982906</v>
      </c>
      <c r="D13" s="836">
        <v>1.4326495726495725</v>
      </c>
      <c r="E13" s="837">
        <v>0.0</v>
      </c>
      <c r="F13" s="838">
        <v>0.0</v>
      </c>
      <c r="G13" s="839">
        <v>0.0</v>
      </c>
      <c r="H13" s="840">
        <v>0.0</v>
      </c>
      <c r="I13" s="841">
        <v>0.0</v>
      </c>
      <c r="J13" s="838">
        <v>0.0</v>
      </c>
      <c r="K13" s="842">
        <v>-0.5</v>
      </c>
      <c r="L13" s="840">
        <v>-0.050963280914997126</v>
      </c>
      <c r="M13" s="837">
        <v>-1.0</v>
      </c>
      <c r="N13" s="840">
        <v>-0.09022651349494792</v>
      </c>
      <c r="O13" s="833">
        <f t="shared" si="1"/>
        <v>-0.1411897944</v>
      </c>
      <c r="P13" s="803"/>
      <c r="Q13" s="803"/>
      <c r="R13" s="803"/>
      <c r="S13" s="803"/>
      <c r="T13" s="803"/>
      <c r="U13" s="803"/>
      <c r="V13" s="803"/>
      <c r="W13" s="803"/>
      <c r="X13" s="803"/>
      <c r="Y13" s="803"/>
      <c r="Z13" s="803"/>
    </row>
    <row r="14" ht="17.25" customHeight="1">
      <c r="A14" s="814"/>
      <c r="B14" s="834" t="s">
        <v>299</v>
      </c>
      <c r="C14" s="835">
        <v>0.017094017094017096</v>
      </c>
      <c r="D14" s="836">
        <v>0.8427350427350426</v>
      </c>
      <c r="E14" s="837">
        <v>0.0</v>
      </c>
      <c r="F14" s="838">
        <v>0.0</v>
      </c>
      <c r="G14" s="839">
        <v>0.0</v>
      </c>
      <c r="H14" s="840">
        <v>0.0</v>
      </c>
      <c r="I14" s="841">
        <v>0.0</v>
      </c>
      <c r="J14" s="838">
        <v>0.0</v>
      </c>
      <c r="K14" s="842">
        <v>-0.5</v>
      </c>
      <c r="L14" s="840">
        <v>-0.029978400538233606</v>
      </c>
      <c r="M14" s="837">
        <v>-1.0</v>
      </c>
      <c r="N14" s="840">
        <v>-0.05307441970291055</v>
      </c>
      <c r="O14" s="833">
        <f t="shared" si="1"/>
        <v>-0.08305282024</v>
      </c>
      <c r="P14" s="803"/>
      <c r="Q14" s="803"/>
      <c r="R14" s="803"/>
      <c r="S14" s="803"/>
      <c r="T14" s="803"/>
      <c r="U14" s="803"/>
      <c r="V14" s="803"/>
      <c r="W14" s="803"/>
      <c r="X14" s="803"/>
      <c r="Y14" s="803"/>
      <c r="Z14" s="803"/>
    </row>
    <row r="15" ht="17.25" customHeight="1">
      <c r="A15" s="814"/>
      <c r="B15" s="834" t="s">
        <v>300</v>
      </c>
      <c r="C15" s="835">
        <v>0.013675213675213675</v>
      </c>
      <c r="D15" s="836">
        <v>0.6741880341880341</v>
      </c>
      <c r="E15" s="837">
        <v>0.0</v>
      </c>
      <c r="F15" s="838">
        <v>0.0</v>
      </c>
      <c r="G15" s="839">
        <v>0.0</v>
      </c>
      <c r="H15" s="840">
        <v>0.0</v>
      </c>
      <c r="I15" s="841">
        <v>0.0</v>
      </c>
      <c r="J15" s="838">
        <v>0.0</v>
      </c>
      <c r="K15" s="842">
        <v>-0.5</v>
      </c>
      <c r="L15" s="840">
        <v>-0.02398272043058688</v>
      </c>
      <c r="M15" s="837">
        <v>-1.0</v>
      </c>
      <c r="N15" s="840">
        <v>-0.042459535762328436</v>
      </c>
      <c r="O15" s="833">
        <f t="shared" si="1"/>
        <v>-0.06644225619</v>
      </c>
      <c r="P15" s="803"/>
      <c r="Q15" s="803"/>
      <c r="R15" s="803"/>
      <c r="S15" s="803"/>
      <c r="T15" s="803"/>
      <c r="U15" s="803"/>
      <c r="V15" s="803"/>
      <c r="W15" s="803"/>
      <c r="X15" s="803"/>
      <c r="Y15" s="803"/>
      <c r="Z15" s="803"/>
    </row>
    <row r="16" ht="17.25" customHeight="1">
      <c r="A16" s="843"/>
      <c r="B16" s="844" t="s">
        <v>269</v>
      </c>
      <c r="C16" s="845"/>
      <c r="D16" s="846">
        <v>48.81964102564102</v>
      </c>
      <c r="E16" s="847"/>
      <c r="F16" s="848">
        <v>0.0</v>
      </c>
      <c r="G16" s="849"/>
      <c r="H16" s="850">
        <v>0.0</v>
      </c>
      <c r="I16" s="851"/>
      <c r="J16" s="848">
        <v>0.0</v>
      </c>
      <c r="K16" s="849"/>
      <c r="L16" s="850">
        <v>-1.199136021529344</v>
      </c>
      <c r="M16" s="851"/>
      <c r="N16" s="850">
        <v>-2.122976788116422</v>
      </c>
      <c r="O16" s="852">
        <f t="shared" si="1"/>
        <v>-3.32211281</v>
      </c>
      <c r="P16" s="803"/>
      <c r="Q16" s="803"/>
      <c r="R16" s="803"/>
      <c r="S16" s="803"/>
      <c r="T16" s="803"/>
      <c r="U16" s="803"/>
      <c r="V16" s="803"/>
      <c r="W16" s="803"/>
      <c r="X16" s="803"/>
      <c r="Y16" s="803"/>
      <c r="Z16" s="803"/>
    </row>
    <row r="17" ht="17.25" customHeight="1">
      <c r="A17" s="853" t="s">
        <v>504</v>
      </c>
      <c r="B17" s="854" t="s">
        <v>405</v>
      </c>
      <c r="C17" s="855">
        <v>0.3152</v>
      </c>
      <c r="D17" s="856">
        <v>22.675439488676048</v>
      </c>
      <c r="E17" s="857">
        <v>-0.4459459459459459</v>
      </c>
      <c r="F17" s="858">
        <v>-3.3</v>
      </c>
      <c r="G17" s="859">
        <v>-0.4453125</v>
      </c>
      <c r="H17" s="856">
        <v>-2.85</v>
      </c>
      <c r="I17" s="857">
        <v>-0.4285714285714286</v>
      </c>
      <c r="J17" s="858">
        <v>-0.6</v>
      </c>
      <c r="K17" s="860">
        <v>-0.4347826086956522</v>
      </c>
      <c r="L17" s="861">
        <v>-1.0</v>
      </c>
      <c r="M17" s="862">
        <v>-0.4459459459459459</v>
      </c>
      <c r="N17" s="861">
        <v>-3.3</v>
      </c>
      <c r="O17" s="863">
        <f t="shared" si="1"/>
        <v>-11.05</v>
      </c>
      <c r="P17" s="803"/>
      <c r="Q17" s="803"/>
      <c r="R17" s="803"/>
      <c r="S17" s="803"/>
      <c r="T17" s="803"/>
      <c r="U17" s="803"/>
      <c r="V17" s="803"/>
      <c r="W17" s="803"/>
      <c r="X17" s="803"/>
      <c r="Y17" s="803"/>
      <c r="Z17" s="803"/>
    </row>
    <row r="18" ht="17.25" customHeight="1">
      <c r="A18" s="814"/>
      <c r="B18" s="864" t="s">
        <v>406</v>
      </c>
      <c r="C18" s="835">
        <v>0.0831</v>
      </c>
      <c r="D18" s="840">
        <v>5.978201210371128</v>
      </c>
      <c r="E18" s="837">
        <v>0.0</v>
      </c>
      <c r="F18" s="838">
        <v>0.0</v>
      </c>
      <c r="G18" s="842">
        <v>0.0</v>
      </c>
      <c r="H18" s="840">
        <v>0.0</v>
      </c>
      <c r="I18" s="837">
        <v>0.0</v>
      </c>
      <c r="J18" s="865"/>
      <c r="K18" s="839">
        <v>0.0</v>
      </c>
      <c r="L18" s="866">
        <v>0.0</v>
      </c>
      <c r="M18" s="841">
        <v>0.0</v>
      </c>
      <c r="N18" s="866">
        <v>0.0</v>
      </c>
      <c r="O18" s="833">
        <f t="shared" si="1"/>
        <v>0</v>
      </c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</row>
    <row r="19" ht="17.25" customHeight="1">
      <c r="A19" s="814"/>
      <c r="B19" s="864" t="s">
        <v>268</v>
      </c>
      <c r="C19" s="835">
        <v>0.086</v>
      </c>
      <c r="D19" s="840">
        <v>6.186826764042323</v>
      </c>
      <c r="E19" s="837">
        <v>-0.7</v>
      </c>
      <c r="F19" s="838">
        <v>-0.6583499255587139</v>
      </c>
      <c r="G19" s="842">
        <v>-0.7</v>
      </c>
      <c r="H19" s="840">
        <v>-0.6003253831336576</v>
      </c>
      <c r="I19" s="837">
        <v>-0.7</v>
      </c>
      <c r="J19" s="838">
        <v>-0.30331462226395023</v>
      </c>
      <c r="K19" s="839">
        <v>-0.7</v>
      </c>
      <c r="L19" s="866">
        <v>-0.3477340753148806</v>
      </c>
      <c r="M19" s="841">
        <v>-0.7</v>
      </c>
      <c r="N19" s="866">
        <v>-0.6533393759702066</v>
      </c>
      <c r="O19" s="833">
        <f t="shared" si="1"/>
        <v>-2.563063382</v>
      </c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</row>
    <row r="20" ht="17.25" customHeight="1">
      <c r="A20" s="814"/>
      <c r="B20" s="864" t="s">
        <v>213</v>
      </c>
      <c r="C20" s="835">
        <v>0.0287</v>
      </c>
      <c r="D20" s="840">
        <v>2.0646735828838914</v>
      </c>
      <c r="E20" s="837">
        <v>0.0</v>
      </c>
      <c r="F20" s="838">
        <v>0.0</v>
      </c>
      <c r="G20" s="842">
        <v>0.0</v>
      </c>
      <c r="H20" s="840">
        <v>0.0</v>
      </c>
      <c r="I20" s="837">
        <v>0.0</v>
      </c>
      <c r="J20" s="838">
        <v>0.0</v>
      </c>
      <c r="K20" s="839">
        <v>0.0</v>
      </c>
      <c r="L20" s="866">
        <v>0.0</v>
      </c>
      <c r="M20" s="841">
        <v>0.0</v>
      </c>
      <c r="N20" s="866">
        <v>0.0</v>
      </c>
      <c r="O20" s="833">
        <f t="shared" si="1"/>
        <v>0</v>
      </c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</row>
    <row r="21" ht="17.25" customHeight="1">
      <c r="A21" s="814"/>
      <c r="B21" s="864" t="s">
        <v>217</v>
      </c>
      <c r="C21" s="835">
        <v>0.086</v>
      </c>
      <c r="D21" s="840">
        <v>6.186826764042323</v>
      </c>
      <c r="E21" s="837">
        <v>0.0</v>
      </c>
      <c r="F21" s="838">
        <v>0.0</v>
      </c>
      <c r="G21" s="842">
        <v>0.0</v>
      </c>
      <c r="H21" s="840">
        <v>0.0</v>
      </c>
      <c r="I21" s="837">
        <v>0.0</v>
      </c>
      <c r="J21" s="838">
        <v>0.0</v>
      </c>
      <c r="K21" s="839">
        <v>0.0</v>
      </c>
      <c r="L21" s="866">
        <v>0.0</v>
      </c>
      <c r="M21" s="841">
        <v>0.0</v>
      </c>
      <c r="N21" s="866">
        <v>0.0</v>
      </c>
      <c r="O21" s="833">
        <f t="shared" si="1"/>
        <v>0</v>
      </c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</row>
    <row r="22" ht="17.25" customHeight="1">
      <c r="A22" s="814"/>
      <c r="B22" s="864" t="s">
        <v>214</v>
      </c>
      <c r="C22" s="835">
        <v>0.086</v>
      </c>
      <c r="D22" s="840">
        <v>6.186826764042323</v>
      </c>
      <c r="E22" s="837">
        <v>-0.56</v>
      </c>
      <c r="F22" s="838">
        <v>-0.5266799404469712</v>
      </c>
      <c r="G22" s="842">
        <v>-0.56</v>
      </c>
      <c r="H22" s="840">
        <v>-0.48026030650692614</v>
      </c>
      <c r="I22" s="837">
        <v>-0.56</v>
      </c>
      <c r="J22" s="838">
        <v>-0.24265169781116025</v>
      </c>
      <c r="K22" s="839">
        <v>-0.56</v>
      </c>
      <c r="L22" s="866">
        <v>-0.2781872602519045</v>
      </c>
      <c r="M22" s="841">
        <v>-0.56</v>
      </c>
      <c r="N22" s="866">
        <v>-0.5226715007761654</v>
      </c>
      <c r="O22" s="833">
        <f t="shared" si="1"/>
        <v>-2.050450706</v>
      </c>
      <c r="P22" s="803"/>
      <c r="Q22" s="803"/>
      <c r="R22" s="803"/>
      <c r="S22" s="803"/>
      <c r="T22" s="803"/>
      <c r="U22" s="803"/>
      <c r="V22" s="803"/>
      <c r="W22" s="803"/>
      <c r="X22" s="803"/>
      <c r="Y22" s="803"/>
      <c r="Z22" s="803"/>
    </row>
    <row r="23" ht="17.25" customHeight="1">
      <c r="A23" s="814"/>
      <c r="B23" s="864" t="s">
        <v>211</v>
      </c>
      <c r="C23" s="835">
        <v>0.1719</v>
      </c>
      <c r="D23" s="840">
        <v>12.366459543475294</v>
      </c>
      <c r="E23" s="837">
        <v>-0.63</v>
      </c>
      <c r="F23" s="838">
        <v>-1.1843408951533563</v>
      </c>
      <c r="G23" s="842">
        <v>-0.63</v>
      </c>
      <c r="H23" s="840">
        <v>-1.0799574421466067</v>
      </c>
      <c r="I23" s="837">
        <v>-0.63</v>
      </c>
      <c r="J23" s="838">
        <v>-0.5456488977959971</v>
      </c>
      <c r="K23" s="839">
        <v>-0.63</v>
      </c>
      <c r="L23" s="866">
        <v>-0.6255574278135486</v>
      </c>
      <c r="M23" s="841">
        <v>-0.63</v>
      </c>
      <c r="N23" s="866">
        <v>-1.1753271494924498</v>
      </c>
      <c r="O23" s="833">
        <f t="shared" si="1"/>
        <v>-4.610831812</v>
      </c>
      <c r="P23" s="803"/>
      <c r="Q23" s="803"/>
      <c r="R23" s="803"/>
      <c r="S23" s="803"/>
      <c r="T23" s="803"/>
      <c r="U23" s="803"/>
      <c r="V23" s="803"/>
      <c r="W23" s="803"/>
      <c r="X23" s="803"/>
      <c r="Y23" s="803"/>
      <c r="Z23" s="803"/>
    </row>
    <row r="24" ht="17.25" customHeight="1">
      <c r="A24" s="814"/>
      <c r="B24" s="864" t="s">
        <v>215</v>
      </c>
      <c r="C24" s="835">
        <v>0.1433</v>
      </c>
      <c r="D24" s="840">
        <v>10.308979945200756</v>
      </c>
      <c r="E24" s="837">
        <v>-0.32</v>
      </c>
      <c r="F24" s="838">
        <v>-0.5014832921332291</v>
      </c>
      <c r="G24" s="842">
        <v>-0.32</v>
      </c>
      <c r="H24" s="840">
        <v>-0.4572843981557642</v>
      </c>
      <c r="I24" s="837">
        <v>-0.32</v>
      </c>
      <c r="J24" s="838">
        <v>-0.23104311160358315</v>
      </c>
      <c r="K24" s="839">
        <v>-0.32</v>
      </c>
      <c r="L24" s="866">
        <v>-0.26487863384782667</v>
      </c>
      <c r="M24" s="841">
        <v>-0.32</v>
      </c>
      <c r="N24" s="866">
        <v>-0.49766661834700665</v>
      </c>
      <c r="O24" s="833">
        <f t="shared" si="1"/>
        <v>-1.952356054</v>
      </c>
      <c r="P24" s="803"/>
      <c r="Q24" s="803"/>
      <c r="R24" s="803"/>
      <c r="S24" s="803"/>
      <c r="T24" s="803"/>
      <c r="U24" s="803"/>
      <c r="V24" s="803"/>
      <c r="W24" s="803"/>
      <c r="X24" s="803"/>
      <c r="Y24" s="803"/>
      <c r="Z24" s="803"/>
    </row>
    <row r="25" ht="17.25" customHeight="1">
      <c r="A25" s="843"/>
      <c r="B25" s="867" t="s">
        <v>269</v>
      </c>
      <c r="C25" s="845"/>
      <c r="D25" s="850">
        <v>71.95423406273409</v>
      </c>
      <c r="E25" s="868"/>
      <c r="F25" s="848">
        <v>-6.17085405329227</v>
      </c>
      <c r="G25" s="845"/>
      <c r="H25" s="850">
        <v>-5.467827529942954</v>
      </c>
      <c r="I25" s="868"/>
      <c r="J25" s="848">
        <v>-1.9226583294746906</v>
      </c>
      <c r="K25" s="845"/>
      <c r="L25" s="869">
        <v>-2.5163573972281603</v>
      </c>
      <c r="M25" s="868"/>
      <c r="N25" s="869">
        <v>-6.149004644585828</v>
      </c>
      <c r="O25" s="852">
        <f t="shared" si="1"/>
        <v>-22.22670195</v>
      </c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</row>
    <row r="26" ht="17.25" customHeight="1">
      <c r="A26" s="853" t="s">
        <v>505</v>
      </c>
      <c r="B26" s="870" t="s">
        <v>402</v>
      </c>
      <c r="C26" s="871">
        <v>0.8205</v>
      </c>
      <c r="D26" s="872">
        <v>50.0</v>
      </c>
      <c r="E26" s="862">
        <v>-0.545</v>
      </c>
      <c r="F26" s="873">
        <v>-3.1302298296675204</v>
      </c>
      <c r="G26" s="860">
        <v>-0.545</v>
      </c>
      <c r="H26" s="861">
        <v>-3.3893582038307533</v>
      </c>
      <c r="I26" s="862">
        <v>-0.375</v>
      </c>
      <c r="J26" s="873">
        <v>-2.4973042554011426</v>
      </c>
      <c r="K26" s="860">
        <v>0.0</v>
      </c>
      <c r="L26" s="872">
        <v>0.0</v>
      </c>
      <c r="M26" s="862">
        <v>-0.545</v>
      </c>
      <c r="N26" s="861">
        <v>-3.118631133672529</v>
      </c>
      <c r="O26" s="863">
        <f t="shared" si="1"/>
        <v>-12.13552342</v>
      </c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</row>
    <row r="27" ht="17.25" customHeight="1">
      <c r="A27" s="814"/>
      <c r="B27" s="874" t="s">
        <v>377</v>
      </c>
      <c r="C27" s="875">
        <v>0.0983</v>
      </c>
      <c r="D27" s="876">
        <v>6.0</v>
      </c>
      <c r="E27" s="841">
        <v>0.0</v>
      </c>
      <c r="F27" s="877">
        <v>0.0</v>
      </c>
      <c r="G27" s="839">
        <v>0.0</v>
      </c>
      <c r="H27" s="876">
        <v>0.0</v>
      </c>
      <c r="I27" s="841">
        <v>0.0</v>
      </c>
      <c r="J27" s="877">
        <v>0.0</v>
      </c>
      <c r="K27" s="839">
        <v>0.0</v>
      </c>
      <c r="L27" s="876">
        <v>0.0</v>
      </c>
      <c r="M27" s="841">
        <v>0.0</v>
      </c>
      <c r="N27" s="876">
        <v>0.0</v>
      </c>
      <c r="O27" s="878">
        <f t="shared" si="1"/>
        <v>0</v>
      </c>
      <c r="P27" s="803"/>
      <c r="Q27" s="803"/>
      <c r="R27" s="803"/>
      <c r="S27" s="803"/>
      <c r="T27" s="803"/>
      <c r="U27" s="803"/>
      <c r="V27" s="803"/>
      <c r="W27" s="803"/>
      <c r="X27" s="803"/>
      <c r="Y27" s="803"/>
      <c r="Z27" s="803"/>
    </row>
    <row r="28" ht="17.25" customHeight="1">
      <c r="A28" s="814"/>
      <c r="B28" s="874" t="s">
        <v>380</v>
      </c>
      <c r="C28" s="875">
        <v>0.0406</v>
      </c>
      <c r="D28" s="876">
        <v>2.5</v>
      </c>
      <c r="E28" s="841">
        <v>0.0</v>
      </c>
      <c r="F28" s="877">
        <v>0.0</v>
      </c>
      <c r="G28" s="839">
        <v>0.0</v>
      </c>
      <c r="H28" s="876">
        <v>0.0</v>
      </c>
      <c r="I28" s="841">
        <v>0.0</v>
      </c>
      <c r="J28" s="877">
        <v>0.0</v>
      </c>
      <c r="K28" s="839">
        <v>0.0</v>
      </c>
      <c r="L28" s="876">
        <v>0.0</v>
      </c>
      <c r="M28" s="841">
        <v>0.0</v>
      </c>
      <c r="N28" s="876">
        <v>0.0</v>
      </c>
      <c r="O28" s="878">
        <f t="shared" si="1"/>
        <v>0</v>
      </c>
      <c r="P28" s="803"/>
      <c r="Q28" s="803"/>
      <c r="R28" s="803"/>
      <c r="S28" s="803"/>
      <c r="T28" s="803"/>
      <c r="U28" s="803"/>
      <c r="V28" s="803"/>
      <c r="W28" s="803"/>
      <c r="X28" s="803"/>
      <c r="Y28" s="803"/>
      <c r="Z28" s="803"/>
    </row>
    <row r="29" ht="17.25" customHeight="1">
      <c r="A29" s="814"/>
      <c r="B29" s="874" t="s">
        <v>403</v>
      </c>
      <c r="C29" s="875">
        <v>0.0321</v>
      </c>
      <c r="D29" s="876">
        <v>1.96</v>
      </c>
      <c r="E29" s="841">
        <v>0.0</v>
      </c>
      <c r="F29" s="877">
        <v>0.0</v>
      </c>
      <c r="G29" s="839">
        <v>0.0</v>
      </c>
      <c r="H29" s="876">
        <v>0.0</v>
      </c>
      <c r="I29" s="841">
        <v>0.0</v>
      </c>
      <c r="J29" s="877">
        <v>0.0</v>
      </c>
      <c r="K29" s="839">
        <v>0.0</v>
      </c>
      <c r="L29" s="876">
        <v>0.0</v>
      </c>
      <c r="M29" s="841">
        <v>0.0</v>
      </c>
      <c r="N29" s="876">
        <v>0.0</v>
      </c>
      <c r="O29" s="878">
        <f t="shared" si="1"/>
        <v>0</v>
      </c>
      <c r="P29" s="803"/>
      <c r="Q29" s="803"/>
      <c r="R29" s="803"/>
      <c r="S29" s="803"/>
      <c r="T29" s="803"/>
      <c r="U29" s="803"/>
      <c r="V29" s="803"/>
      <c r="W29" s="803"/>
      <c r="X29" s="803"/>
      <c r="Y29" s="803"/>
      <c r="Z29" s="803"/>
    </row>
    <row r="30" ht="17.25" customHeight="1">
      <c r="A30" s="814"/>
      <c r="B30" s="874" t="s">
        <v>404</v>
      </c>
      <c r="C30" s="875">
        <v>0.0085</v>
      </c>
      <c r="D30" s="876">
        <v>0.5</v>
      </c>
      <c r="E30" s="841">
        <v>0.0</v>
      </c>
      <c r="F30" s="877">
        <v>0.0</v>
      </c>
      <c r="G30" s="839">
        <v>0.0</v>
      </c>
      <c r="H30" s="876">
        <v>0.0</v>
      </c>
      <c r="I30" s="841">
        <v>0.0</v>
      </c>
      <c r="J30" s="877">
        <v>0.0</v>
      </c>
      <c r="K30" s="839">
        <v>0.0</v>
      </c>
      <c r="L30" s="876">
        <v>0.0</v>
      </c>
      <c r="M30" s="841">
        <v>0.0</v>
      </c>
      <c r="N30" s="876">
        <v>0.0</v>
      </c>
      <c r="O30" s="878">
        <f t="shared" si="1"/>
        <v>0</v>
      </c>
      <c r="P30" s="803"/>
      <c r="Q30" s="803"/>
      <c r="R30" s="803"/>
      <c r="S30" s="803"/>
      <c r="T30" s="803"/>
      <c r="U30" s="803"/>
      <c r="V30" s="803"/>
      <c r="W30" s="803"/>
      <c r="X30" s="803"/>
      <c r="Y30" s="803"/>
      <c r="Z30" s="803"/>
    </row>
    <row r="31" ht="17.25" customHeight="1">
      <c r="A31" s="879"/>
      <c r="B31" s="880" t="s">
        <v>269</v>
      </c>
      <c r="C31" s="881"/>
      <c r="D31" s="882">
        <v>60.94</v>
      </c>
      <c r="E31" s="883"/>
      <c r="F31" s="884">
        <v>-3.1302298296675204</v>
      </c>
      <c r="G31" s="885"/>
      <c r="H31" s="882">
        <v>-3.3893582038307533</v>
      </c>
      <c r="I31" s="883"/>
      <c r="J31" s="884">
        <v>-2.4973042554011426</v>
      </c>
      <c r="K31" s="885"/>
      <c r="L31" s="882">
        <v>0.0</v>
      </c>
      <c r="M31" s="886"/>
      <c r="N31" s="882">
        <v>-3.118631133672529</v>
      </c>
      <c r="O31" s="887">
        <f t="shared" si="1"/>
        <v>-12.13552342</v>
      </c>
      <c r="P31" s="803"/>
      <c r="Q31" s="803"/>
      <c r="R31" s="803"/>
      <c r="S31" s="803"/>
      <c r="T31" s="803"/>
      <c r="U31" s="803"/>
      <c r="V31" s="803"/>
      <c r="W31" s="803"/>
      <c r="X31" s="803"/>
      <c r="Y31" s="803"/>
      <c r="Z31" s="803"/>
    </row>
    <row r="32" ht="17.25" customHeight="1">
      <c r="A32" s="888" t="s">
        <v>506</v>
      </c>
      <c r="B32" s="889"/>
      <c r="C32" s="890"/>
      <c r="D32" s="891">
        <f>Sum(D16,D25,D31)</f>
        <v>181.7138751</v>
      </c>
      <c r="E32" s="891"/>
      <c r="F32" s="892">
        <f>Sum(F16,F25,F31)</f>
        <v>-9.301083883</v>
      </c>
      <c r="G32" s="891"/>
      <c r="H32" s="892">
        <f>Sum(H16,H25,H31)</f>
        <v>-8.857185734</v>
      </c>
      <c r="I32" s="891"/>
      <c r="J32" s="892">
        <f>Sum(J16,J25,J31)</f>
        <v>-4.419962585</v>
      </c>
      <c r="K32" s="891"/>
      <c r="L32" s="892">
        <f>Sum(L16,L25,L31)</f>
        <v>-3.715493419</v>
      </c>
      <c r="M32" s="891"/>
      <c r="N32" s="893">
        <f>Sum(N16,N25,N31)</f>
        <v>-11.39061257</v>
      </c>
      <c r="O32" s="894">
        <f t="shared" si="1"/>
        <v>-37.68433819</v>
      </c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</sheetData>
  <mergeCells count="13">
    <mergeCell ref="K2:L2"/>
    <mergeCell ref="M2:N2"/>
    <mergeCell ref="O2:O3"/>
    <mergeCell ref="A4:A16"/>
    <mergeCell ref="A17:A25"/>
    <mergeCell ref="A26:A31"/>
    <mergeCell ref="A2:A3"/>
    <mergeCell ref="B2:B3"/>
    <mergeCell ref="C2:C3"/>
    <mergeCell ref="D2:D3"/>
    <mergeCell ref="E2:F2"/>
    <mergeCell ref="G2:H2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9" max="9" width="13.0"/>
    <col customWidth="1" min="10" max="10" width="17.88"/>
    <col customWidth="1" min="11" max="11" width="13.63"/>
  </cols>
  <sheetData>
    <row r="1">
      <c r="A1" s="122" t="s">
        <v>89</v>
      </c>
      <c r="H1" s="141"/>
      <c r="I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H2" s="141"/>
      <c r="I2" s="141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>
      <c r="H3" s="141"/>
      <c r="I3" s="141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>
      <c r="H4" s="141"/>
      <c r="I4" s="141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>
      <c r="H5" s="141"/>
      <c r="I5" s="14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>
      <c r="A6" s="143" t="s">
        <v>90</v>
      </c>
      <c r="B6" s="144">
        <v>2025.0</v>
      </c>
      <c r="C6" s="144">
        <v>2030.0</v>
      </c>
      <c r="D6" s="144">
        <v>2035.0</v>
      </c>
      <c r="E6" s="144">
        <v>2040.0</v>
      </c>
      <c r="F6" s="144">
        <v>2045.0</v>
      </c>
      <c r="G6" s="144">
        <v>2050.0</v>
      </c>
      <c r="H6" s="141"/>
      <c r="I6" s="141"/>
      <c r="J6" s="142"/>
      <c r="K6" s="143" t="s">
        <v>91</v>
      </c>
      <c r="L6" s="144">
        <v>2025.0</v>
      </c>
      <c r="M6" s="144">
        <v>2030.0</v>
      </c>
      <c r="N6" s="144">
        <v>2035.0</v>
      </c>
      <c r="O6" s="144">
        <v>2040.0</v>
      </c>
      <c r="P6" s="144">
        <v>2045.0</v>
      </c>
      <c r="Q6" s="144">
        <v>2050.0</v>
      </c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144" t="s">
        <v>17</v>
      </c>
      <c r="B7" s="145">
        <f t="shared" ref="B7:G7" si="1">L7*3.6</f>
        <v>15.48</v>
      </c>
      <c r="C7" s="145">
        <f t="shared" si="1"/>
        <v>31.32</v>
      </c>
      <c r="D7" s="145">
        <f t="shared" si="1"/>
        <v>51.84</v>
      </c>
      <c r="E7" s="145">
        <f t="shared" si="1"/>
        <v>77.4</v>
      </c>
      <c r="F7" s="145">
        <f t="shared" si="1"/>
        <v>100.08</v>
      </c>
      <c r="G7" s="145">
        <f t="shared" si="1"/>
        <v>122.4</v>
      </c>
      <c r="H7" s="141"/>
      <c r="I7" s="141"/>
      <c r="J7" s="142"/>
      <c r="K7" s="144" t="s">
        <v>17</v>
      </c>
      <c r="L7" s="144">
        <v>4.3</v>
      </c>
      <c r="M7" s="144">
        <v>8.7</v>
      </c>
      <c r="N7" s="144">
        <v>14.4</v>
      </c>
      <c r="O7" s="144">
        <v>21.5</v>
      </c>
      <c r="P7" s="144">
        <v>27.8</v>
      </c>
      <c r="Q7" s="144">
        <v>34.0</v>
      </c>
      <c r="R7" s="142"/>
      <c r="S7" s="142"/>
      <c r="T7" s="142"/>
      <c r="U7" s="142"/>
      <c r="V7" s="142"/>
      <c r="W7" s="142"/>
      <c r="X7" s="142"/>
      <c r="Y7" s="142"/>
      <c r="Z7" s="142"/>
    </row>
    <row r="8">
      <c r="A8" s="144" t="s">
        <v>92</v>
      </c>
      <c r="B8" s="145">
        <f t="shared" ref="B8:G8" si="2">L8*3.6</f>
        <v>143.64</v>
      </c>
      <c r="C8" s="145">
        <f t="shared" si="2"/>
        <v>145.44</v>
      </c>
      <c r="D8" s="145">
        <f t="shared" si="2"/>
        <v>142.56</v>
      </c>
      <c r="E8" s="145">
        <f t="shared" si="2"/>
        <v>141.48</v>
      </c>
      <c r="F8" s="145">
        <f t="shared" si="2"/>
        <v>140.4</v>
      </c>
      <c r="G8" s="145">
        <f t="shared" si="2"/>
        <v>140.04</v>
      </c>
      <c r="H8" s="141"/>
      <c r="I8" s="141"/>
      <c r="J8" s="142"/>
      <c r="K8" s="144" t="s">
        <v>92</v>
      </c>
      <c r="L8" s="144">
        <v>39.9</v>
      </c>
      <c r="M8" s="144">
        <v>40.4</v>
      </c>
      <c r="N8" s="144">
        <v>39.6</v>
      </c>
      <c r="O8" s="144">
        <v>39.3</v>
      </c>
      <c r="P8" s="144">
        <v>39.0</v>
      </c>
      <c r="Q8" s="144">
        <v>38.9</v>
      </c>
      <c r="R8" s="142"/>
      <c r="S8" s="142"/>
      <c r="T8" s="142"/>
      <c r="U8" s="142"/>
      <c r="V8" s="142"/>
      <c r="W8" s="142"/>
      <c r="X8" s="142"/>
      <c r="Y8" s="142"/>
      <c r="Z8" s="142"/>
    </row>
    <row r="9">
      <c r="A9" s="144" t="s">
        <v>93</v>
      </c>
      <c r="B9" s="145">
        <f t="shared" ref="B9:G9" si="3">L9*3.6</f>
        <v>1.08</v>
      </c>
      <c r="C9" s="145">
        <f t="shared" si="3"/>
        <v>2.16</v>
      </c>
      <c r="D9" s="145">
        <f t="shared" si="3"/>
        <v>4.32</v>
      </c>
      <c r="E9" s="145">
        <f t="shared" si="3"/>
        <v>7.92</v>
      </c>
      <c r="F9" s="145">
        <f t="shared" si="3"/>
        <v>12.24</v>
      </c>
      <c r="G9" s="145">
        <f t="shared" si="3"/>
        <v>15.48</v>
      </c>
      <c r="H9" s="141"/>
      <c r="I9" s="141"/>
      <c r="J9" s="142"/>
      <c r="K9" s="144" t="s">
        <v>93</v>
      </c>
      <c r="L9" s="144">
        <v>0.3</v>
      </c>
      <c r="M9" s="144">
        <v>0.6</v>
      </c>
      <c r="N9" s="144">
        <v>1.2</v>
      </c>
      <c r="O9" s="144">
        <v>2.2</v>
      </c>
      <c r="P9" s="144">
        <v>3.4</v>
      </c>
      <c r="Q9" s="144">
        <v>4.3</v>
      </c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44" t="s">
        <v>94</v>
      </c>
      <c r="B10" s="145">
        <f t="shared" ref="B10:G10" si="4">L10*3.6</f>
        <v>1.08</v>
      </c>
      <c r="C10" s="145">
        <f t="shared" si="4"/>
        <v>1.08</v>
      </c>
      <c r="D10" s="145">
        <f t="shared" si="4"/>
        <v>0.72</v>
      </c>
      <c r="E10" s="145">
        <f t="shared" si="4"/>
        <v>0.72</v>
      </c>
      <c r="F10" s="145">
        <f t="shared" si="4"/>
        <v>0.72</v>
      </c>
      <c r="G10" s="145">
        <f t="shared" si="4"/>
        <v>0.72</v>
      </c>
      <c r="H10" s="141"/>
      <c r="I10" s="141"/>
      <c r="J10" s="142"/>
      <c r="K10" s="144" t="s">
        <v>94</v>
      </c>
      <c r="L10" s="144">
        <v>0.3</v>
      </c>
      <c r="M10" s="144">
        <v>0.3</v>
      </c>
      <c r="N10" s="144">
        <v>0.2</v>
      </c>
      <c r="O10" s="144">
        <v>0.2</v>
      </c>
      <c r="P10" s="144">
        <v>0.2</v>
      </c>
      <c r="Q10" s="144">
        <v>0.2</v>
      </c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144" t="s">
        <v>95</v>
      </c>
      <c r="B11" s="145">
        <f t="shared" ref="B11:G11" si="5">L11*3.6</f>
        <v>0.72</v>
      </c>
      <c r="C11" s="145">
        <f t="shared" si="5"/>
        <v>1.08</v>
      </c>
      <c r="D11" s="145">
        <f t="shared" si="5"/>
        <v>1.8</v>
      </c>
      <c r="E11" s="145">
        <f t="shared" si="5"/>
        <v>2.88</v>
      </c>
      <c r="F11" s="145">
        <f t="shared" si="5"/>
        <v>3.6</v>
      </c>
      <c r="G11" s="145">
        <f t="shared" si="5"/>
        <v>4.32</v>
      </c>
      <c r="H11" s="141"/>
      <c r="I11" s="141"/>
      <c r="J11" s="142"/>
      <c r="K11" s="144" t="s">
        <v>95</v>
      </c>
      <c r="L11" s="144">
        <v>0.2</v>
      </c>
      <c r="M11" s="144">
        <v>0.3</v>
      </c>
      <c r="N11" s="144">
        <v>0.5</v>
      </c>
      <c r="O11" s="144">
        <v>0.8</v>
      </c>
      <c r="P11" s="144">
        <v>1.0</v>
      </c>
      <c r="Q11" s="144">
        <v>1.2</v>
      </c>
      <c r="R11" s="142"/>
      <c r="S11" s="142"/>
      <c r="T11" s="142"/>
      <c r="U11" s="142"/>
      <c r="V11" s="142"/>
      <c r="W11" s="142"/>
      <c r="X11" s="142"/>
      <c r="Y11" s="142"/>
      <c r="Z11" s="142"/>
    </row>
    <row r="12">
      <c r="A12" s="144" t="s">
        <v>96</v>
      </c>
      <c r="B12" s="145">
        <f t="shared" ref="B12:G12" si="6">L12*3.6</f>
        <v>0</v>
      </c>
      <c r="C12" s="145">
        <f t="shared" si="6"/>
        <v>0</v>
      </c>
      <c r="D12" s="145">
        <f t="shared" si="6"/>
        <v>0.36</v>
      </c>
      <c r="E12" s="145">
        <f t="shared" si="6"/>
        <v>2.16</v>
      </c>
      <c r="F12" s="145">
        <f t="shared" si="6"/>
        <v>4.68</v>
      </c>
      <c r="G12" s="145">
        <f t="shared" si="6"/>
        <v>7.2</v>
      </c>
      <c r="H12" s="141"/>
      <c r="I12" s="141"/>
      <c r="J12" s="142"/>
      <c r="K12" s="144" t="s">
        <v>96</v>
      </c>
      <c r="L12" s="144">
        <v>0.0</v>
      </c>
      <c r="M12" s="144">
        <v>0.0</v>
      </c>
      <c r="N12" s="144">
        <v>0.1</v>
      </c>
      <c r="O12" s="144">
        <v>0.6</v>
      </c>
      <c r="P12" s="144">
        <v>1.3</v>
      </c>
      <c r="Q12" s="144">
        <v>2.0</v>
      </c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144" t="s">
        <v>97</v>
      </c>
      <c r="B13" s="145">
        <f t="shared" ref="B13:G13" si="7">L13*3.6</f>
        <v>162</v>
      </c>
      <c r="C13" s="145">
        <f t="shared" si="7"/>
        <v>181.08</v>
      </c>
      <c r="D13" s="145">
        <f t="shared" si="7"/>
        <v>201.6</v>
      </c>
      <c r="E13" s="145">
        <f t="shared" si="7"/>
        <v>232.56</v>
      </c>
      <c r="F13" s="145">
        <f t="shared" si="7"/>
        <v>261.72</v>
      </c>
      <c r="G13" s="145">
        <f t="shared" si="7"/>
        <v>290.16</v>
      </c>
      <c r="H13" s="141"/>
      <c r="I13" s="141"/>
      <c r="J13" s="142"/>
      <c r="K13" s="144" t="s">
        <v>97</v>
      </c>
      <c r="L13" s="144">
        <f t="shared" ref="L13:Q13" si="8"> SUM(L7:L12)</f>
        <v>45</v>
      </c>
      <c r="M13" s="144">
        <f t="shared" si="8"/>
        <v>50.3</v>
      </c>
      <c r="N13" s="144">
        <f t="shared" si="8"/>
        <v>56</v>
      </c>
      <c r="O13" s="144">
        <f t="shared" si="8"/>
        <v>64.6</v>
      </c>
      <c r="P13" s="144">
        <f t="shared" si="8"/>
        <v>72.7</v>
      </c>
      <c r="Q13" s="144">
        <f t="shared" si="8"/>
        <v>80.6</v>
      </c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44" t="s">
        <v>98</v>
      </c>
      <c r="B14" s="145">
        <f t="shared" ref="B14:G14" si="9">L14*3.6</f>
        <v>244.08</v>
      </c>
      <c r="C14" s="145">
        <f t="shared" si="9"/>
        <v>253.44</v>
      </c>
      <c r="D14" s="145">
        <f t="shared" si="9"/>
        <v>264.6</v>
      </c>
      <c r="E14" s="145">
        <f t="shared" si="9"/>
        <v>286.2</v>
      </c>
      <c r="F14" s="145">
        <f t="shared" si="9"/>
        <v>298.44</v>
      </c>
      <c r="G14" s="145">
        <f t="shared" si="9"/>
        <v>303.84</v>
      </c>
      <c r="H14" s="141"/>
      <c r="I14" s="141"/>
      <c r="J14" s="142"/>
      <c r="K14" s="144" t="s">
        <v>98</v>
      </c>
      <c r="L14" s="144">
        <v>67.8</v>
      </c>
      <c r="M14" s="144">
        <v>70.4</v>
      </c>
      <c r="N14" s="144">
        <v>73.5</v>
      </c>
      <c r="O14" s="144">
        <v>79.5</v>
      </c>
      <c r="P14" s="144">
        <v>82.9</v>
      </c>
      <c r="Q14" s="144">
        <v>84.4</v>
      </c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H15" s="141"/>
      <c r="I15" s="141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H16" s="141"/>
      <c r="I16" s="141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146"/>
      <c r="B17" s="141"/>
      <c r="C17" s="141"/>
      <c r="D17" s="141"/>
      <c r="E17" s="141"/>
      <c r="F17" s="141"/>
      <c r="G17" s="141"/>
      <c r="H17" s="141"/>
      <c r="I17" s="141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47" t="s">
        <v>99</v>
      </c>
      <c r="B18" s="148">
        <v>2000.0</v>
      </c>
      <c r="C18" s="148">
        <v>2020.0</v>
      </c>
      <c r="D18" s="149">
        <v>2025.0</v>
      </c>
      <c r="E18" s="149">
        <v>2030.0</v>
      </c>
      <c r="F18" s="149">
        <v>2035.0</v>
      </c>
      <c r="G18" s="149">
        <v>2040.0</v>
      </c>
      <c r="H18" s="149">
        <v>2045.0</v>
      </c>
      <c r="I18" s="149">
        <v>2050.0</v>
      </c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>
      <c r="A19" s="150" t="s">
        <v>30</v>
      </c>
      <c r="B19" s="148">
        <v>783.0</v>
      </c>
      <c r="C19" s="148">
        <v>757.0</v>
      </c>
      <c r="D19" s="149">
        <v>718.0</v>
      </c>
      <c r="E19" s="149">
        <v>672.0</v>
      </c>
      <c r="F19" s="149">
        <v>627.0</v>
      </c>
      <c r="G19" s="149">
        <v>584.0</v>
      </c>
      <c r="H19" s="149">
        <v>550.0</v>
      </c>
      <c r="I19" s="149">
        <v>524.0</v>
      </c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>
      <c r="A20" s="151" t="s">
        <v>100</v>
      </c>
      <c r="B20" s="148">
        <v>783.0</v>
      </c>
      <c r="C20" s="148">
        <v>757.0</v>
      </c>
      <c r="D20" s="149">
        <v>737.0</v>
      </c>
      <c r="E20" s="149">
        <v>710.0</v>
      </c>
      <c r="F20" s="149">
        <v>683.0</v>
      </c>
      <c r="G20" s="149">
        <v>657.0</v>
      </c>
      <c r="H20" s="149">
        <v>634.0</v>
      </c>
      <c r="I20" s="149">
        <v>615.0</v>
      </c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>
      <c r="A21" s="152" t="s">
        <v>101</v>
      </c>
      <c r="B21" s="153">
        <v>186.0</v>
      </c>
      <c r="C21" s="153">
        <v>206.0</v>
      </c>
      <c r="D21" s="154">
        <v>206.0</v>
      </c>
      <c r="E21" s="154">
        <v>208.0</v>
      </c>
      <c r="F21" s="154">
        <v>215.0</v>
      </c>
      <c r="G21" s="154">
        <v>221.0</v>
      </c>
      <c r="H21" s="154">
        <v>226.0</v>
      </c>
      <c r="I21" s="154">
        <v>228.0</v>
      </c>
      <c r="J21" s="142"/>
      <c r="K21" s="142"/>
      <c r="L21" s="142"/>
      <c r="M21" s="142"/>
      <c r="N21" s="142"/>
      <c r="O21" s="142"/>
      <c r="P21" s="142"/>
      <c r="Q21" s="142"/>
    </row>
    <row r="22">
      <c r="A22" s="149" t="s">
        <v>102</v>
      </c>
      <c r="B22" s="148">
        <v>6.0</v>
      </c>
      <c r="C22" s="148">
        <v>30.0</v>
      </c>
      <c r="D22" s="149">
        <v>53.0</v>
      </c>
      <c r="E22" s="149">
        <v>77.0</v>
      </c>
      <c r="F22" s="149">
        <v>99.0</v>
      </c>
      <c r="G22" s="149">
        <v>119.0</v>
      </c>
      <c r="H22" s="149">
        <v>137.0</v>
      </c>
      <c r="I22" s="149">
        <v>151.0</v>
      </c>
      <c r="J22" s="142"/>
      <c r="K22" s="142"/>
      <c r="L22" s="142"/>
      <c r="M22" s="142"/>
      <c r="N22" s="142"/>
      <c r="O22" s="142"/>
      <c r="P22" s="142"/>
      <c r="Q22" s="142"/>
    </row>
    <row r="23">
      <c r="A23" s="148" t="s">
        <v>103</v>
      </c>
      <c r="B23" s="148">
        <v>13.0</v>
      </c>
      <c r="C23" s="155">
        <v>22.0</v>
      </c>
      <c r="D23" s="148">
        <v>26.0</v>
      </c>
      <c r="E23" s="148">
        <v>29.0</v>
      </c>
      <c r="F23" s="148">
        <v>31.0</v>
      </c>
      <c r="G23" s="155">
        <v>34.0</v>
      </c>
      <c r="H23" s="148">
        <v>37.0</v>
      </c>
      <c r="I23" s="148">
        <v>41.0</v>
      </c>
      <c r="J23" s="142"/>
      <c r="K23" s="142"/>
      <c r="L23" s="142"/>
      <c r="M23" s="142"/>
      <c r="N23" s="142"/>
      <c r="O23" s="142"/>
      <c r="P23" s="142"/>
      <c r="Q23" s="142"/>
    </row>
    <row r="24">
      <c r="A24" s="148" t="s">
        <v>104</v>
      </c>
      <c r="B24" s="148">
        <v>0.0</v>
      </c>
      <c r="C24" s="148">
        <v>0.0</v>
      </c>
      <c r="D24" s="148">
        <v>1.0</v>
      </c>
      <c r="E24" s="148">
        <v>2.0</v>
      </c>
      <c r="F24" s="148">
        <v>4.0</v>
      </c>
      <c r="G24" s="148">
        <v>7.0</v>
      </c>
      <c r="H24" s="148">
        <v>25.0</v>
      </c>
      <c r="I24" s="148">
        <v>54.0</v>
      </c>
      <c r="J24" s="142"/>
      <c r="K24" s="142"/>
      <c r="L24" s="142"/>
      <c r="M24" s="142"/>
      <c r="N24" s="142"/>
      <c r="O24" s="142"/>
      <c r="P24" s="142"/>
      <c r="Q24" s="142"/>
    </row>
    <row r="25">
      <c r="A25" s="156" t="s">
        <v>105</v>
      </c>
      <c r="B25" s="148">
        <v>10.0</v>
      </c>
      <c r="C25" s="148">
        <v>12.0</v>
      </c>
      <c r="D25" s="148">
        <v>12.0</v>
      </c>
      <c r="E25" s="148">
        <v>12.0</v>
      </c>
      <c r="F25" s="148">
        <v>13.0</v>
      </c>
      <c r="G25" s="148">
        <v>14.0</v>
      </c>
      <c r="H25" s="148">
        <v>15.0</v>
      </c>
      <c r="I25" s="148">
        <v>15.0</v>
      </c>
      <c r="J25" s="142"/>
      <c r="K25" s="142"/>
      <c r="L25" s="142"/>
      <c r="M25" s="142"/>
      <c r="N25" s="142"/>
      <c r="O25" s="142"/>
      <c r="P25" s="142"/>
      <c r="Q25" s="142"/>
    </row>
    <row r="26">
      <c r="A26" s="149" t="s">
        <v>106</v>
      </c>
      <c r="B26" s="148">
        <v>28.0</v>
      </c>
      <c r="C26" s="148">
        <v>39.0</v>
      </c>
      <c r="D26" s="148">
        <v>40.0</v>
      </c>
      <c r="E26" s="148">
        <v>37.0</v>
      </c>
      <c r="F26" s="148">
        <v>33.0</v>
      </c>
      <c r="G26" s="148">
        <v>29.0</v>
      </c>
      <c r="H26" s="148">
        <v>26.0</v>
      </c>
      <c r="I26" s="148">
        <v>24.0</v>
      </c>
      <c r="J26" s="142"/>
      <c r="K26" s="142"/>
      <c r="L26" s="142"/>
      <c r="M26" s="142"/>
      <c r="N26" s="142"/>
      <c r="O26" s="142"/>
      <c r="P26" s="142"/>
      <c r="Q26" s="142"/>
    </row>
    <row r="27">
      <c r="A27" s="149" t="s">
        <v>107</v>
      </c>
      <c r="B27" s="148">
        <f t="shared" ref="B27:I27" si="10">SUM(B28:B29)</f>
        <v>531</v>
      </c>
      <c r="C27" s="148">
        <f t="shared" si="10"/>
        <v>444</v>
      </c>
      <c r="D27" s="148">
        <f t="shared" si="10"/>
        <v>379</v>
      </c>
      <c r="E27" s="148">
        <f t="shared" si="10"/>
        <v>305</v>
      </c>
      <c r="F27" s="148">
        <f t="shared" si="10"/>
        <v>254</v>
      </c>
      <c r="G27" s="148">
        <f t="shared" si="10"/>
        <v>158</v>
      </c>
      <c r="H27" s="148">
        <f t="shared" si="10"/>
        <v>83</v>
      </c>
      <c r="I27" s="148">
        <f t="shared" si="10"/>
        <v>10</v>
      </c>
      <c r="J27" s="142"/>
      <c r="K27" s="142"/>
      <c r="L27" s="142"/>
      <c r="M27" s="142"/>
      <c r="N27" s="142"/>
      <c r="O27" s="142"/>
      <c r="P27" s="142"/>
      <c r="Q27" s="142"/>
    </row>
    <row r="28">
      <c r="A28" s="148" t="s">
        <v>108</v>
      </c>
      <c r="B28" s="148">
        <v>438.0</v>
      </c>
      <c r="C28" s="148">
        <v>329.0</v>
      </c>
      <c r="D28" s="148">
        <v>272.0</v>
      </c>
      <c r="E28" s="148">
        <v>219.0</v>
      </c>
      <c r="F28" s="148">
        <v>168.0</v>
      </c>
      <c r="G28" s="148">
        <v>118.0</v>
      </c>
      <c r="H28" s="148">
        <v>62.0</v>
      </c>
      <c r="I28" s="148">
        <v>4.0</v>
      </c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>
      <c r="A29" s="148" t="s">
        <v>109</v>
      </c>
      <c r="B29" s="148">
        <v>93.0</v>
      </c>
      <c r="C29" s="148">
        <v>115.0</v>
      </c>
      <c r="D29" s="148">
        <v>107.0</v>
      </c>
      <c r="E29" s="148">
        <v>86.0</v>
      </c>
      <c r="F29" s="148">
        <v>86.0</v>
      </c>
      <c r="G29" s="148">
        <v>40.0</v>
      </c>
      <c r="H29" s="148">
        <v>21.0</v>
      </c>
      <c r="I29" s="148">
        <v>6.0</v>
      </c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>
      <c r="A31" s="157" t="s">
        <v>110</v>
      </c>
      <c r="B31" s="158">
        <v>2000.0</v>
      </c>
      <c r="C31" s="158">
        <v>2020.0</v>
      </c>
      <c r="D31" s="109">
        <v>2025.0</v>
      </c>
      <c r="E31" s="109">
        <v>2030.0</v>
      </c>
      <c r="F31" s="109">
        <v>2035.0</v>
      </c>
      <c r="G31" s="109">
        <v>2040.0</v>
      </c>
      <c r="H31" s="109">
        <v>2045.0</v>
      </c>
      <c r="I31" s="109">
        <v>2050.0</v>
      </c>
      <c r="J31" s="159"/>
      <c r="K31" s="157" t="s">
        <v>111</v>
      </c>
      <c r="L31" s="148">
        <v>2000.0</v>
      </c>
      <c r="M31" s="148">
        <v>2020.0</v>
      </c>
      <c r="N31" s="149">
        <v>2025.0</v>
      </c>
      <c r="O31" s="149">
        <v>2030.0</v>
      </c>
      <c r="P31" s="149">
        <v>2035.0</v>
      </c>
      <c r="Q31" s="149">
        <v>2040.0</v>
      </c>
      <c r="R31" s="149">
        <v>2045.0</v>
      </c>
      <c r="S31" s="149">
        <v>2050.0</v>
      </c>
      <c r="T31" s="142"/>
      <c r="U31" s="142"/>
      <c r="V31" s="142"/>
      <c r="W31" s="142"/>
      <c r="X31" s="142"/>
      <c r="Y31" s="142"/>
      <c r="Z31" s="142"/>
    </row>
    <row r="32">
      <c r="A32" s="160" t="s">
        <v>112</v>
      </c>
      <c r="B32" s="161">
        <f t="shared" ref="B32:I32" si="11">L32*3.6</f>
        <v>188.64</v>
      </c>
      <c r="C32" s="161">
        <f t="shared" si="11"/>
        <v>205.92</v>
      </c>
      <c r="D32" s="161">
        <f t="shared" si="11"/>
        <v>205.92</v>
      </c>
      <c r="E32" s="161">
        <f t="shared" si="11"/>
        <v>208.44</v>
      </c>
      <c r="F32" s="161">
        <f t="shared" si="11"/>
        <v>214.56</v>
      </c>
      <c r="G32" s="161">
        <f t="shared" si="11"/>
        <v>221.4</v>
      </c>
      <c r="H32" s="161">
        <f t="shared" si="11"/>
        <v>226.44</v>
      </c>
      <c r="I32" s="161">
        <f t="shared" si="11"/>
        <v>227.52</v>
      </c>
      <c r="J32" s="162"/>
      <c r="K32" s="160" t="s">
        <v>112</v>
      </c>
      <c r="L32" s="160">
        <v>52.4</v>
      </c>
      <c r="M32" s="160">
        <v>57.2</v>
      </c>
      <c r="N32" s="160">
        <v>57.2</v>
      </c>
      <c r="O32" s="160">
        <v>57.9</v>
      </c>
      <c r="P32" s="160">
        <v>59.6</v>
      </c>
      <c r="Q32" s="160">
        <v>61.5</v>
      </c>
      <c r="R32" s="160">
        <v>62.9</v>
      </c>
      <c r="S32" s="160">
        <v>63.2</v>
      </c>
      <c r="T32" s="142"/>
      <c r="U32" s="142"/>
      <c r="V32" s="142"/>
      <c r="W32" s="142"/>
      <c r="X32" s="142"/>
      <c r="Y32" s="142"/>
      <c r="Z32" s="142"/>
    </row>
    <row r="33">
      <c r="A33" s="160" t="s">
        <v>113</v>
      </c>
      <c r="B33" s="161">
        <f t="shared" ref="B33:I33" si="12">L33*3.6</f>
        <v>0.36</v>
      </c>
      <c r="C33" s="161">
        <f t="shared" si="12"/>
        <v>0.72</v>
      </c>
      <c r="D33" s="161">
        <f t="shared" si="12"/>
        <v>2.88</v>
      </c>
      <c r="E33" s="161">
        <f t="shared" si="12"/>
        <v>8.64</v>
      </c>
      <c r="F33" s="161">
        <f t="shared" si="12"/>
        <v>18</v>
      </c>
      <c r="G33" s="161">
        <f t="shared" si="12"/>
        <v>29.16</v>
      </c>
      <c r="H33" s="161">
        <f t="shared" si="12"/>
        <v>42.84</v>
      </c>
      <c r="I33" s="161">
        <f t="shared" si="12"/>
        <v>47.16</v>
      </c>
      <c r="J33" s="162"/>
      <c r="K33" s="160" t="s">
        <v>113</v>
      </c>
      <c r="L33" s="160">
        <v>0.1</v>
      </c>
      <c r="M33" s="160">
        <v>0.2</v>
      </c>
      <c r="N33" s="160">
        <v>0.8</v>
      </c>
      <c r="O33" s="160">
        <v>2.4</v>
      </c>
      <c r="P33" s="160">
        <v>5.0</v>
      </c>
      <c r="Q33" s="160">
        <v>8.1</v>
      </c>
      <c r="R33" s="160">
        <v>11.9</v>
      </c>
      <c r="S33" s="160">
        <v>13.1</v>
      </c>
      <c r="T33" s="142"/>
      <c r="U33" s="142"/>
      <c r="V33" s="142"/>
      <c r="W33" s="142"/>
      <c r="X33" s="142"/>
      <c r="Y33" s="142"/>
      <c r="Z33" s="142"/>
    </row>
    <row r="34">
      <c r="A34" s="160" t="s">
        <v>114</v>
      </c>
      <c r="B34" s="161">
        <f t="shared" ref="B34:I34" si="13">L34*3.6</f>
        <v>2.16</v>
      </c>
      <c r="C34" s="161">
        <f t="shared" si="13"/>
        <v>8.28</v>
      </c>
      <c r="D34" s="161">
        <f t="shared" si="13"/>
        <v>14.4</v>
      </c>
      <c r="E34" s="161">
        <f t="shared" si="13"/>
        <v>20.16</v>
      </c>
      <c r="F34" s="161">
        <f t="shared" si="13"/>
        <v>24.48</v>
      </c>
      <c r="G34" s="161">
        <f t="shared" si="13"/>
        <v>27</v>
      </c>
      <c r="H34" s="161">
        <f t="shared" si="13"/>
        <v>29.52</v>
      </c>
      <c r="I34" s="161">
        <f t="shared" si="13"/>
        <v>31.32</v>
      </c>
      <c r="J34" s="162"/>
      <c r="K34" s="160" t="s">
        <v>114</v>
      </c>
      <c r="L34" s="160">
        <v>0.6</v>
      </c>
      <c r="M34" s="160">
        <v>2.3</v>
      </c>
      <c r="N34" s="160">
        <v>4.0</v>
      </c>
      <c r="O34" s="160">
        <v>5.6</v>
      </c>
      <c r="P34" s="160">
        <v>6.8</v>
      </c>
      <c r="Q34" s="160">
        <v>7.5</v>
      </c>
      <c r="R34" s="160">
        <v>8.2</v>
      </c>
      <c r="S34" s="160">
        <v>8.7</v>
      </c>
      <c r="T34" s="142"/>
      <c r="U34" s="142"/>
      <c r="V34" s="142"/>
      <c r="W34" s="142"/>
      <c r="X34" s="142"/>
      <c r="Y34" s="142"/>
      <c r="Z34" s="142"/>
    </row>
    <row r="35">
      <c r="A35" s="160" t="s">
        <v>115</v>
      </c>
      <c r="B35" s="161">
        <f t="shared" ref="B35:I35" si="14">L35*3.6</f>
        <v>0</v>
      </c>
      <c r="C35" s="161">
        <f t="shared" si="14"/>
        <v>0</v>
      </c>
      <c r="D35" s="161">
        <f t="shared" si="14"/>
        <v>3.24</v>
      </c>
      <c r="E35" s="161">
        <f t="shared" si="14"/>
        <v>6.48</v>
      </c>
      <c r="F35" s="161">
        <f t="shared" si="14"/>
        <v>11.16</v>
      </c>
      <c r="G35" s="161">
        <f t="shared" si="14"/>
        <v>18</v>
      </c>
      <c r="H35" s="161">
        <f t="shared" si="14"/>
        <v>23.4</v>
      </c>
      <c r="I35" s="161">
        <f t="shared" si="14"/>
        <v>26.64</v>
      </c>
      <c r="J35" s="162"/>
      <c r="K35" s="160" t="s">
        <v>115</v>
      </c>
      <c r="L35" s="160">
        <v>0.0</v>
      </c>
      <c r="M35" s="160">
        <v>0.0</v>
      </c>
      <c r="N35" s="160">
        <v>0.9</v>
      </c>
      <c r="O35" s="160">
        <v>1.8</v>
      </c>
      <c r="P35" s="160">
        <v>3.1</v>
      </c>
      <c r="Q35" s="160">
        <v>5.0</v>
      </c>
      <c r="R35" s="160">
        <v>6.5</v>
      </c>
      <c r="S35" s="160">
        <v>7.4</v>
      </c>
      <c r="T35" s="142"/>
      <c r="U35" s="142"/>
      <c r="V35" s="142"/>
      <c r="W35" s="142"/>
      <c r="X35" s="142"/>
      <c r="Y35" s="142"/>
      <c r="Z35" s="142"/>
    </row>
    <row r="36">
      <c r="A36" s="160" t="s">
        <v>116</v>
      </c>
      <c r="B36" s="161">
        <f t="shared" ref="B36:I36" si="15">L36*3.6</f>
        <v>14.04</v>
      </c>
      <c r="C36" s="161">
        <f t="shared" si="15"/>
        <v>15.48</v>
      </c>
      <c r="D36" s="161">
        <f t="shared" si="15"/>
        <v>15.84</v>
      </c>
      <c r="E36" s="161">
        <f t="shared" si="15"/>
        <v>16.2</v>
      </c>
      <c r="F36" s="161">
        <f t="shared" si="15"/>
        <v>16.92</v>
      </c>
      <c r="G36" s="161">
        <f t="shared" si="15"/>
        <v>18</v>
      </c>
      <c r="H36" s="161">
        <f t="shared" si="15"/>
        <v>18.72</v>
      </c>
      <c r="I36" s="161">
        <f t="shared" si="15"/>
        <v>19.08</v>
      </c>
      <c r="J36" s="162"/>
      <c r="K36" s="160" t="s">
        <v>116</v>
      </c>
      <c r="L36" s="160">
        <v>3.9</v>
      </c>
      <c r="M36" s="160">
        <v>4.3</v>
      </c>
      <c r="N36" s="160">
        <v>4.4</v>
      </c>
      <c r="O36" s="160">
        <v>4.5</v>
      </c>
      <c r="P36" s="160">
        <v>4.7</v>
      </c>
      <c r="Q36" s="160">
        <v>5.0</v>
      </c>
      <c r="R36" s="160">
        <v>5.2</v>
      </c>
      <c r="S36" s="160">
        <v>5.3</v>
      </c>
      <c r="T36" s="142"/>
      <c r="U36" s="142"/>
      <c r="V36" s="142"/>
      <c r="W36" s="142"/>
      <c r="X36" s="142"/>
      <c r="Y36" s="142"/>
      <c r="Z36" s="142"/>
    </row>
    <row r="37">
      <c r="A37" s="163" t="s">
        <v>117</v>
      </c>
      <c r="B37" s="161">
        <f t="shared" ref="B37:I37" si="16">L37*3.6</f>
        <v>202.68</v>
      </c>
      <c r="C37" s="161">
        <f t="shared" si="16"/>
        <v>221.4</v>
      </c>
      <c r="D37" s="161">
        <f t="shared" si="16"/>
        <v>225</v>
      </c>
      <c r="E37" s="161">
        <f t="shared" si="16"/>
        <v>231.12</v>
      </c>
      <c r="F37" s="161">
        <f t="shared" si="16"/>
        <v>242.64</v>
      </c>
      <c r="G37" s="161">
        <f t="shared" si="16"/>
        <v>257.4</v>
      </c>
      <c r="H37" s="161">
        <f t="shared" si="16"/>
        <v>268.56</v>
      </c>
      <c r="I37" s="161">
        <f t="shared" si="16"/>
        <v>273.24</v>
      </c>
      <c r="J37" s="164"/>
      <c r="K37" s="165" t="s">
        <v>117</v>
      </c>
      <c r="L37" s="166">
        <f t="shared" ref="L37:S37" si="17">SUM(L32,L35,L36)</f>
        <v>56.3</v>
      </c>
      <c r="M37" s="166">
        <f t="shared" si="17"/>
        <v>61.5</v>
      </c>
      <c r="N37" s="166">
        <f t="shared" si="17"/>
        <v>62.5</v>
      </c>
      <c r="O37" s="166">
        <f t="shared" si="17"/>
        <v>64.2</v>
      </c>
      <c r="P37" s="166">
        <f t="shared" si="17"/>
        <v>67.4</v>
      </c>
      <c r="Q37" s="166">
        <f t="shared" si="17"/>
        <v>71.5</v>
      </c>
      <c r="R37" s="166">
        <f t="shared" si="17"/>
        <v>74.6</v>
      </c>
      <c r="S37" s="166">
        <f t="shared" si="17"/>
        <v>75.9</v>
      </c>
      <c r="T37" s="142"/>
      <c r="U37" s="142"/>
      <c r="V37" s="142"/>
      <c r="W37" s="142"/>
      <c r="X37" s="142"/>
      <c r="Y37" s="142"/>
      <c r="Z37" s="142"/>
    </row>
    <row r="38">
      <c r="A38" s="167" t="s">
        <v>118</v>
      </c>
      <c r="B38" s="168">
        <f>B37/7240000</f>
        <v>0.00002799447514</v>
      </c>
      <c r="C38" s="169"/>
      <c r="D38" s="169"/>
      <c r="E38" s="169"/>
      <c r="F38" s="169"/>
      <c r="G38" s="169"/>
      <c r="H38" s="169"/>
      <c r="I38" s="168">
        <f>I37/10257000</f>
        <v>0.00002663936824</v>
      </c>
      <c r="J38" s="164"/>
      <c r="K38" s="170"/>
      <c r="L38" s="162"/>
      <c r="M38" s="164"/>
      <c r="N38" s="164"/>
      <c r="O38" s="164"/>
      <c r="P38" s="164"/>
      <c r="Q38" s="164"/>
      <c r="R38" s="164"/>
      <c r="T38" s="142"/>
      <c r="U38" s="142"/>
      <c r="V38" s="142"/>
      <c r="W38" s="142"/>
      <c r="X38" s="142"/>
      <c r="Y38" s="142"/>
      <c r="Z38" s="142"/>
    </row>
    <row r="39">
      <c r="A39" s="171"/>
      <c r="B39" s="172"/>
      <c r="C39" s="172"/>
      <c r="D39" s="172"/>
      <c r="E39" s="172"/>
      <c r="F39" s="172"/>
      <c r="G39" s="172"/>
      <c r="H39" s="172"/>
      <c r="I39" s="17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>
      <c r="A40" s="173" t="s">
        <v>119</v>
      </c>
      <c r="B40" s="174">
        <v>2000.0</v>
      </c>
      <c r="C40" s="174">
        <v>2020.0</v>
      </c>
      <c r="D40" s="175">
        <v>2025.0</v>
      </c>
      <c r="E40" s="175">
        <v>2030.0</v>
      </c>
      <c r="F40" s="175">
        <v>2035.0</v>
      </c>
      <c r="G40" s="175">
        <v>2040.0</v>
      </c>
      <c r="H40" s="175">
        <v>2045.0</v>
      </c>
      <c r="I40" s="175">
        <v>2050.0</v>
      </c>
      <c r="K40" s="163" t="s">
        <v>120</v>
      </c>
      <c r="L40" s="148">
        <v>2000.0</v>
      </c>
      <c r="M40" s="148">
        <v>2020.0</v>
      </c>
      <c r="N40" s="149">
        <v>2025.0</v>
      </c>
      <c r="O40" s="149">
        <v>2030.0</v>
      </c>
      <c r="P40" s="149">
        <v>2035.0</v>
      </c>
      <c r="Q40" s="149">
        <v>2040.0</v>
      </c>
      <c r="R40" s="149">
        <v>2045.0</v>
      </c>
      <c r="S40" s="149">
        <v>2050.0</v>
      </c>
      <c r="U40" s="142"/>
      <c r="V40" s="142"/>
      <c r="W40" s="142"/>
      <c r="X40" s="142"/>
      <c r="Y40" s="142"/>
      <c r="Z40" s="142"/>
    </row>
    <row r="41">
      <c r="A41" s="176" t="s">
        <v>121</v>
      </c>
      <c r="B41" s="177">
        <f t="shared" ref="B41:I41" si="18">L41*3.6</f>
        <v>136.44</v>
      </c>
      <c r="C41" s="177">
        <f t="shared" si="18"/>
        <v>146.16</v>
      </c>
      <c r="D41" s="177">
        <f t="shared" si="18"/>
        <v>145.44</v>
      </c>
      <c r="E41" s="177">
        <f t="shared" si="18"/>
        <v>150.12</v>
      </c>
      <c r="F41" s="177">
        <f t="shared" si="18"/>
        <v>150.84</v>
      </c>
      <c r="G41" s="177">
        <f t="shared" si="18"/>
        <v>157.68</v>
      </c>
      <c r="H41" s="177">
        <f t="shared" si="18"/>
        <v>159.12</v>
      </c>
      <c r="I41" s="177">
        <f t="shared" si="18"/>
        <v>160.92</v>
      </c>
      <c r="K41" s="158" t="s">
        <v>121</v>
      </c>
      <c r="L41" s="158">
        <v>37.9</v>
      </c>
      <c r="M41" s="158">
        <v>40.6</v>
      </c>
      <c r="N41" s="158">
        <v>40.4</v>
      </c>
      <c r="O41" s="158">
        <v>41.7</v>
      </c>
      <c r="P41" s="158">
        <v>41.9</v>
      </c>
      <c r="Q41" s="158">
        <v>43.8</v>
      </c>
      <c r="R41" s="158">
        <v>44.2</v>
      </c>
      <c r="S41" s="158">
        <v>44.7</v>
      </c>
      <c r="U41" s="142"/>
      <c r="V41" s="142"/>
      <c r="W41" s="142"/>
      <c r="X41" s="142"/>
      <c r="Y41" s="142"/>
      <c r="Z41" s="142"/>
    </row>
    <row r="42">
      <c r="A42" s="176" t="s">
        <v>122</v>
      </c>
      <c r="B42" s="177">
        <f t="shared" ref="B42:I42" si="19">L42*3.6</f>
        <v>89.64</v>
      </c>
      <c r="C42" s="177">
        <f t="shared" si="19"/>
        <v>91.08</v>
      </c>
      <c r="D42" s="177">
        <f t="shared" si="19"/>
        <v>59.76</v>
      </c>
      <c r="E42" s="177">
        <f t="shared" si="19"/>
        <v>31.68</v>
      </c>
      <c r="F42" s="177">
        <f t="shared" si="19"/>
        <v>0</v>
      </c>
      <c r="G42" s="177">
        <f t="shared" si="19"/>
        <v>0</v>
      </c>
      <c r="H42" s="177">
        <f t="shared" si="19"/>
        <v>0</v>
      </c>
      <c r="I42" s="177">
        <f t="shared" si="19"/>
        <v>0</v>
      </c>
      <c r="K42" s="158" t="s">
        <v>122</v>
      </c>
      <c r="L42" s="158">
        <v>24.9</v>
      </c>
      <c r="M42" s="158">
        <v>25.3</v>
      </c>
      <c r="N42" s="158">
        <v>16.6</v>
      </c>
      <c r="O42" s="158">
        <v>8.8</v>
      </c>
      <c r="P42" s="158">
        <v>0.0</v>
      </c>
      <c r="Q42" s="158">
        <v>0.0</v>
      </c>
      <c r="R42" s="158">
        <v>0.0</v>
      </c>
      <c r="S42" s="158">
        <v>0.0</v>
      </c>
      <c r="U42" s="142"/>
      <c r="V42" s="142"/>
      <c r="W42" s="142"/>
      <c r="X42" s="142"/>
      <c r="Y42" s="142"/>
      <c r="Z42" s="142"/>
    </row>
    <row r="43">
      <c r="A43" s="176" t="s">
        <v>123</v>
      </c>
      <c r="B43" s="177">
        <f t="shared" ref="B43:I43" si="20">L43*3.6</f>
        <v>6.12</v>
      </c>
      <c r="C43" s="177">
        <f t="shared" si="20"/>
        <v>6.84</v>
      </c>
      <c r="D43" s="177">
        <f t="shared" si="20"/>
        <v>5.4</v>
      </c>
      <c r="E43" s="177">
        <f t="shared" si="20"/>
        <v>5.76</v>
      </c>
      <c r="F43" s="177">
        <f t="shared" si="20"/>
        <v>5.76</v>
      </c>
      <c r="G43" s="177">
        <f t="shared" si="20"/>
        <v>5.04</v>
      </c>
      <c r="H43" s="177">
        <f t="shared" si="20"/>
        <v>4.32</v>
      </c>
      <c r="I43" s="177">
        <f t="shared" si="20"/>
        <v>3.6</v>
      </c>
      <c r="K43" s="158" t="s">
        <v>123</v>
      </c>
      <c r="L43" s="158">
        <v>1.7</v>
      </c>
      <c r="M43" s="158">
        <v>1.9</v>
      </c>
      <c r="N43" s="158">
        <v>1.5</v>
      </c>
      <c r="O43" s="158">
        <v>1.6</v>
      </c>
      <c r="P43" s="158">
        <v>1.6</v>
      </c>
      <c r="Q43" s="158">
        <v>1.4</v>
      </c>
      <c r="R43" s="158">
        <v>1.2</v>
      </c>
      <c r="S43" s="158">
        <v>1.0</v>
      </c>
      <c r="U43" s="142"/>
      <c r="V43" s="142"/>
      <c r="W43" s="142"/>
      <c r="X43" s="142"/>
      <c r="Y43" s="142"/>
      <c r="Z43" s="142"/>
    </row>
    <row r="44">
      <c r="A44" s="176" t="s">
        <v>124</v>
      </c>
      <c r="B44" s="177">
        <f t="shared" ref="B44:I44" si="21">L44*3.6</f>
        <v>2.88</v>
      </c>
      <c r="C44" s="177">
        <f t="shared" si="21"/>
        <v>15.12</v>
      </c>
      <c r="D44" s="177">
        <f t="shared" si="21"/>
        <v>21.96</v>
      </c>
      <c r="E44" s="177">
        <f t="shared" si="21"/>
        <v>39.24</v>
      </c>
      <c r="F44" s="177">
        <f t="shared" si="21"/>
        <v>62.28</v>
      </c>
      <c r="G44" s="177">
        <f t="shared" si="21"/>
        <v>92.88</v>
      </c>
      <c r="H44" s="177">
        <f t="shared" si="21"/>
        <v>118.44</v>
      </c>
      <c r="I44" s="177">
        <f t="shared" si="21"/>
        <v>140.76</v>
      </c>
      <c r="K44" s="158" t="s">
        <v>124</v>
      </c>
      <c r="L44" s="158">
        <v>0.8</v>
      </c>
      <c r="M44" s="158">
        <v>4.2</v>
      </c>
      <c r="N44" s="158">
        <v>6.1</v>
      </c>
      <c r="O44" s="158">
        <v>10.9</v>
      </c>
      <c r="P44" s="158">
        <v>17.3</v>
      </c>
      <c r="Q44" s="158">
        <v>25.8</v>
      </c>
      <c r="R44" s="158">
        <v>32.9</v>
      </c>
      <c r="S44" s="158">
        <v>39.1</v>
      </c>
      <c r="U44" s="142"/>
      <c r="V44" s="142"/>
      <c r="W44" s="142"/>
      <c r="X44" s="142"/>
      <c r="Y44" s="142"/>
      <c r="Z44" s="142"/>
    </row>
    <row r="45">
      <c r="A45" s="136" t="s">
        <v>125</v>
      </c>
      <c r="B45" s="177">
        <f t="shared" ref="B45:I45" si="22">L45*3.6</f>
        <v>235.08</v>
      </c>
      <c r="C45" s="177">
        <f t="shared" si="22"/>
        <v>259.2</v>
      </c>
      <c r="D45" s="177">
        <f t="shared" si="22"/>
        <v>232.56</v>
      </c>
      <c r="E45" s="177">
        <f t="shared" si="22"/>
        <v>226.8</v>
      </c>
      <c r="F45" s="177">
        <f t="shared" si="22"/>
        <v>218.88</v>
      </c>
      <c r="G45" s="177">
        <f t="shared" si="22"/>
        <v>255.6</v>
      </c>
      <c r="H45" s="177">
        <f t="shared" si="22"/>
        <v>281.88</v>
      </c>
      <c r="I45" s="177">
        <f t="shared" si="22"/>
        <v>305.28</v>
      </c>
      <c r="K45" s="160" t="s">
        <v>125</v>
      </c>
      <c r="L45" s="178">
        <f t="shared" ref="L45:S45" si="23">SUM(L41:L44)</f>
        <v>65.3</v>
      </c>
      <c r="M45" s="178">
        <f t="shared" si="23"/>
        <v>72</v>
      </c>
      <c r="N45" s="178">
        <f t="shared" si="23"/>
        <v>64.6</v>
      </c>
      <c r="O45" s="178">
        <f t="shared" si="23"/>
        <v>63</v>
      </c>
      <c r="P45" s="178">
        <f t="shared" si="23"/>
        <v>60.8</v>
      </c>
      <c r="Q45" s="178">
        <f t="shared" si="23"/>
        <v>71</v>
      </c>
      <c r="R45" s="178">
        <f t="shared" si="23"/>
        <v>78.3</v>
      </c>
      <c r="S45" s="179">
        <f t="shared" si="23"/>
        <v>84.8</v>
      </c>
      <c r="U45" s="142"/>
      <c r="V45" s="142"/>
      <c r="W45" s="142"/>
      <c r="X45" s="142"/>
      <c r="Y45" s="142"/>
      <c r="Z45" s="142"/>
    </row>
    <row r="46">
      <c r="A46" s="136" t="s">
        <v>126</v>
      </c>
      <c r="B46" s="177">
        <f t="shared" ref="B46:I46" si="24">L46*3.6</f>
        <v>-7.2</v>
      </c>
      <c r="C46" s="177">
        <f t="shared" si="24"/>
        <v>-14.76</v>
      </c>
      <c r="D46" s="177">
        <f t="shared" si="24"/>
        <v>-19.08</v>
      </c>
      <c r="E46" s="177">
        <f t="shared" si="24"/>
        <v>-22.68</v>
      </c>
      <c r="F46" s="177">
        <f t="shared" si="24"/>
        <v>-21.96</v>
      </c>
      <c r="G46" s="177">
        <f t="shared" si="24"/>
        <v>-28.8</v>
      </c>
      <c r="H46" s="177">
        <f t="shared" si="24"/>
        <v>-29.88</v>
      </c>
      <c r="I46" s="177">
        <f t="shared" si="24"/>
        <v>-30.6</v>
      </c>
      <c r="K46" s="160" t="s">
        <v>126</v>
      </c>
      <c r="L46" s="158">
        <v>-2.0</v>
      </c>
      <c r="M46" s="158">
        <v>-4.1</v>
      </c>
      <c r="N46" s="158">
        <v>-5.3</v>
      </c>
      <c r="O46" s="158">
        <v>-6.3</v>
      </c>
      <c r="P46" s="158">
        <v>-6.1</v>
      </c>
      <c r="Q46" s="158">
        <v>-8.0</v>
      </c>
      <c r="R46" s="158">
        <v>-8.3</v>
      </c>
      <c r="S46" s="158">
        <v>-8.5</v>
      </c>
      <c r="U46" s="142"/>
      <c r="V46" s="142"/>
      <c r="W46" s="142"/>
      <c r="X46" s="142"/>
      <c r="Y46" s="142"/>
      <c r="Z46" s="142"/>
    </row>
    <row r="47">
      <c r="A47" s="176" t="s">
        <v>127</v>
      </c>
      <c r="B47" s="177">
        <f t="shared" ref="B47:I47" si="25">L47*3.6</f>
        <v>227.88</v>
      </c>
      <c r="C47" s="177">
        <f t="shared" si="25"/>
        <v>244.44</v>
      </c>
      <c r="D47" s="177">
        <f t="shared" si="25"/>
        <v>213.48</v>
      </c>
      <c r="E47" s="177">
        <f t="shared" si="25"/>
        <v>204.12</v>
      </c>
      <c r="F47" s="177">
        <f t="shared" si="25"/>
        <v>196.92</v>
      </c>
      <c r="G47" s="177">
        <f t="shared" si="25"/>
        <v>226.8</v>
      </c>
      <c r="H47" s="177">
        <f t="shared" si="25"/>
        <v>252</v>
      </c>
      <c r="I47" s="177">
        <f t="shared" si="25"/>
        <v>274.68</v>
      </c>
      <c r="K47" s="158" t="s">
        <v>127</v>
      </c>
      <c r="L47" s="178">
        <f t="shared" ref="L47:S47" si="26">L45+L46</f>
        <v>63.3</v>
      </c>
      <c r="M47" s="178">
        <f t="shared" si="26"/>
        <v>67.9</v>
      </c>
      <c r="N47" s="178">
        <f t="shared" si="26"/>
        <v>59.3</v>
      </c>
      <c r="O47" s="178">
        <f t="shared" si="26"/>
        <v>56.7</v>
      </c>
      <c r="P47" s="178">
        <f t="shared" si="26"/>
        <v>54.7</v>
      </c>
      <c r="Q47" s="178">
        <f t="shared" si="26"/>
        <v>63</v>
      </c>
      <c r="R47" s="178">
        <f t="shared" si="26"/>
        <v>70</v>
      </c>
      <c r="S47" s="179">
        <f t="shared" si="26"/>
        <v>76.3</v>
      </c>
      <c r="U47" s="142"/>
      <c r="V47" s="142"/>
      <c r="W47" s="142"/>
      <c r="X47" s="142"/>
      <c r="Y47" s="142"/>
      <c r="Z47" s="142"/>
    </row>
    <row r="48">
      <c r="A48" s="176" t="s">
        <v>128</v>
      </c>
      <c r="B48" s="177">
        <f t="shared" ref="B48:I48" si="27">L48*3.6</f>
        <v>-25.56</v>
      </c>
      <c r="C48" s="177">
        <f t="shared" si="27"/>
        <v>-22.68</v>
      </c>
      <c r="D48" s="177">
        <f t="shared" si="27"/>
        <v>11.52</v>
      </c>
      <c r="E48" s="177">
        <f t="shared" si="27"/>
        <v>27</v>
      </c>
      <c r="F48" s="177">
        <f t="shared" si="27"/>
        <v>45.72</v>
      </c>
      <c r="G48" s="177">
        <f t="shared" si="27"/>
        <v>30.6</v>
      </c>
      <c r="H48" s="177">
        <f t="shared" si="27"/>
        <v>16.2</v>
      </c>
      <c r="I48" s="177">
        <f t="shared" si="27"/>
        <v>-1.44</v>
      </c>
      <c r="K48" s="158" t="s">
        <v>128</v>
      </c>
      <c r="L48" s="158">
        <v>-7.1</v>
      </c>
      <c r="M48" s="158">
        <v>-6.3</v>
      </c>
      <c r="N48" s="158">
        <v>3.2</v>
      </c>
      <c r="O48" s="158">
        <v>7.5</v>
      </c>
      <c r="P48" s="158">
        <v>12.7</v>
      </c>
      <c r="Q48" s="158">
        <v>8.5</v>
      </c>
      <c r="R48" s="158">
        <v>4.5</v>
      </c>
      <c r="S48" s="158">
        <v>-0.4</v>
      </c>
      <c r="U48" s="142"/>
      <c r="V48" s="142"/>
      <c r="W48" s="142"/>
      <c r="X48" s="142"/>
      <c r="Y48" s="142"/>
      <c r="Z48" s="142"/>
    </row>
    <row r="49">
      <c r="A49" s="136" t="s">
        <v>129</v>
      </c>
      <c r="B49" s="177">
        <f t="shared" ref="B49:I49" si="28">L49*3.6</f>
        <v>202.32</v>
      </c>
      <c r="C49" s="177">
        <f t="shared" si="28"/>
        <v>221.76</v>
      </c>
      <c r="D49" s="177">
        <f t="shared" si="28"/>
        <v>225</v>
      </c>
      <c r="E49" s="177">
        <f t="shared" si="28"/>
        <v>231.12</v>
      </c>
      <c r="F49" s="177">
        <f t="shared" si="28"/>
        <v>242.64</v>
      </c>
      <c r="G49" s="177">
        <f t="shared" si="28"/>
        <v>257.4</v>
      </c>
      <c r="H49" s="177">
        <f t="shared" si="28"/>
        <v>268.2</v>
      </c>
      <c r="I49" s="177">
        <f t="shared" si="28"/>
        <v>273.24</v>
      </c>
      <c r="K49" s="160" t="s">
        <v>129</v>
      </c>
      <c r="L49" s="180">
        <f t="shared" ref="L49:S49" si="29">L47+L48</f>
        <v>56.2</v>
      </c>
      <c r="M49" s="180">
        <f t="shared" si="29"/>
        <v>61.6</v>
      </c>
      <c r="N49" s="180">
        <f t="shared" si="29"/>
        <v>62.5</v>
      </c>
      <c r="O49" s="180">
        <f t="shared" si="29"/>
        <v>64.2</v>
      </c>
      <c r="P49" s="180">
        <f t="shared" si="29"/>
        <v>67.4</v>
      </c>
      <c r="Q49" s="180">
        <f t="shared" si="29"/>
        <v>71.5</v>
      </c>
      <c r="R49" s="180">
        <f t="shared" si="29"/>
        <v>74.5</v>
      </c>
      <c r="S49" s="181">
        <f t="shared" si="29"/>
        <v>75.9</v>
      </c>
      <c r="U49" s="142"/>
      <c r="V49" s="142"/>
      <c r="W49" s="142"/>
      <c r="X49" s="142"/>
      <c r="Y49" s="142"/>
      <c r="Z49" s="142"/>
    </row>
    <row r="50">
      <c r="A50" s="136" t="s">
        <v>130</v>
      </c>
      <c r="B50" s="177">
        <f t="shared" ref="B50:I50" si="30">L50*3.6</f>
        <v>7.56</v>
      </c>
      <c r="C50" s="177">
        <f t="shared" si="30"/>
        <v>14.4</v>
      </c>
      <c r="D50" s="177">
        <f t="shared" si="30"/>
        <v>19.08</v>
      </c>
      <c r="E50" s="177">
        <f t="shared" si="30"/>
        <v>22.32</v>
      </c>
      <c r="F50" s="177">
        <f t="shared" si="30"/>
        <v>21.96</v>
      </c>
      <c r="G50" s="177">
        <f t="shared" si="30"/>
        <v>28.8</v>
      </c>
      <c r="H50" s="177">
        <f t="shared" si="30"/>
        <v>30.24</v>
      </c>
      <c r="I50" s="177">
        <f t="shared" si="30"/>
        <v>30.6</v>
      </c>
      <c r="K50" s="160" t="s">
        <v>130</v>
      </c>
      <c r="L50" s="158">
        <f t="shared" ref="L50:S50" si="31">L51-L49</f>
        <v>2.1</v>
      </c>
      <c r="M50" s="158">
        <f t="shared" si="31"/>
        <v>4</v>
      </c>
      <c r="N50" s="158">
        <f t="shared" si="31"/>
        <v>5.3</v>
      </c>
      <c r="O50" s="158">
        <f t="shared" si="31"/>
        <v>6.2</v>
      </c>
      <c r="P50" s="158">
        <f t="shared" si="31"/>
        <v>6.1</v>
      </c>
      <c r="Q50" s="158">
        <f t="shared" si="31"/>
        <v>8</v>
      </c>
      <c r="R50" s="158">
        <f t="shared" si="31"/>
        <v>8.4</v>
      </c>
      <c r="S50" s="182">
        <f t="shared" si="31"/>
        <v>8.5</v>
      </c>
      <c r="U50" s="142"/>
      <c r="V50" s="142"/>
      <c r="W50" s="142"/>
      <c r="X50" s="142"/>
      <c r="Y50" s="142"/>
      <c r="Z50" s="142"/>
    </row>
    <row r="51">
      <c r="A51" s="136" t="s">
        <v>131</v>
      </c>
      <c r="B51" s="177">
        <f t="shared" ref="B51:I51" si="32">L51*3.6</f>
        <v>209.88</v>
      </c>
      <c r="C51" s="177">
        <f t="shared" si="32"/>
        <v>236.16</v>
      </c>
      <c r="D51" s="177">
        <f t="shared" si="32"/>
        <v>244.08</v>
      </c>
      <c r="E51" s="177">
        <f t="shared" si="32"/>
        <v>253.44</v>
      </c>
      <c r="F51" s="177">
        <f t="shared" si="32"/>
        <v>264.6</v>
      </c>
      <c r="G51" s="177">
        <f t="shared" si="32"/>
        <v>286.2</v>
      </c>
      <c r="H51" s="177">
        <f t="shared" si="32"/>
        <v>298.44</v>
      </c>
      <c r="I51" s="177">
        <f t="shared" si="32"/>
        <v>303.84</v>
      </c>
      <c r="K51" s="160" t="s">
        <v>131</v>
      </c>
      <c r="L51" s="183">
        <v>58.3</v>
      </c>
      <c r="M51" s="183">
        <v>65.6</v>
      </c>
      <c r="N51" s="183">
        <v>67.8</v>
      </c>
      <c r="O51" s="183">
        <v>70.4</v>
      </c>
      <c r="P51" s="158">
        <v>73.5</v>
      </c>
      <c r="Q51" s="183">
        <v>79.5</v>
      </c>
      <c r="R51" s="183">
        <v>82.9</v>
      </c>
      <c r="S51" s="184">
        <v>84.4</v>
      </c>
      <c r="U51" s="142"/>
      <c r="V51" s="142"/>
      <c r="W51" s="142"/>
      <c r="X51" s="142"/>
      <c r="Y51" s="142"/>
      <c r="Z51" s="142"/>
    </row>
    <row r="52">
      <c r="J52" s="185"/>
      <c r="K52" s="186"/>
      <c r="L52" s="186"/>
      <c r="N52" s="186"/>
      <c r="O52" s="186"/>
      <c r="P52" s="186"/>
      <c r="Q52" s="186"/>
      <c r="R52" s="185"/>
      <c r="S52" s="185"/>
      <c r="T52" s="142"/>
      <c r="U52" s="142"/>
      <c r="V52" s="142"/>
      <c r="W52" s="142"/>
      <c r="X52" s="142"/>
      <c r="Y52" s="142"/>
      <c r="Z52" s="142"/>
    </row>
    <row r="53">
      <c r="A53" s="187"/>
      <c r="B53" s="188"/>
      <c r="C53" s="188"/>
      <c r="D53" s="188"/>
      <c r="E53" s="188"/>
      <c r="F53" s="188"/>
      <c r="G53" s="188"/>
      <c r="H53" s="188"/>
      <c r="I53" s="188"/>
      <c r="J53" s="187" t="s">
        <v>132</v>
      </c>
      <c r="K53" s="60"/>
      <c r="L53" s="60"/>
      <c r="N53" s="60"/>
      <c r="O53" s="60"/>
      <c r="P53" s="61"/>
      <c r="Q53" s="189"/>
      <c r="R53" s="189"/>
      <c r="S53" s="190"/>
      <c r="T53" s="142"/>
      <c r="U53" s="142"/>
      <c r="V53" s="142"/>
      <c r="W53" s="142"/>
      <c r="X53" s="142"/>
      <c r="Y53" s="142"/>
      <c r="Z53" s="142"/>
    </row>
    <row r="54">
      <c r="A54" s="191" t="s">
        <v>133</v>
      </c>
      <c r="B54" s="174">
        <v>2000.0</v>
      </c>
      <c r="C54" s="174">
        <v>2020.0</v>
      </c>
      <c r="D54" s="175">
        <v>2025.0</v>
      </c>
      <c r="E54" s="175">
        <v>2030.0</v>
      </c>
      <c r="F54" s="175">
        <v>2035.0</v>
      </c>
      <c r="G54" s="175">
        <v>2040.0</v>
      </c>
      <c r="H54" s="175">
        <v>2045.0</v>
      </c>
      <c r="I54" s="175">
        <v>2050.0</v>
      </c>
      <c r="K54" s="191" t="s">
        <v>134</v>
      </c>
      <c r="L54" s="174">
        <v>2000.0</v>
      </c>
      <c r="M54" s="174">
        <v>2020.0</v>
      </c>
      <c r="N54" s="175">
        <v>2025.0</v>
      </c>
      <c r="O54" s="175">
        <v>2030.0</v>
      </c>
      <c r="P54" s="175">
        <v>2035.0</v>
      </c>
      <c r="Q54" s="175">
        <v>2040.0</v>
      </c>
      <c r="R54" s="175">
        <v>2045.0</v>
      </c>
      <c r="S54" s="175">
        <v>2050.0</v>
      </c>
      <c r="T54" s="142"/>
      <c r="U54" s="142"/>
      <c r="V54" s="142"/>
      <c r="W54" s="142"/>
      <c r="X54" s="142"/>
      <c r="Y54" s="142"/>
      <c r="Z54" s="142"/>
    </row>
    <row r="55">
      <c r="A55" s="192" t="s">
        <v>17</v>
      </c>
      <c r="B55" s="193">
        <f t="shared" ref="B55:I55" si="33">3.6*L55</f>
        <v>0</v>
      </c>
      <c r="C55" s="193">
        <f t="shared" si="33"/>
        <v>7.92</v>
      </c>
      <c r="D55" s="193">
        <f t="shared" si="33"/>
        <v>15.48</v>
      </c>
      <c r="E55" s="193">
        <f t="shared" si="33"/>
        <v>31.32</v>
      </c>
      <c r="F55" s="193">
        <f t="shared" si="33"/>
        <v>51.84</v>
      </c>
      <c r="G55" s="193">
        <f t="shared" si="33"/>
        <v>77.4</v>
      </c>
      <c r="H55" s="193">
        <f t="shared" si="33"/>
        <v>99</v>
      </c>
      <c r="I55" s="193">
        <f t="shared" si="33"/>
        <v>120.96</v>
      </c>
      <c r="K55" s="192" t="s">
        <v>17</v>
      </c>
      <c r="L55" s="158">
        <v>0.0</v>
      </c>
      <c r="M55" s="158">
        <v>2.2</v>
      </c>
      <c r="N55" s="194">
        <v>4.3</v>
      </c>
      <c r="O55" s="194">
        <v>8.7</v>
      </c>
      <c r="P55" s="194">
        <v>14.4</v>
      </c>
      <c r="Q55" s="194">
        <v>21.5</v>
      </c>
      <c r="R55" s="194">
        <v>27.5</v>
      </c>
      <c r="S55" s="194">
        <v>33.6</v>
      </c>
      <c r="U55" s="142"/>
      <c r="V55" s="142"/>
      <c r="W55" s="142"/>
      <c r="X55" s="142"/>
      <c r="Y55" s="142"/>
      <c r="Z55" s="142"/>
    </row>
    <row r="56">
      <c r="A56" s="192" t="s">
        <v>93</v>
      </c>
      <c r="B56" s="193">
        <f t="shared" ref="B56:I56" si="34">3.6*L56</f>
        <v>0</v>
      </c>
      <c r="C56" s="193">
        <f t="shared" si="34"/>
        <v>0.36</v>
      </c>
      <c r="D56" s="193">
        <f t="shared" si="34"/>
        <v>1.08</v>
      </c>
      <c r="E56" s="193">
        <f t="shared" si="34"/>
        <v>2.16</v>
      </c>
      <c r="F56" s="193">
        <f t="shared" si="34"/>
        <v>4.32</v>
      </c>
      <c r="G56" s="193">
        <f t="shared" si="34"/>
        <v>7.92</v>
      </c>
      <c r="H56" s="193">
        <f t="shared" si="34"/>
        <v>12.24</v>
      </c>
      <c r="I56" s="193">
        <f t="shared" si="34"/>
        <v>15.48</v>
      </c>
      <c r="K56" s="192" t="s">
        <v>93</v>
      </c>
      <c r="L56" s="158">
        <v>0.0</v>
      </c>
      <c r="M56" s="158">
        <v>0.1</v>
      </c>
      <c r="N56" s="194">
        <v>0.3</v>
      </c>
      <c r="O56" s="194">
        <v>0.6</v>
      </c>
      <c r="P56" s="194">
        <v>1.2</v>
      </c>
      <c r="Q56" s="194">
        <v>2.2</v>
      </c>
      <c r="R56" s="194">
        <v>3.4</v>
      </c>
      <c r="S56" s="194">
        <v>4.3</v>
      </c>
      <c r="U56" s="142"/>
      <c r="V56" s="142"/>
      <c r="W56" s="142"/>
      <c r="X56" s="142"/>
      <c r="Y56" s="142"/>
      <c r="Z56" s="142"/>
    </row>
    <row r="57">
      <c r="A57" s="192" t="s">
        <v>94</v>
      </c>
      <c r="B57" s="193">
        <f t="shared" ref="B57:I57" si="35">3.6*L57</f>
        <v>0</v>
      </c>
      <c r="C57" s="193">
        <f t="shared" si="35"/>
        <v>1.08</v>
      </c>
      <c r="D57" s="193">
        <f t="shared" si="35"/>
        <v>3.857142857</v>
      </c>
      <c r="E57" s="193">
        <f t="shared" si="35"/>
        <v>3.857142857</v>
      </c>
      <c r="F57" s="193">
        <f t="shared" si="35"/>
        <v>2.571428571</v>
      </c>
      <c r="G57" s="193">
        <f t="shared" si="35"/>
        <v>2.571428571</v>
      </c>
      <c r="H57" s="193">
        <f t="shared" si="35"/>
        <v>2.571428571</v>
      </c>
      <c r="I57" s="193">
        <f t="shared" si="35"/>
        <v>2.571428571</v>
      </c>
      <c r="K57" s="192" t="s">
        <v>94</v>
      </c>
      <c r="L57" s="158">
        <v>0.0</v>
      </c>
      <c r="M57" s="158">
        <v>0.3</v>
      </c>
      <c r="N57" s="194">
        <f t="shared" ref="N57:S57" si="36">L10/0.28</f>
        <v>1.071428571</v>
      </c>
      <c r="O57" s="194">
        <f t="shared" si="36"/>
        <v>1.071428571</v>
      </c>
      <c r="P57" s="194">
        <f t="shared" si="36"/>
        <v>0.7142857143</v>
      </c>
      <c r="Q57" s="194">
        <f t="shared" si="36"/>
        <v>0.7142857143</v>
      </c>
      <c r="R57" s="194">
        <f t="shared" si="36"/>
        <v>0.7142857143</v>
      </c>
      <c r="S57" s="194">
        <f t="shared" si="36"/>
        <v>0.7142857143</v>
      </c>
      <c r="U57" s="142"/>
      <c r="V57" s="142"/>
      <c r="W57" s="142"/>
      <c r="X57" s="142"/>
      <c r="Y57" s="142"/>
      <c r="Z57" s="142"/>
    </row>
    <row r="58">
      <c r="A58" s="192" t="s">
        <v>95</v>
      </c>
      <c r="B58" s="193">
        <f t="shared" ref="B58:I58" si="37">3.6*L58</f>
        <v>0</v>
      </c>
      <c r="C58" s="193">
        <f t="shared" si="37"/>
        <v>0.72</v>
      </c>
      <c r="D58" s="193">
        <f t="shared" si="37"/>
        <v>2.571428571</v>
      </c>
      <c r="E58" s="193">
        <f t="shared" si="37"/>
        <v>3.857142857</v>
      </c>
      <c r="F58" s="193">
        <f t="shared" si="37"/>
        <v>6.428571429</v>
      </c>
      <c r="G58" s="193">
        <f t="shared" si="37"/>
        <v>10.28571429</v>
      </c>
      <c r="H58" s="193">
        <f t="shared" si="37"/>
        <v>12.85714286</v>
      </c>
      <c r="I58" s="193">
        <f t="shared" si="37"/>
        <v>15.42857143</v>
      </c>
      <c r="K58" s="192" t="s">
        <v>95</v>
      </c>
      <c r="L58" s="158">
        <v>0.0</v>
      </c>
      <c r="M58" s="158">
        <v>0.2</v>
      </c>
      <c r="N58" s="194">
        <f t="shared" ref="N58:S58" si="38">L11/0.28</f>
        <v>0.7142857143</v>
      </c>
      <c r="O58" s="194">
        <f t="shared" si="38"/>
        <v>1.071428571</v>
      </c>
      <c r="P58" s="194">
        <f t="shared" si="38"/>
        <v>1.785714286</v>
      </c>
      <c r="Q58" s="194">
        <f t="shared" si="38"/>
        <v>2.857142857</v>
      </c>
      <c r="R58" s="194">
        <f t="shared" si="38"/>
        <v>3.571428571</v>
      </c>
      <c r="S58" s="194">
        <f t="shared" si="38"/>
        <v>4.285714286</v>
      </c>
      <c r="U58" s="195"/>
      <c r="V58" s="195"/>
      <c r="W58" s="195"/>
      <c r="X58" s="195"/>
      <c r="Y58" s="195"/>
      <c r="Z58" s="195"/>
    </row>
    <row r="59">
      <c r="A59" s="192" t="s">
        <v>96</v>
      </c>
      <c r="B59" s="193">
        <f t="shared" ref="B59:I59" si="39">3.6*L59</f>
        <v>0</v>
      </c>
      <c r="C59" s="193">
        <f t="shared" si="39"/>
        <v>0</v>
      </c>
      <c r="D59" s="193">
        <f t="shared" si="39"/>
        <v>0</v>
      </c>
      <c r="E59" s="193">
        <f t="shared" si="39"/>
        <v>0</v>
      </c>
      <c r="F59" s="193">
        <f t="shared" si="39"/>
        <v>1.285714286</v>
      </c>
      <c r="G59" s="193">
        <f t="shared" si="39"/>
        <v>7.714285714</v>
      </c>
      <c r="H59" s="193">
        <f t="shared" si="39"/>
        <v>16.71428571</v>
      </c>
      <c r="I59" s="193">
        <f t="shared" si="39"/>
        <v>25.71428571</v>
      </c>
      <c r="K59" s="192" t="s">
        <v>96</v>
      </c>
      <c r="L59" s="158">
        <v>0.0</v>
      </c>
      <c r="M59" s="158">
        <v>0.0</v>
      </c>
      <c r="N59" s="194">
        <f t="shared" ref="N59:S59" si="40">L12/0.28</f>
        <v>0</v>
      </c>
      <c r="O59" s="194">
        <f t="shared" si="40"/>
        <v>0</v>
      </c>
      <c r="P59" s="194">
        <f t="shared" si="40"/>
        <v>0.3571428571</v>
      </c>
      <c r="Q59" s="194">
        <f t="shared" si="40"/>
        <v>2.142857143</v>
      </c>
      <c r="R59" s="194">
        <f t="shared" si="40"/>
        <v>4.642857143</v>
      </c>
      <c r="S59" s="194">
        <f t="shared" si="40"/>
        <v>7.142857143</v>
      </c>
      <c r="U59" s="142"/>
      <c r="V59" s="142"/>
      <c r="W59" s="142"/>
      <c r="X59" s="142"/>
      <c r="Y59" s="142"/>
      <c r="Z59" s="142"/>
    </row>
    <row r="60">
      <c r="A60" s="192" t="s">
        <v>135</v>
      </c>
      <c r="B60" s="193">
        <f t="shared" ref="B60:I60" si="41">3.6*L60</f>
        <v>0</v>
      </c>
      <c r="C60" s="193">
        <f t="shared" si="41"/>
        <v>0</v>
      </c>
      <c r="D60" s="193">
        <f t="shared" si="41"/>
        <v>0</v>
      </c>
      <c r="E60" s="193">
        <f t="shared" si="41"/>
        <v>0</v>
      </c>
      <c r="F60" s="193">
        <f t="shared" si="41"/>
        <v>0</v>
      </c>
      <c r="G60" s="193">
        <f t="shared" si="41"/>
        <v>-1.44</v>
      </c>
      <c r="H60" s="193">
        <f t="shared" si="41"/>
        <v>-5.4</v>
      </c>
      <c r="I60" s="193">
        <f t="shared" si="41"/>
        <v>-10.8</v>
      </c>
      <c r="K60" s="192" t="s">
        <v>135</v>
      </c>
      <c r="L60" s="158">
        <v>0.0</v>
      </c>
      <c r="M60" s="158">
        <v>0.0</v>
      </c>
      <c r="N60" s="109">
        <v>0.0</v>
      </c>
      <c r="O60" s="109">
        <v>0.0</v>
      </c>
      <c r="P60" s="109">
        <v>0.0</v>
      </c>
      <c r="Q60" s="109">
        <v>-0.4</v>
      </c>
      <c r="R60" s="109">
        <v>-1.5</v>
      </c>
      <c r="S60" s="109">
        <v>-3.0</v>
      </c>
      <c r="U60" s="142"/>
      <c r="V60" s="142"/>
      <c r="W60" s="142"/>
      <c r="X60" s="142"/>
      <c r="Y60" s="142"/>
      <c r="Z60" s="142"/>
    </row>
    <row r="61">
      <c r="A61" s="192" t="s">
        <v>136</v>
      </c>
      <c r="B61" s="193">
        <f t="shared" ref="B61:I61" si="42">3.6*L61</f>
        <v>2.52</v>
      </c>
      <c r="C61" s="193">
        <f t="shared" si="42"/>
        <v>4.32</v>
      </c>
      <c r="D61" s="193">
        <f t="shared" si="42"/>
        <v>3.24</v>
      </c>
      <c r="E61" s="193">
        <f t="shared" si="42"/>
        <v>2.88</v>
      </c>
      <c r="F61" s="193">
        <f t="shared" si="42"/>
        <v>2.88</v>
      </c>
      <c r="G61" s="193">
        <f t="shared" si="42"/>
        <v>2.88</v>
      </c>
      <c r="H61" s="193">
        <f t="shared" si="42"/>
        <v>2.52</v>
      </c>
      <c r="I61" s="193">
        <f t="shared" si="42"/>
        <v>2.52</v>
      </c>
      <c r="K61" s="192" t="s">
        <v>136</v>
      </c>
      <c r="L61" s="158">
        <v>0.7</v>
      </c>
      <c r="M61" s="158">
        <v>1.2</v>
      </c>
      <c r="N61" s="109">
        <v>0.9</v>
      </c>
      <c r="O61" s="109">
        <v>0.8</v>
      </c>
      <c r="P61" s="109">
        <v>0.8</v>
      </c>
      <c r="Q61" s="109">
        <v>0.8</v>
      </c>
      <c r="R61" s="109">
        <v>0.7</v>
      </c>
      <c r="S61" s="109">
        <v>0.7</v>
      </c>
      <c r="U61" s="142"/>
      <c r="V61" s="142"/>
      <c r="W61" s="142"/>
      <c r="X61" s="142"/>
      <c r="Y61" s="142"/>
      <c r="Z61" s="142"/>
    </row>
    <row r="62">
      <c r="A62" s="196" t="s">
        <v>137</v>
      </c>
      <c r="B62" s="194">
        <f t="shared" ref="B62:I62" si="43">SUM(B55:B61)</f>
        <v>2.52</v>
      </c>
      <c r="C62" s="194">
        <f t="shared" si="43"/>
        <v>14.4</v>
      </c>
      <c r="D62" s="194">
        <f t="shared" si="43"/>
        <v>26.22857143</v>
      </c>
      <c r="E62" s="194">
        <f t="shared" si="43"/>
        <v>44.07428571</v>
      </c>
      <c r="F62" s="194">
        <f t="shared" si="43"/>
        <v>69.32571429</v>
      </c>
      <c r="G62" s="194">
        <f t="shared" si="43"/>
        <v>107.3314286</v>
      </c>
      <c r="H62" s="194">
        <f t="shared" si="43"/>
        <v>140.5028571</v>
      </c>
      <c r="I62" s="194">
        <f t="shared" si="43"/>
        <v>171.8742857</v>
      </c>
      <c r="K62" s="192" t="s">
        <v>138</v>
      </c>
      <c r="L62" s="194">
        <f t="shared" ref="L62:S62" si="44">SUM(L55:L61)</f>
        <v>0.7</v>
      </c>
      <c r="M62" s="194">
        <f t="shared" si="44"/>
        <v>4</v>
      </c>
      <c r="N62" s="194">
        <f t="shared" si="44"/>
        <v>7.285714286</v>
      </c>
      <c r="O62" s="194">
        <f t="shared" si="44"/>
        <v>12.24285714</v>
      </c>
      <c r="P62" s="194">
        <f t="shared" si="44"/>
        <v>19.25714286</v>
      </c>
      <c r="Q62" s="194">
        <f t="shared" si="44"/>
        <v>29.81428571</v>
      </c>
      <c r="R62" s="194">
        <f t="shared" si="44"/>
        <v>39.02857143</v>
      </c>
      <c r="S62" s="194">
        <f t="shared" si="44"/>
        <v>47.74285714</v>
      </c>
      <c r="U62" s="142"/>
      <c r="V62" s="142"/>
      <c r="W62" s="142"/>
      <c r="X62" s="142"/>
      <c r="Y62" s="142"/>
      <c r="Z62" s="142"/>
    </row>
    <row r="63">
      <c r="A63" s="192" t="s">
        <v>92</v>
      </c>
      <c r="B63" s="182">
        <f t="shared" ref="B63:I63" si="45">3.6*L63</f>
        <v>136.44</v>
      </c>
      <c r="C63" s="182">
        <f t="shared" si="45"/>
        <v>146.16</v>
      </c>
      <c r="D63" s="182">
        <f t="shared" si="45"/>
        <v>132.48</v>
      </c>
      <c r="E63" s="182">
        <f t="shared" si="45"/>
        <v>133.92</v>
      </c>
      <c r="F63" s="182">
        <f t="shared" si="45"/>
        <v>135.72</v>
      </c>
      <c r="G63" s="182">
        <f t="shared" si="45"/>
        <v>137.16</v>
      </c>
      <c r="H63" s="182">
        <f t="shared" si="45"/>
        <v>137.88</v>
      </c>
      <c r="I63" s="182">
        <f t="shared" si="45"/>
        <v>138.96</v>
      </c>
      <c r="K63" s="192" t="s">
        <v>92</v>
      </c>
      <c r="L63" s="158">
        <v>37.9</v>
      </c>
      <c r="M63" s="158">
        <v>40.6</v>
      </c>
      <c r="N63" s="194">
        <f>36.8</f>
        <v>36.8</v>
      </c>
      <c r="O63" s="194">
        <v>37.2</v>
      </c>
      <c r="P63" s="194">
        <v>37.7</v>
      </c>
      <c r="Q63" s="194">
        <v>38.1</v>
      </c>
      <c r="R63" s="194">
        <v>38.3</v>
      </c>
      <c r="S63" s="194">
        <v>38.6</v>
      </c>
      <c r="U63" s="142"/>
      <c r="V63" s="142"/>
      <c r="W63" s="142"/>
      <c r="X63" s="142"/>
      <c r="Y63" s="142"/>
      <c r="Z63" s="142"/>
    </row>
    <row r="64">
      <c r="A64" s="197" t="s">
        <v>139</v>
      </c>
      <c r="B64" s="198">
        <f t="shared" ref="B64:I64" si="46">B63+B62</f>
        <v>138.96</v>
      </c>
      <c r="C64" s="198">
        <f t="shared" si="46"/>
        <v>160.56</v>
      </c>
      <c r="D64" s="198">
        <f t="shared" si="46"/>
        <v>158.7085714</v>
      </c>
      <c r="E64" s="198">
        <f t="shared" si="46"/>
        <v>177.9942857</v>
      </c>
      <c r="F64" s="198">
        <f t="shared" si="46"/>
        <v>205.0457143</v>
      </c>
      <c r="G64" s="198">
        <f t="shared" si="46"/>
        <v>244.4914286</v>
      </c>
      <c r="H64" s="198">
        <f t="shared" si="46"/>
        <v>278.3828571</v>
      </c>
      <c r="I64" s="198">
        <f t="shared" si="46"/>
        <v>310.8342857</v>
      </c>
      <c r="K64" s="199" t="s">
        <v>140</v>
      </c>
      <c r="L64" s="200">
        <f t="shared" ref="L64:S64" si="47">L63+L62</f>
        <v>38.6</v>
      </c>
      <c r="M64" s="200">
        <f t="shared" si="47"/>
        <v>44.6</v>
      </c>
      <c r="N64" s="200">
        <f t="shared" si="47"/>
        <v>44.08571429</v>
      </c>
      <c r="O64" s="200">
        <f t="shared" si="47"/>
        <v>49.44285714</v>
      </c>
      <c r="P64" s="200">
        <f t="shared" si="47"/>
        <v>56.95714286</v>
      </c>
      <c r="Q64" s="200">
        <f t="shared" si="47"/>
        <v>67.91428571</v>
      </c>
      <c r="R64" s="200">
        <f t="shared" si="47"/>
        <v>77.32857143</v>
      </c>
      <c r="S64" s="200">
        <f t="shared" si="47"/>
        <v>86.34285714</v>
      </c>
      <c r="U64" s="142"/>
      <c r="V64" s="142"/>
      <c r="W64" s="142"/>
      <c r="X64" s="142"/>
      <c r="Y64" s="142"/>
      <c r="Z64" s="142"/>
    </row>
    <row r="65">
      <c r="J65" s="142"/>
      <c r="U65" s="142"/>
      <c r="V65" s="142"/>
      <c r="W65" s="142"/>
      <c r="X65" s="142"/>
      <c r="Y65" s="142"/>
      <c r="Z65" s="142"/>
    </row>
    <row r="66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>
      <c r="B75" s="174">
        <v>2000.0</v>
      </c>
      <c r="C75" s="174">
        <v>2020.0</v>
      </c>
      <c r="D75" s="175">
        <v>2025.0</v>
      </c>
      <c r="E75" s="175">
        <v>2030.0</v>
      </c>
      <c r="F75" s="175">
        <v>2035.0</v>
      </c>
      <c r="G75" s="175">
        <v>2040.0</v>
      </c>
      <c r="H75" s="175">
        <v>2045.0</v>
      </c>
      <c r="I75" s="175">
        <v>2050.0</v>
      </c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>
      <c r="A76" s="122" t="s">
        <v>141</v>
      </c>
      <c r="B76" s="122">
        <v>7.18</v>
      </c>
      <c r="C76" s="174">
        <v>8.67</v>
      </c>
      <c r="D76" s="122">
        <v>9.1</v>
      </c>
      <c r="E76" s="122">
        <v>9.4</v>
      </c>
      <c r="F76" s="174">
        <v>9.7</v>
      </c>
      <c r="G76" s="122">
        <v>10.0</v>
      </c>
      <c r="H76" s="122">
        <v>10.2</v>
      </c>
      <c r="I76" s="174">
        <v>10.4</v>
      </c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>
      <c r="A77" s="150" t="s">
        <v>30</v>
      </c>
      <c r="B77" s="148">
        <v>783.0</v>
      </c>
      <c r="C77" s="148">
        <v>757.0</v>
      </c>
      <c r="D77" s="149">
        <v>718.0</v>
      </c>
      <c r="E77" s="149">
        <v>672.0</v>
      </c>
      <c r="F77" s="149">
        <v>627.0</v>
      </c>
      <c r="G77" s="149">
        <v>584.0</v>
      </c>
      <c r="H77" s="149">
        <v>550.0</v>
      </c>
      <c r="I77" s="149">
        <v>524.0</v>
      </c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>
      <c r="A78" s="150" t="s">
        <v>142</v>
      </c>
      <c r="B78" s="201"/>
      <c r="C78" s="201"/>
      <c r="D78" s="202"/>
      <c r="E78" s="202"/>
      <c r="F78" s="202"/>
      <c r="G78" s="202"/>
      <c r="H78" s="202"/>
      <c r="I78" s="20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>
      <c r="A79" s="203" t="s">
        <v>143</v>
      </c>
      <c r="B79" s="204">
        <f t="shared" ref="B79:I79" si="48">783-B19 </f>
        <v>0</v>
      </c>
      <c r="C79" s="204">
        <f t="shared" si="48"/>
        <v>26</v>
      </c>
      <c r="D79" s="204">
        <f t="shared" si="48"/>
        <v>65</v>
      </c>
      <c r="E79" s="204">
        <f t="shared" si="48"/>
        <v>111</v>
      </c>
      <c r="F79" s="204">
        <f t="shared" si="48"/>
        <v>156</v>
      </c>
      <c r="G79" s="204">
        <f t="shared" si="48"/>
        <v>199</v>
      </c>
      <c r="H79" s="204">
        <f t="shared" si="48"/>
        <v>233</v>
      </c>
      <c r="I79" s="204">
        <f t="shared" si="48"/>
        <v>259</v>
      </c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>
      <c r="A80" s="203" t="s">
        <v>144</v>
      </c>
      <c r="B80" s="205">
        <f t="shared" ref="B80:I80" si="49">B19-L62-B27</f>
        <v>251.3</v>
      </c>
      <c r="C80" s="205">
        <f t="shared" si="49"/>
        <v>309</v>
      </c>
      <c r="D80" s="205">
        <f t="shared" si="49"/>
        <v>331.7142857</v>
      </c>
      <c r="E80" s="205">
        <f t="shared" si="49"/>
        <v>354.7571429</v>
      </c>
      <c r="F80" s="205">
        <f t="shared" si="49"/>
        <v>353.7428571</v>
      </c>
      <c r="G80" s="205">
        <f t="shared" si="49"/>
        <v>396.1857143</v>
      </c>
      <c r="H80" s="205">
        <f t="shared" si="49"/>
        <v>427.9714286</v>
      </c>
      <c r="I80" s="205">
        <f t="shared" si="49"/>
        <v>466.2571429</v>
      </c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>
      <c r="H81" s="141"/>
      <c r="I81" s="141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>
      <c r="H82" s="141"/>
      <c r="I82" s="141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>
      <c r="H83" s="141"/>
      <c r="I83" s="141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>
      <c r="H84" s="141"/>
      <c r="I84" s="141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>
      <c r="H85" s="141"/>
      <c r="I85" s="141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>
      <c r="H86" s="141"/>
      <c r="I86" s="141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>
      <c r="H87" s="141"/>
      <c r="I87" s="141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>
      <c r="H88" s="141"/>
      <c r="I88" s="141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>
      <c r="A92" s="203" t="s">
        <v>145</v>
      </c>
      <c r="B92" s="204">
        <f t="shared" ref="B92:I92" si="50">783-B20 </f>
        <v>0</v>
      </c>
      <c r="C92" s="204">
        <f t="shared" si="50"/>
        <v>26</v>
      </c>
      <c r="D92" s="204">
        <f t="shared" si="50"/>
        <v>46</v>
      </c>
      <c r="E92" s="204">
        <f t="shared" si="50"/>
        <v>73</v>
      </c>
      <c r="F92" s="204">
        <f t="shared" si="50"/>
        <v>100</v>
      </c>
      <c r="G92" s="204">
        <f t="shared" si="50"/>
        <v>126</v>
      </c>
      <c r="H92" s="204">
        <f t="shared" si="50"/>
        <v>149</v>
      </c>
      <c r="I92" s="204">
        <f t="shared" si="50"/>
        <v>168</v>
      </c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>
      <c r="A93" s="203" t="s">
        <v>146</v>
      </c>
      <c r="B93" s="205">
        <f t="shared" ref="B93:I93" si="51">B20-L62-B27</f>
        <v>251.3</v>
      </c>
      <c r="C93" s="205">
        <f t="shared" si="51"/>
        <v>309</v>
      </c>
      <c r="D93" s="205">
        <f t="shared" si="51"/>
        <v>350.7142857</v>
      </c>
      <c r="E93" s="205">
        <f t="shared" si="51"/>
        <v>392.7571429</v>
      </c>
      <c r="F93" s="205">
        <f t="shared" si="51"/>
        <v>409.7428571</v>
      </c>
      <c r="G93" s="205">
        <f t="shared" si="51"/>
        <v>469.1857143</v>
      </c>
      <c r="H93" s="205">
        <f t="shared" si="51"/>
        <v>511.9714286</v>
      </c>
      <c r="I93" s="205">
        <f t="shared" si="51"/>
        <v>557.2571429</v>
      </c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>
      <c r="H94" s="141"/>
      <c r="I94" s="141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>
      <c r="H95" s="141"/>
      <c r="I95" s="141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>
      <c r="H96" s="141"/>
      <c r="I96" s="141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>
      <c r="H97" s="141"/>
      <c r="I97" s="141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>
      <c r="H98" s="141"/>
      <c r="I98" s="141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>
      <c r="H99" s="141"/>
      <c r="I99" s="141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>
      <c r="A100" s="206"/>
      <c r="H100" s="141"/>
      <c r="I100" s="141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>
      <c r="A101" s="206"/>
      <c r="H101" s="141"/>
      <c r="I101" s="141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>
      <c r="A102" s="206"/>
      <c r="H102" s="141"/>
      <c r="I102" s="141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>
      <c r="A103" s="206"/>
      <c r="H103" s="141"/>
      <c r="I103" s="141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>
      <c r="A104" s="206"/>
      <c r="H104" s="141"/>
      <c r="I104" s="141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>
      <c r="A105" s="206"/>
      <c r="K105" s="207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>
      <c r="A106" s="206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>
      <c r="A107" s="206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>
      <c r="A108" s="206"/>
      <c r="K108" s="208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>
      <c r="A109" s="206"/>
      <c r="K109" s="208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>
      <c r="A110" s="206"/>
      <c r="K110" s="208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>
      <c r="A111" s="206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>
      <c r="A112" s="206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>
      <c r="A113" s="206"/>
      <c r="B113" s="141"/>
      <c r="C113" s="141"/>
      <c r="D113" s="141"/>
      <c r="E113" s="141"/>
      <c r="F113" s="141"/>
      <c r="G113" s="141"/>
      <c r="H113" s="141"/>
      <c r="I113" s="141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>
      <c r="A114" s="206"/>
      <c r="B114" s="141"/>
      <c r="C114" s="141"/>
      <c r="D114" s="141"/>
      <c r="E114" s="141"/>
      <c r="F114" s="141"/>
      <c r="G114" s="141"/>
      <c r="H114" s="141"/>
      <c r="I114" s="141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>
      <c r="A115" s="206"/>
      <c r="B115" s="141"/>
      <c r="C115" s="141"/>
      <c r="D115" s="141"/>
      <c r="E115" s="141"/>
      <c r="F115" s="141"/>
      <c r="G115" s="141"/>
      <c r="H115" s="141"/>
      <c r="I115" s="141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>
      <c r="A116" s="206"/>
      <c r="B116" s="141"/>
      <c r="C116" s="141"/>
      <c r="D116" s="141"/>
      <c r="E116" s="141"/>
      <c r="F116" s="141"/>
      <c r="G116" s="141"/>
      <c r="H116" s="141"/>
      <c r="I116" s="141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>
      <c r="A117" s="206"/>
      <c r="B117" s="141"/>
      <c r="C117" s="141"/>
      <c r="D117" s="141"/>
      <c r="E117" s="141"/>
      <c r="F117" s="141"/>
      <c r="G117" s="141"/>
      <c r="H117" s="141"/>
      <c r="I117" s="141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>
      <c r="A118" s="206"/>
      <c r="B118" s="141"/>
      <c r="C118" s="141"/>
      <c r="D118" s="141"/>
      <c r="E118" s="141"/>
      <c r="F118" s="141"/>
      <c r="G118" s="141"/>
      <c r="H118" s="141"/>
      <c r="I118" s="141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>
      <c r="A119" s="206"/>
      <c r="B119" s="141"/>
      <c r="C119" s="141"/>
      <c r="D119" s="141"/>
      <c r="E119" s="141"/>
      <c r="F119" s="141"/>
      <c r="G119" s="141"/>
      <c r="H119" s="141"/>
      <c r="I119" s="141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>
      <c r="A120" s="206"/>
      <c r="B120" s="141"/>
      <c r="C120" s="141"/>
      <c r="D120" s="141"/>
      <c r="E120" s="141"/>
      <c r="F120" s="141"/>
      <c r="G120" s="141"/>
      <c r="H120" s="141"/>
      <c r="I120" s="141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>
      <c r="A121" s="146"/>
      <c r="B121" s="141"/>
      <c r="C121" s="141"/>
      <c r="D121" s="141"/>
      <c r="E121" s="141"/>
      <c r="F121" s="141"/>
      <c r="G121" s="141"/>
      <c r="H121" s="141"/>
      <c r="I121" s="141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>
      <c r="A122" s="146"/>
      <c r="B122" s="141"/>
      <c r="C122" s="141"/>
      <c r="D122" s="141"/>
      <c r="E122" s="141"/>
      <c r="F122" s="141"/>
      <c r="G122" s="141"/>
      <c r="H122" s="141"/>
      <c r="I122" s="141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>
      <c r="A123" s="146"/>
      <c r="B123" s="141"/>
      <c r="C123" s="141"/>
      <c r="D123" s="141"/>
      <c r="E123" s="141"/>
      <c r="F123" s="141"/>
      <c r="G123" s="141"/>
      <c r="H123" s="141"/>
      <c r="I123" s="141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>
      <c r="A124" s="146"/>
      <c r="B124" s="141"/>
      <c r="C124" s="141"/>
      <c r="D124" s="141"/>
      <c r="E124" s="141"/>
      <c r="F124" s="141"/>
      <c r="G124" s="141"/>
      <c r="H124" s="141"/>
      <c r="I124" s="141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>
      <c r="A125" s="146"/>
      <c r="B125" s="141"/>
      <c r="C125" s="141"/>
      <c r="D125" s="141"/>
      <c r="E125" s="141"/>
      <c r="F125" s="141"/>
      <c r="G125" s="141"/>
      <c r="H125" s="141"/>
      <c r="I125" s="141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>
      <c r="A126" s="146"/>
      <c r="B126" s="141"/>
      <c r="C126" s="141"/>
      <c r="D126" s="141"/>
      <c r="E126" s="141"/>
      <c r="F126" s="141"/>
      <c r="G126" s="141"/>
      <c r="H126" s="141"/>
      <c r="I126" s="141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>
      <c r="A127" s="146"/>
      <c r="B127" s="141"/>
      <c r="C127" s="141"/>
      <c r="D127" s="141"/>
      <c r="E127" s="141"/>
      <c r="F127" s="141"/>
      <c r="G127" s="141"/>
      <c r="H127" s="141"/>
      <c r="I127" s="141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>
      <c r="A128" s="146"/>
      <c r="B128" s="141"/>
      <c r="C128" s="141"/>
      <c r="D128" s="141"/>
      <c r="E128" s="141"/>
      <c r="F128" s="141"/>
      <c r="G128" s="141"/>
      <c r="H128" s="141"/>
      <c r="I128" s="141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>
      <c r="A129" s="146"/>
      <c r="B129" s="141"/>
      <c r="C129" s="141"/>
      <c r="D129" s="141"/>
      <c r="E129" s="141"/>
      <c r="F129" s="141"/>
      <c r="G129" s="141"/>
      <c r="H129" s="141"/>
      <c r="I129" s="141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>
      <c r="A130" s="146"/>
      <c r="B130" s="141"/>
      <c r="C130" s="141"/>
      <c r="D130" s="141"/>
      <c r="E130" s="141"/>
      <c r="F130" s="141"/>
      <c r="G130" s="141"/>
      <c r="H130" s="141"/>
      <c r="I130" s="141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>
      <c r="A131" s="146"/>
      <c r="B131" s="141"/>
      <c r="C131" s="141"/>
      <c r="D131" s="141"/>
      <c r="E131" s="141"/>
      <c r="F131" s="141"/>
      <c r="G131" s="141"/>
      <c r="H131" s="141"/>
      <c r="I131" s="141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>
      <c r="A132" s="146"/>
      <c r="B132" s="141"/>
      <c r="C132" s="141"/>
      <c r="D132" s="141"/>
      <c r="E132" s="141"/>
      <c r="F132" s="141"/>
      <c r="G132" s="141"/>
      <c r="H132" s="141"/>
      <c r="I132" s="141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>
      <c r="A133" s="146"/>
      <c r="B133" s="141"/>
      <c r="C133" s="141"/>
      <c r="D133" s="141"/>
      <c r="E133" s="141"/>
      <c r="F133" s="141"/>
      <c r="G133" s="141"/>
      <c r="H133" s="141"/>
      <c r="I133" s="141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35.25" customHeight="1">
      <c r="H134" s="141"/>
      <c r="I134" s="141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>
      <c r="H135" s="141"/>
      <c r="I135" s="141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>
      <c r="H136" s="141"/>
      <c r="I136" s="141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>
      <c r="H137" s="141"/>
      <c r="I137" s="141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>
      <c r="H138" s="141"/>
      <c r="I138" s="141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>
      <c r="H139" s="141"/>
      <c r="I139" s="141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>
      <c r="H140" s="141"/>
      <c r="I140" s="141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>
      <c r="H141" s="141"/>
      <c r="I141" s="141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>
      <c r="A142" s="146"/>
      <c r="B142" s="141"/>
      <c r="C142" s="141"/>
      <c r="D142" s="141"/>
      <c r="E142" s="141"/>
      <c r="F142" s="141"/>
      <c r="G142" s="141"/>
      <c r="H142" s="141"/>
      <c r="I142" s="141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>
      <c r="A143" s="209"/>
      <c r="B143" s="210"/>
      <c r="C143" s="210"/>
      <c r="D143" s="210"/>
      <c r="E143" s="210"/>
      <c r="F143" s="210"/>
      <c r="G143" s="210"/>
      <c r="H143" s="141"/>
      <c r="I143" s="141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>
      <c r="A144" s="211"/>
      <c r="B144" s="210"/>
      <c r="C144" s="210"/>
      <c r="D144" s="210"/>
      <c r="E144" s="210"/>
      <c r="F144" s="210"/>
      <c r="G144" s="210"/>
      <c r="H144" s="141"/>
      <c r="I144" s="141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>
      <c r="A145" s="211"/>
      <c r="B145" s="210"/>
      <c r="C145" s="210"/>
      <c r="D145" s="210"/>
      <c r="E145" s="210"/>
      <c r="F145" s="210"/>
      <c r="G145" s="210"/>
      <c r="H145" s="141"/>
      <c r="I145" s="141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>
      <c r="A146" s="211"/>
      <c r="B146" s="210"/>
      <c r="C146" s="210"/>
      <c r="D146" s="210"/>
      <c r="E146" s="210"/>
      <c r="F146" s="210"/>
      <c r="G146" s="210"/>
      <c r="H146" s="141"/>
      <c r="I146" s="141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>
      <c r="A147" s="211"/>
      <c r="B147" s="210"/>
      <c r="C147" s="210"/>
      <c r="D147" s="210"/>
      <c r="E147" s="210"/>
      <c r="F147" s="210"/>
      <c r="G147" s="210"/>
      <c r="H147" s="141"/>
      <c r="I147" s="141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>
      <c r="A148" s="211"/>
      <c r="B148" s="210"/>
      <c r="C148" s="210"/>
      <c r="D148" s="210"/>
      <c r="E148" s="210"/>
      <c r="F148" s="210"/>
      <c r="G148" s="210"/>
      <c r="H148" s="141"/>
      <c r="I148" s="141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>
      <c r="A149" s="211"/>
      <c r="B149" s="212"/>
      <c r="C149" s="210"/>
      <c r="D149" s="210"/>
      <c r="E149" s="210"/>
      <c r="F149" s="210"/>
      <c r="G149" s="210"/>
      <c r="H149" s="141"/>
      <c r="I149" s="141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>
      <c r="A150" s="213"/>
      <c r="B150" s="214"/>
      <c r="C150" s="214"/>
      <c r="D150" s="214"/>
      <c r="E150" s="214"/>
      <c r="F150" s="214"/>
      <c r="G150" s="214"/>
      <c r="H150" s="141"/>
      <c r="I150" s="141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>
      <c r="A151" s="146"/>
      <c r="B151" s="141"/>
      <c r="C151" s="141"/>
      <c r="D151" s="141"/>
      <c r="E151" s="141"/>
      <c r="F151" s="141"/>
      <c r="G151" s="141"/>
      <c r="H151" s="141"/>
      <c r="I151" s="141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>
      <c r="A152" s="146"/>
      <c r="B152" s="141"/>
      <c r="C152" s="141"/>
      <c r="D152" s="141"/>
      <c r="E152" s="141"/>
      <c r="F152" s="141"/>
      <c r="G152" s="141"/>
      <c r="H152" s="141"/>
      <c r="I152" s="141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>
      <c r="A153" s="146"/>
      <c r="B153" s="141"/>
      <c r="C153" s="141"/>
      <c r="D153" s="141"/>
      <c r="E153" s="141"/>
      <c r="F153" s="141"/>
      <c r="G153" s="141"/>
      <c r="H153" s="141"/>
      <c r="I153" s="141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>
      <c r="A154" s="146"/>
      <c r="B154" s="141"/>
      <c r="C154" s="141"/>
      <c r="D154" s="141"/>
      <c r="E154" s="141"/>
      <c r="F154" s="141"/>
      <c r="G154" s="141"/>
      <c r="H154" s="141"/>
      <c r="I154" s="141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>
      <c r="A155" s="146"/>
      <c r="B155" s="141"/>
      <c r="C155" s="141"/>
      <c r="D155" s="141"/>
      <c r="E155" s="141"/>
      <c r="F155" s="141"/>
      <c r="G155" s="141"/>
      <c r="H155" s="141"/>
      <c r="I155" s="141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>
      <c r="A156" s="146"/>
      <c r="B156" s="141"/>
      <c r="C156" s="141"/>
      <c r="D156" s="141"/>
      <c r="E156" s="141"/>
      <c r="F156" s="141"/>
      <c r="G156" s="141"/>
      <c r="H156" s="141"/>
      <c r="I156" s="141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>
      <c r="A157" s="146"/>
      <c r="B157" s="141"/>
      <c r="C157" s="141"/>
      <c r="D157" s="141"/>
      <c r="E157" s="141"/>
      <c r="F157" s="141"/>
      <c r="G157" s="141"/>
      <c r="H157" s="141"/>
      <c r="I157" s="141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>
      <c r="A158" s="146"/>
      <c r="B158" s="141"/>
      <c r="C158" s="141"/>
      <c r="D158" s="141"/>
      <c r="E158" s="141"/>
      <c r="F158" s="141"/>
      <c r="G158" s="141"/>
      <c r="H158" s="141"/>
      <c r="I158" s="141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>
      <c r="A159" s="146"/>
      <c r="B159" s="141"/>
      <c r="C159" s="141"/>
      <c r="D159" s="141"/>
      <c r="E159" s="141"/>
      <c r="F159" s="141"/>
      <c r="G159" s="141"/>
      <c r="H159" s="141"/>
      <c r="I159" s="141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>
      <c r="A160" s="146"/>
      <c r="B160" s="141"/>
      <c r="C160" s="141"/>
      <c r="D160" s="141"/>
      <c r="E160" s="141"/>
      <c r="F160" s="141"/>
      <c r="G160" s="141"/>
      <c r="H160" s="141"/>
      <c r="I160" s="141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>
      <c r="A161" s="146"/>
      <c r="B161" s="141"/>
      <c r="C161" s="141"/>
      <c r="D161" s="141"/>
      <c r="E161" s="141"/>
      <c r="F161" s="141"/>
      <c r="G161" s="141"/>
      <c r="H161" s="141"/>
      <c r="I161" s="141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>
      <c r="A162" s="146"/>
      <c r="B162" s="141"/>
      <c r="C162" s="141"/>
      <c r="D162" s="141"/>
      <c r="E162" s="141"/>
      <c r="F162" s="141"/>
      <c r="G162" s="141"/>
      <c r="H162" s="141"/>
      <c r="I162" s="141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>
      <c r="A163" s="146"/>
      <c r="B163" s="141"/>
      <c r="C163" s="141"/>
      <c r="D163" s="141"/>
      <c r="E163" s="141"/>
      <c r="F163" s="141"/>
      <c r="G163" s="141"/>
      <c r="H163" s="141"/>
      <c r="I163" s="141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>
      <c r="A164" s="146"/>
      <c r="B164" s="141"/>
      <c r="C164" s="141"/>
      <c r="D164" s="141"/>
      <c r="E164" s="141"/>
      <c r="F164" s="141"/>
      <c r="G164" s="141"/>
      <c r="H164" s="141"/>
      <c r="I164" s="141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>
      <c r="A165" s="146"/>
      <c r="B165" s="141"/>
      <c r="C165" s="141"/>
      <c r="D165" s="141"/>
      <c r="E165" s="141"/>
      <c r="F165" s="141"/>
      <c r="G165" s="141"/>
      <c r="H165" s="141"/>
      <c r="I165" s="141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>
      <c r="A166" s="146"/>
      <c r="B166" s="141"/>
      <c r="C166" s="141"/>
      <c r="D166" s="141"/>
      <c r="E166" s="141"/>
      <c r="F166" s="141"/>
      <c r="G166" s="141"/>
      <c r="H166" s="141"/>
      <c r="I166" s="141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>
      <c r="A167" s="146"/>
      <c r="B167" s="141"/>
      <c r="C167" s="141"/>
      <c r="D167" s="141"/>
      <c r="E167" s="141"/>
      <c r="F167" s="141"/>
      <c r="G167" s="141"/>
      <c r="H167" s="141"/>
      <c r="I167" s="141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>
      <c r="A168" s="146"/>
      <c r="B168" s="141"/>
      <c r="C168" s="141"/>
      <c r="D168" s="141"/>
      <c r="E168" s="141"/>
      <c r="F168" s="141"/>
      <c r="G168" s="141"/>
      <c r="H168" s="141"/>
      <c r="I168" s="141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>
      <c r="A169" s="146"/>
      <c r="B169" s="141"/>
      <c r="C169" s="141"/>
      <c r="D169" s="141"/>
      <c r="E169" s="141"/>
      <c r="F169" s="141"/>
      <c r="G169" s="141"/>
      <c r="H169" s="141"/>
      <c r="I169" s="141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>
      <c r="A170" s="146"/>
      <c r="B170" s="141"/>
      <c r="C170" s="141"/>
      <c r="D170" s="141"/>
      <c r="E170" s="141"/>
      <c r="F170" s="141"/>
      <c r="G170" s="141"/>
      <c r="H170" s="141"/>
      <c r="I170" s="141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>
      <c r="A171" s="146"/>
      <c r="B171" s="141"/>
      <c r="C171" s="141"/>
      <c r="D171" s="141"/>
      <c r="E171" s="141"/>
      <c r="F171" s="141"/>
      <c r="G171" s="141"/>
      <c r="H171" s="141"/>
      <c r="I171" s="141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>
      <c r="A172" s="146"/>
      <c r="B172" s="141"/>
      <c r="C172" s="141"/>
      <c r="D172" s="141"/>
      <c r="E172" s="141"/>
      <c r="F172" s="141"/>
      <c r="G172" s="141"/>
      <c r="H172" s="141"/>
      <c r="I172" s="141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>
      <c r="A173" s="146"/>
      <c r="B173" s="141"/>
      <c r="C173" s="141"/>
      <c r="D173" s="141"/>
      <c r="E173" s="141"/>
      <c r="F173" s="141"/>
      <c r="G173" s="141"/>
      <c r="H173" s="141"/>
      <c r="I173" s="141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>
      <c r="A174" s="146"/>
      <c r="B174" s="141"/>
      <c r="C174" s="141"/>
      <c r="D174" s="141"/>
      <c r="E174" s="141"/>
      <c r="F174" s="141"/>
      <c r="G174" s="141"/>
      <c r="H174" s="141"/>
      <c r="I174" s="141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>
      <c r="A175" s="146"/>
      <c r="B175" s="141"/>
      <c r="C175" s="141"/>
      <c r="D175" s="141"/>
      <c r="E175" s="141"/>
      <c r="F175" s="141"/>
      <c r="G175" s="141"/>
      <c r="H175" s="141"/>
      <c r="I175" s="141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>
      <c r="A176" s="146"/>
      <c r="B176" s="141"/>
      <c r="C176" s="141"/>
      <c r="D176" s="141"/>
      <c r="E176" s="141"/>
      <c r="F176" s="141"/>
      <c r="G176" s="141"/>
      <c r="H176" s="141"/>
      <c r="I176" s="141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>
      <c r="A177" s="146"/>
      <c r="B177" s="141"/>
      <c r="C177" s="141"/>
      <c r="D177" s="141"/>
      <c r="E177" s="141"/>
      <c r="F177" s="141"/>
      <c r="G177" s="141"/>
      <c r="H177" s="141"/>
      <c r="I177" s="141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>
      <c r="A178" s="146"/>
      <c r="B178" s="141"/>
      <c r="C178" s="141"/>
      <c r="D178" s="141"/>
      <c r="E178" s="141"/>
      <c r="F178" s="141"/>
      <c r="G178" s="141"/>
      <c r="H178" s="141"/>
      <c r="I178" s="141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>
      <c r="A179" s="146"/>
      <c r="B179" s="141"/>
      <c r="C179" s="141"/>
      <c r="D179" s="141"/>
      <c r="E179" s="141"/>
      <c r="F179" s="141"/>
      <c r="G179" s="141"/>
      <c r="H179" s="141"/>
      <c r="I179" s="141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>
      <c r="A180" s="146"/>
      <c r="B180" s="141"/>
      <c r="C180" s="141"/>
      <c r="D180" s="141"/>
      <c r="E180" s="141"/>
      <c r="F180" s="141"/>
      <c r="G180" s="141"/>
      <c r="H180" s="141"/>
      <c r="I180" s="141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>
      <c r="A181" s="146"/>
      <c r="B181" s="141"/>
      <c r="C181" s="141"/>
      <c r="D181" s="141"/>
      <c r="E181" s="141"/>
      <c r="F181" s="141"/>
      <c r="G181" s="141"/>
      <c r="H181" s="141"/>
      <c r="I181" s="141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>
      <c r="A182" s="146"/>
      <c r="B182" s="141"/>
      <c r="C182" s="141"/>
      <c r="D182" s="141"/>
      <c r="E182" s="141"/>
      <c r="F182" s="141"/>
      <c r="G182" s="141"/>
      <c r="H182" s="141"/>
      <c r="I182" s="141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>
      <c r="A183" s="146"/>
      <c r="B183" s="141"/>
      <c r="C183" s="141"/>
      <c r="D183" s="141"/>
      <c r="E183" s="141"/>
      <c r="F183" s="141"/>
      <c r="G183" s="141"/>
      <c r="H183" s="141"/>
      <c r="I183" s="141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>
      <c r="A184" s="146"/>
      <c r="B184" s="141"/>
      <c r="C184" s="141"/>
      <c r="D184" s="141"/>
      <c r="E184" s="141"/>
      <c r="F184" s="141"/>
      <c r="G184" s="141"/>
      <c r="H184" s="141"/>
      <c r="I184" s="141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>
      <c r="A185" s="146"/>
      <c r="B185" s="141"/>
      <c r="C185" s="141"/>
      <c r="D185" s="141"/>
      <c r="E185" s="141"/>
      <c r="F185" s="141"/>
      <c r="G185" s="141"/>
      <c r="H185" s="141"/>
      <c r="I185" s="141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>
      <c r="A186" s="146"/>
      <c r="B186" s="141"/>
      <c r="C186" s="141"/>
      <c r="D186" s="141"/>
      <c r="E186" s="141"/>
      <c r="F186" s="141"/>
      <c r="G186" s="141"/>
      <c r="H186" s="141"/>
      <c r="I186" s="141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>
      <c r="A187" s="146"/>
      <c r="B187" s="141"/>
      <c r="C187" s="141"/>
      <c r="D187" s="141"/>
      <c r="E187" s="141"/>
      <c r="F187" s="141"/>
      <c r="G187" s="141"/>
      <c r="H187" s="141"/>
      <c r="I187" s="141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>
      <c r="A188" s="146"/>
      <c r="B188" s="141"/>
      <c r="C188" s="141"/>
      <c r="D188" s="141"/>
      <c r="E188" s="141"/>
      <c r="F188" s="141"/>
      <c r="G188" s="141"/>
      <c r="H188" s="141"/>
      <c r="I188" s="141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>
      <c r="A189" s="146"/>
      <c r="B189" s="141"/>
      <c r="C189" s="141"/>
      <c r="D189" s="141"/>
      <c r="E189" s="141"/>
      <c r="F189" s="141"/>
      <c r="G189" s="141"/>
      <c r="H189" s="141"/>
      <c r="I189" s="141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>
      <c r="A190" s="146"/>
      <c r="B190" s="141"/>
      <c r="C190" s="141"/>
      <c r="D190" s="141"/>
      <c r="E190" s="141"/>
      <c r="F190" s="141"/>
      <c r="G190" s="141"/>
      <c r="H190" s="141"/>
      <c r="I190" s="141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>
      <c r="A191" s="146"/>
      <c r="B191" s="141"/>
      <c r="C191" s="141"/>
      <c r="D191" s="141"/>
      <c r="E191" s="141"/>
      <c r="F191" s="141"/>
      <c r="G191" s="141"/>
      <c r="H191" s="141"/>
      <c r="I191" s="141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>
      <c r="A192" s="146"/>
      <c r="B192" s="141"/>
      <c r="C192" s="141"/>
      <c r="D192" s="141"/>
      <c r="E192" s="141"/>
      <c r="F192" s="141"/>
      <c r="G192" s="141"/>
      <c r="H192" s="141"/>
      <c r="I192" s="141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>
      <c r="A193" s="146"/>
      <c r="B193" s="141"/>
      <c r="C193" s="141"/>
      <c r="D193" s="141"/>
      <c r="E193" s="141"/>
      <c r="F193" s="141"/>
      <c r="G193" s="141"/>
      <c r="H193" s="141"/>
      <c r="I193" s="141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>
      <c r="A194" s="146"/>
      <c r="B194" s="141"/>
      <c r="C194" s="141"/>
      <c r="D194" s="141"/>
      <c r="E194" s="141"/>
      <c r="F194" s="141"/>
      <c r="G194" s="141"/>
      <c r="H194" s="141"/>
      <c r="I194" s="141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>
      <c r="A195" s="146"/>
      <c r="B195" s="141"/>
      <c r="C195" s="141"/>
      <c r="D195" s="141"/>
      <c r="E195" s="141"/>
      <c r="F195" s="141"/>
      <c r="G195" s="141"/>
      <c r="H195" s="141"/>
      <c r="I195" s="141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>
      <c r="A196" s="146"/>
      <c r="B196" s="141"/>
      <c r="C196" s="141"/>
      <c r="D196" s="141"/>
      <c r="E196" s="141"/>
      <c r="F196" s="141"/>
      <c r="G196" s="141"/>
      <c r="H196" s="141"/>
      <c r="I196" s="141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>
      <c r="A197" s="146"/>
      <c r="B197" s="141"/>
      <c r="C197" s="141"/>
      <c r="D197" s="141"/>
      <c r="E197" s="141"/>
      <c r="F197" s="141"/>
      <c r="G197" s="141"/>
      <c r="H197" s="141"/>
      <c r="I197" s="141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>
      <c r="A198" s="146"/>
      <c r="B198" s="141"/>
      <c r="C198" s="141"/>
      <c r="D198" s="141"/>
      <c r="E198" s="141"/>
      <c r="F198" s="141"/>
      <c r="G198" s="141"/>
      <c r="H198" s="141"/>
      <c r="I198" s="141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>
      <c r="A199" s="146"/>
      <c r="B199" s="141"/>
      <c r="C199" s="141"/>
      <c r="D199" s="141"/>
      <c r="E199" s="141"/>
      <c r="F199" s="141"/>
      <c r="G199" s="141"/>
      <c r="H199" s="141"/>
      <c r="I199" s="141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>
      <c r="A200" s="146"/>
      <c r="B200" s="141"/>
      <c r="C200" s="141"/>
      <c r="D200" s="141"/>
      <c r="E200" s="141"/>
      <c r="F200" s="141"/>
      <c r="G200" s="141"/>
      <c r="H200" s="141"/>
      <c r="I200" s="141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>
      <c r="A201" s="146"/>
      <c r="B201" s="141"/>
      <c r="C201" s="141"/>
      <c r="D201" s="141"/>
      <c r="E201" s="141"/>
      <c r="F201" s="141"/>
      <c r="G201" s="141"/>
      <c r="H201" s="141"/>
      <c r="I201" s="141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>
      <c r="A202" s="146"/>
      <c r="B202" s="141"/>
      <c r="C202" s="141"/>
      <c r="D202" s="141"/>
      <c r="E202" s="141"/>
      <c r="F202" s="141"/>
      <c r="G202" s="141"/>
      <c r="H202" s="141"/>
      <c r="I202" s="141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>
      <c r="A203" s="146"/>
      <c r="B203" s="141"/>
      <c r="C203" s="141"/>
      <c r="D203" s="141"/>
      <c r="E203" s="141"/>
      <c r="F203" s="141"/>
      <c r="G203" s="141"/>
      <c r="H203" s="141"/>
      <c r="I203" s="141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>
      <c r="A204" s="146"/>
      <c r="B204" s="141"/>
      <c r="C204" s="141"/>
      <c r="D204" s="141"/>
      <c r="E204" s="141"/>
      <c r="F204" s="141"/>
      <c r="G204" s="141"/>
      <c r="H204" s="141"/>
      <c r="I204" s="141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>
      <c r="A205" s="146"/>
      <c r="B205" s="141"/>
      <c r="C205" s="141"/>
      <c r="D205" s="141"/>
      <c r="E205" s="141"/>
      <c r="F205" s="141"/>
      <c r="G205" s="141"/>
      <c r="H205" s="141"/>
      <c r="I205" s="141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>
      <c r="A206" s="146"/>
      <c r="B206" s="141"/>
      <c r="C206" s="141"/>
      <c r="D206" s="141"/>
      <c r="E206" s="141"/>
      <c r="F206" s="141"/>
      <c r="G206" s="141"/>
      <c r="H206" s="141"/>
      <c r="I206" s="141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>
      <c r="A207" s="146"/>
      <c r="B207" s="141"/>
      <c r="C207" s="141"/>
      <c r="D207" s="141"/>
      <c r="E207" s="141"/>
      <c r="F207" s="141"/>
      <c r="G207" s="141"/>
      <c r="H207" s="141"/>
      <c r="I207" s="141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>
      <c r="A208" s="146"/>
      <c r="B208" s="141"/>
      <c r="C208" s="141"/>
      <c r="D208" s="141"/>
      <c r="E208" s="141"/>
      <c r="F208" s="141"/>
      <c r="G208" s="141"/>
      <c r="H208" s="141"/>
      <c r="I208" s="141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>
      <c r="A209" s="146"/>
      <c r="B209" s="141"/>
      <c r="C209" s="141"/>
      <c r="D209" s="141"/>
      <c r="E209" s="141"/>
      <c r="F209" s="141"/>
      <c r="G209" s="141"/>
      <c r="H209" s="141"/>
      <c r="I209" s="141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>
      <c r="A210" s="146"/>
      <c r="B210" s="141"/>
      <c r="C210" s="141"/>
      <c r="D210" s="141"/>
      <c r="E210" s="141"/>
      <c r="F210" s="141"/>
      <c r="G210" s="141"/>
      <c r="H210" s="141"/>
      <c r="I210" s="141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>
      <c r="A211" s="146"/>
      <c r="B211" s="141"/>
      <c r="C211" s="141"/>
      <c r="D211" s="141"/>
      <c r="E211" s="141"/>
      <c r="F211" s="141"/>
      <c r="G211" s="141"/>
      <c r="H211" s="141"/>
      <c r="I211" s="141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>
      <c r="A212" s="146"/>
      <c r="B212" s="141"/>
      <c r="C212" s="141"/>
      <c r="D212" s="141"/>
      <c r="E212" s="141"/>
      <c r="F212" s="141"/>
      <c r="G212" s="141"/>
      <c r="H212" s="141"/>
      <c r="I212" s="141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>
      <c r="A213" s="146"/>
      <c r="B213" s="141"/>
      <c r="C213" s="141"/>
      <c r="D213" s="141"/>
      <c r="E213" s="141"/>
      <c r="F213" s="141"/>
      <c r="G213" s="141"/>
      <c r="H213" s="141"/>
      <c r="I213" s="141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>
      <c r="A214" s="146"/>
      <c r="B214" s="141"/>
      <c r="C214" s="141"/>
      <c r="D214" s="141"/>
      <c r="E214" s="141"/>
      <c r="F214" s="141"/>
      <c r="G214" s="141"/>
      <c r="H214" s="141"/>
      <c r="I214" s="141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>
      <c r="A215" s="146"/>
      <c r="B215" s="141"/>
      <c r="C215" s="141"/>
      <c r="D215" s="141"/>
      <c r="E215" s="141"/>
      <c r="F215" s="141"/>
      <c r="G215" s="141"/>
      <c r="H215" s="141"/>
      <c r="I215" s="141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>
      <c r="A216" s="146"/>
      <c r="B216" s="141"/>
      <c r="C216" s="141"/>
      <c r="D216" s="141"/>
      <c r="E216" s="141"/>
      <c r="F216" s="141"/>
      <c r="G216" s="141"/>
      <c r="H216" s="141"/>
      <c r="I216" s="141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>
      <c r="A217" s="146"/>
      <c r="B217" s="141"/>
      <c r="C217" s="141"/>
      <c r="D217" s="141"/>
      <c r="E217" s="141"/>
      <c r="F217" s="141"/>
      <c r="G217" s="141"/>
      <c r="H217" s="141"/>
      <c r="I217" s="141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>
      <c r="A218" s="146"/>
      <c r="B218" s="141"/>
      <c r="C218" s="141"/>
      <c r="D218" s="141"/>
      <c r="E218" s="141"/>
      <c r="F218" s="141"/>
      <c r="G218" s="141"/>
      <c r="H218" s="141"/>
      <c r="I218" s="141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>
      <c r="A219" s="146"/>
      <c r="B219" s="141"/>
      <c r="C219" s="141"/>
      <c r="D219" s="141"/>
      <c r="E219" s="141"/>
      <c r="F219" s="141"/>
      <c r="G219" s="141"/>
      <c r="H219" s="141"/>
      <c r="I219" s="141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>
      <c r="A220" s="146"/>
      <c r="B220" s="141"/>
      <c r="C220" s="141"/>
      <c r="D220" s="141"/>
      <c r="E220" s="141"/>
      <c r="F220" s="141"/>
      <c r="G220" s="141"/>
      <c r="H220" s="141"/>
      <c r="I220" s="141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>
      <c r="A221" s="146"/>
      <c r="B221" s="141"/>
      <c r="C221" s="141"/>
      <c r="D221" s="141"/>
      <c r="E221" s="141"/>
      <c r="F221" s="141"/>
      <c r="G221" s="141"/>
      <c r="H221" s="141"/>
      <c r="I221" s="141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>
      <c r="A222" s="146"/>
      <c r="B222" s="141"/>
      <c r="C222" s="141"/>
      <c r="D222" s="141"/>
      <c r="E222" s="141"/>
      <c r="F222" s="141"/>
      <c r="G222" s="141"/>
      <c r="H222" s="141"/>
      <c r="I222" s="141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>
      <c r="A223" s="146"/>
      <c r="B223" s="141"/>
      <c r="C223" s="141"/>
      <c r="D223" s="141"/>
      <c r="E223" s="141"/>
      <c r="F223" s="141"/>
      <c r="G223" s="141"/>
      <c r="H223" s="141"/>
      <c r="I223" s="141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>
      <c r="A224" s="146"/>
      <c r="B224" s="141"/>
      <c r="C224" s="141"/>
      <c r="D224" s="141"/>
      <c r="E224" s="141"/>
      <c r="F224" s="141"/>
      <c r="G224" s="141"/>
      <c r="H224" s="141"/>
      <c r="I224" s="141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>
      <c r="A225" s="146"/>
      <c r="B225" s="141"/>
      <c r="C225" s="141"/>
      <c r="D225" s="141"/>
      <c r="E225" s="141"/>
      <c r="F225" s="141"/>
      <c r="G225" s="141"/>
      <c r="H225" s="141"/>
      <c r="I225" s="141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>
      <c r="A226" s="146"/>
      <c r="B226" s="141"/>
      <c r="C226" s="141"/>
      <c r="D226" s="141"/>
      <c r="E226" s="141"/>
      <c r="F226" s="141"/>
      <c r="G226" s="141"/>
      <c r="H226" s="141"/>
      <c r="I226" s="141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>
      <c r="A227" s="146"/>
      <c r="B227" s="141"/>
      <c r="C227" s="141"/>
      <c r="D227" s="141"/>
      <c r="E227" s="141"/>
      <c r="F227" s="141"/>
      <c r="G227" s="141"/>
      <c r="H227" s="141"/>
      <c r="I227" s="141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>
      <c r="A228" s="146"/>
      <c r="B228" s="141"/>
      <c r="C228" s="141"/>
      <c r="D228" s="141"/>
      <c r="E228" s="141"/>
      <c r="F228" s="141"/>
      <c r="G228" s="141"/>
      <c r="H228" s="141"/>
      <c r="I228" s="141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>
      <c r="A229" s="146"/>
      <c r="B229" s="141"/>
      <c r="C229" s="141"/>
      <c r="D229" s="141"/>
      <c r="E229" s="141"/>
      <c r="F229" s="141"/>
      <c r="G229" s="141"/>
      <c r="H229" s="141"/>
      <c r="I229" s="141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>
      <c r="A230" s="146"/>
      <c r="B230" s="141"/>
      <c r="C230" s="141"/>
      <c r="D230" s="141"/>
      <c r="E230" s="141"/>
      <c r="F230" s="141"/>
      <c r="G230" s="141"/>
      <c r="H230" s="141"/>
      <c r="I230" s="141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>
      <c r="A231" s="146"/>
      <c r="B231" s="141"/>
      <c r="C231" s="141"/>
      <c r="D231" s="141"/>
      <c r="E231" s="141"/>
      <c r="F231" s="141"/>
      <c r="G231" s="141"/>
      <c r="H231" s="141"/>
      <c r="I231" s="141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>
      <c r="A232" s="146"/>
      <c r="B232" s="141"/>
      <c r="C232" s="141"/>
      <c r="D232" s="141"/>
      <c r="E232" s="141"/>
      <c r="F232" s="141"/>
      <c r="G232" s="141"/>
      <c r="H232" s="141"/>
      <c r="I232" s="141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>
      <c r="A233" s="146"/>
      <c r="B233" s="141"/>
      <c r="C233" s="141"/>
      <c r="D233" s="141"/>
      <c r="E233" s="141"/>
      <c r="F233" s="141"/>
      <c r="G233" s="141"/>
      <c r="H233" s="141"/>
      <c r="I233" s="141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>
      <c r="A234" s="146"/>
      <c r="B234" s="141"/>
      <c r="C234" s="141"/>
      <c r="D234" s="141"/>
      <c r="E234" s="141"/>
      <c r="F234" s="141"/>
      <c r="G234" s="141"/>
      <c r="H234" s="141"/>
      <c r="I234" s="141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>
      <c r="A235" s="146"/>
      <c r="B235" s="141"/>
      <c r="C235" s="141"/>
      <c r="D235" s="141"/>
      <c r="E235" s="141"/>
      <c r="F235" s="141"/>
      <c r="G235" s="141"/>
      <c r="H235" s="141"/>
      <c r="I235" s="141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>
      <c r="A236" s="146"/>
      <c r="B236" s="141"/>
      <c r="C236" s="141"/>
      <c r="D236" s="141"/>
      <c r="E236" s="141"/>
      <c r="F236" s="141"/>
      <c r="G236" s="141"/>
      <c r="H236" s="141"/>
      <c r="I236" s="141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>
      <c r="A237" s="146"/>
      <c r="B237" s="141"/>
      <c r="C237" s="141"/>
      <c r="D237" s="141"/>
      <c r="E237" s="141"/>
      <c r="F237" s="141"/>
      <c r="G237" s="141"/>
      <c r="H237" s="141"/>
      <c r="I237" s="141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>
      <c r="A238" s="146"/>
      <c r="B238" s="141"/>
      <c r="C238" s="141"/>
      <c r="D238" s="141"/>
      <c r="E238" s="141"/>
      <c r="F238" s="141"/>
      <c r="G238" s="141"/>
      <c r="H238" s="141"/>
      <c r="I238" s="141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>
      <c r="A239" s="146"/>
      <c r="B239" s="141"/>
      <c r="C239" s="141"/>
      <c r="D239" s="141"/>
      <c r="E239" s="141"/>
      <c r="F239" s="141"/>
      <c r="G239" s="141"/>
      <c r="H239" s="141"/>
      <c r="I239" s="141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>
      <c r="A240" s="146"/>
      <c r="B240" s="141"/>
      <c r="C240" s="141"/>
      <c r="D240" s="141"/>
      <c r="E240" s="141"/>
      <c r="F240" s="141"/>
      <c r="G240" s="141"/>
      <c r="H240" s="141"/>
      <c r="I240" s="141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>
      <c r="A241" s="146"/>
      <c r="B241" s="141"/>
      <c r="C241" s="141"/>
      <c r="D241" s="141"/>
      <c r="E241" s="141"/>
      <c r="F241" s="141"/>
      <c r="G241" s="141"/>
      <c r="H241" s="141"/>
      <c r="I241" s="141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>
      <c r="A242" s="146"/>
      <c r="B242" s="141"/>
      <c r="C242" s="141"/>
      <c r="D242" s="141"/>
      <c r="E242" s="141"/>
      <c r="F242" s="141"/>
      <c r="G242" s="141"/>
      <c r="H242" s="141"/>
      <c r="I242" s="141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>
      <c r="A243" s="146"/>
      <c r="B243" s="141"/>
      <c r="C243" s="141"/>
      <c r="D243" s="141"/>
      <c r="E243" s="141"/>
      <c r="F243" s="141"/>
      <c r="G243" s="141"/>
      <c r="H243" s="141"/>
      <c r="I243" s="141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>
      <c r="A244" s="146"/>
      <c r="B244" s="141"/>
      <c r="C244" s="141"/>
      <c r="D244" s="141"/>
      <c r="E244" s="141"/>
      <c r="F244" s="141"/>
      <c r="G244" s="141"/>
      <c r="H244" s="141"/>
      <c r="I244" s="141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>
      <c r="A245" s="146"/>
      <c r="B245" s="141"/>
      <c r="C245" s="141"/>
      <c r="D245" s="141"/>
      <c r="E245" s="141"/>
      <c r="F245" s="141"/>
      <c r="G245" s="141"/>
      <c r="H245" s="141"/>
      <c r="I245" s="141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>
      <c r="A246" s="146"/>
      <c r="B246" s="141"/>
      <c r="C246" s="141"/>
      <c r="D246" s="141"/>
      <c r="E246" s="141"/>
      <c r="F246" s="141"/>
      <c r="G246" s="141"/>
      <c r="H246" s="141"/>
      <c r="I246" s="141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>
      <c r="A247" s="146"/>
      <c r="B247" s="141"/>
      <c r="C247" s="141"/>
      <c r="D247" s="141"/>
      <c r="E247" s="141"/>
      <c r="F247" s="141"/>
      <c r="G247" s="141"/>
      <c r="H247" s="141"/>
      <c r="I247" s="141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>
      <c r="A248" s="146"/>
      <c r="B248" s="141"/>
      <c r="C248" s="141"/>
      <c r="D248" s="141"/>
      <c r="E248" s="141"/>
      <c r="F248" s="141"/>
      <c r="G248" s="141"/>
      <c r="H248" s="141"/>
      <c r="I248" s="141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>
      <c r="A249" s="146"/>
      <c r="B249" s="141"/>
      <c r="C249" s="141"/>
      <c r="D249" s="141"/>
      <c r="E249" s="141"/>
      <c r="F249" s="141"/>
      <c r="G249" s="141"/>
      <c r="H249" s="141"/>
      <c r="I249" s="141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>
      <c r="A250" s="146"/>
      <c r="B250" s="141"/>
      <c r="C250" s="141"/>
      <c r="D250" s="141"/>
      <c r="E250" s="141"/>
      <c r="F250" s="141"/>
      <c r="G250" s="141"/>
      <c r="H250" s="141"/>
      <c r="I250" s="141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>
      <c r="A251" s="146"/>
      <c r="B251" s="141"/>
      <c r="C251" s="141"/>
      <c r="D251" s="141"/>
      <c r="E251" s="141"/>
      <c r="F251" s="141"/>
      <c r="G251" s="141"/>
      <c r="H251" s="141"/>
      <c r="I251" s="141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>
      <c r="A252" s="146"/>
      <c r="B252" s="141"/>
      <c r="C252" s="141"/>
      <c r="D252" s="141"/>
      <c r="E252" s="141"/>
      <c r="F252" s="141"/>
      <c r="G252" s="141"/>
      <c r="H252" s="141"/>
      <c r="I252" s="141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>
      <c r="A253" s="146"/>
      <c r="B253" s="141"/>
      <c r="C253" s="141"/>
      <c r="D253" s="141"/>
      <c r="E253" s="141"/>
      <c r="F253" s="141"/>
      <c r="G253" s="141"/>
      <c r="H253" s="141"/>
      <c r="I253" s="141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>
      <c r="A254" s="146"/>
      <c r="B254" s="141"/>
      <c r="C254" s="141"/>
      <c r="D254" s="141"/>
      <c r="E254" s="141"/>
      <c r="F254" s="141"/>
      <c r="G254" s="141"/>
      <c r="H254" s="141"/>
      <c r="I254" s="141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>
      <c r="A255" s="146"/>
      <c r="B255" s="141"/>
      <c r="C255" s="141"/>
      <c r="D255" s="141"/>
      <c r="E255" s="141"/>
      <c r="F255" s="141"/>
      <c r="G255" s="141"/>
      <c r="H255" s="141"/>
      <c r="I255" s="141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>
      <c r="A256" s="146"/>
      <c r="B256" s="141"/>
      <c r="C256" s="141"/>
      <c r="D256" s="141"/>
      <c r="E256" s="141"/>
      <c r="F256" s="141"/>
      <c r="G256" s="141"/>
      <c r="H256" s="141"/>
      <c r="I256" s="141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>
      <c r="A257" s="146"/>
      <c r="B257" s="141"/>
      <c r="C257" s="141"/>
      <c r="D257" s="141"/>
      <c r="E257" s="141"/>
      <c r="F257" s="141"/>
      <c r="G257" s="141"/>
      <c r="H257" s="141"/>
      <c r="I257" s="141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>
      <c r="A258" s="146"/>
      <c r="B258" s="141"/>
      <c r="C258" s="141"/>
      <c r="D258" s="141"/>
      <c r="E258" s="141"/>
      <c r="F258" s="141"/>
      <c r="G258" s="141"/>
      <c r="H258" s="141"/>
      <c r="I258" s="141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>
      <c r="A259" s="146"/>
      <c r="B259" s="141"/>
      <c r="C259" s="141"/>
      <c r="D259" s="141"/>
      <c r="E259" s="141"/>
      <c r="F259" s="141"/>
      <c r="G259" s="141"/>
      <c r="H259" s="141"/>
      <c r="I259" s="141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>
      <c r="A260" s="146"/>
      <c r="B260" s="141"/>
      <c r="C260" s="141"/>
      <c r="D260" s="141"/>
      <c r="E260" s="141"/>
      <c r="F260" s="141"/>
      <c r="G260" s="141"/>
      <c r="H260" s="141"/>
      <c r="I260" s="141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>
      <c r="A261" s="146"/>
      <c r="B261" s="141"/>
      <c r="C261" s="141"/>
      <c r="D261" s="141"/>
      <c r="E261" s="141"/>
      <c r="F261" s="141"/>
      <c r="G261" s="141"/>
      <c r="H261" s="141"/>
      <c r="I261" s="141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>
      <c r="A262" s="146"/>
      <c r="B262" s="141"/>
      <c r="C262" s="141"/>
      <c r="D262" s="141"/>
      <c r="E262" s="141"/>
      <c r="F262" s="141"/>
      <c r="G262" s="141"/>
      <c r="H262" s="141"/>
      <c r="I262" s="141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>
      <c r="A263" s="146"/>
      <c r="B263" s="141"/>
      <c r="C263" s="141"/>
      <c r="D263" s="141"/>
      <c r="E263" s="141"/>
      <c r="F263" s="141"/>
      <c r="G263" s="141"/>
      <c r="H263" s="141"/>
      <c r="I263" s="141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>
      <c r="A264" s="146"/>
      <c r="B264" s="141"/>
      <c r="C264" s="141"/>
      <c r="D264" s="141"/>
      <c r="E264" s="141"/>
      <c r="F264" s="141"/>
      <c r="G264" s="141"/>
      <c r="H264" s="141"/>
      <c r="I264" s="141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>
      <c r="A265" s="146"/>
      <c r="B265" s="141"/>
      <c r="C265" s="141"/>
      <c r="D265" s="141"/>
      <c r="E265" s="141"/>
      <c r="F265" s="141"/>
      <c r="G265" s="141"/>
      <c r="H265" s="141"/>
      <c r="I265" s="141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>
      <c r="A266" s="146"/>
      <c r="B266" s="141"/>
      <c r="C266" s="141"/>
      <c r="D266" s="141"/>
      <c r="E266" s="141"/>
      <c r="F266" s="141"/>
      <c r="G266" s="141"/>
      <c r="H266" s="141"/>
      <c r="I266" s="141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>
      <c r="A267" s="146"/>
      <c r="B267" s="141"/>
      <c r="C267" s="141"/>
      <c r="D267" s="141"/>
      <c r="E267" s="141"/>
      <c r="F267" s="141"/>
      <c r="G267" s="141"/>
      <c r="H267" s="141"/>
      <c r="I267" s="141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>
      <c r="A268" s="146"/>
      <c r="B268" s="141"/>
      <c r="C268" s="141"/>
      <c r="D268" s="141"/>
      <c r="E268" s="141"/>
      <c r="F268" s="141"/>
      <c r="G268" s="141"/>
      <c r="H268" s="141"/>
      <c r="I268" s="141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>
      <c r="A269" s="146"/>
      <c r="B269" s="141"/>
      <c r="C269" s="141"/>
      <c r="D269" s="141"/>
      <c r="E269" s="141"/>
      <c r="F269" s="141"/>
      <c r="G269" s="141"/>
      <c r="H269" s="141"/>
      <c r="I269" s="141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>
      <c r="A270" s="146"/>
      <c r="B270" s="141"/>
      <c r="C270" s="141"/>
      <c r="D270" s="141"/>
      <c r="E270" s="141"/>
      <c r="F270" s="141"/>
      <c r="G270" s="141"/>
      <c r="H270" s="141"/>
      <c r="I270" s="141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>
      <c r="A271" s="146"/>
      <c r="B271" s="141"/>
      <c r="C271" s="141"/>
      <c r="D271" s="141"/>
      <c r="E271" s="141"/>
      <c r="F271" s="141"/>
      <c r="G271" s="141"/>
      <c r="H271" s="141"/>
      <c r="I271" s="141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>
      <c r="A272" s="146"/>
      <c r="B272" s="141"/>
      <c r="C272" s="141"/>
      <c r="D272" s="141"/>
      <c r="E272" s="141"/>
      <c r="F272" s="141"/>
      <c r="G272" s="141"/>
      <c r="H272" s="141"/>
      <c r="I272" s="141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>
      <c r="A273" s="146"/>
      <c r="B273" s="141"/>
      <c r="C273" s="141"/>
      <c r="D273" s="141"/>
      <c r="E273" s="141"/>
      <c r="F273" s="141"/>
      <c r="G273" s="141"/>
      <c r="H273" s="141"/>
      <c r="I273" s="141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>
      <c r="A274" s="146"/>
      <c r="B274" s="141"/>
      <c r="C274" s="141"/>
      <c r="D274" s="141"/>
      <c r="E274" s="141"/>
      <c r="F274" s="141"/>
      <c r="G274" s="141"/>
      <c r="H274" s="141"/>
      <c r="I274" s="141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>
      <c r="A275" s="146"/>
      <c r="B275" s="141"/>
      <c r="C275" s="141"/>
      <c r="D275" s="141"/>
      <c r="E275" s="141"/>
      <c r="F275" s="141"/>
      <c r="G275" s="141"/>
      <c r="H275" s="141"/>
      <c r="I275" s="141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>
      <c r="A276" s="146"/>
      <c r="B276" s="141"/>
      <c r="C276" s="141"/>
      <c r="D276" s="141"/>
      <c r="E276" s="141"/>
      <c r="F276" s="141"/>
      <c r="G276" s="141"/>
      <c r="H276" s="141"/>
      <c r="I276" s="141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>
      <c r="A277" s="146"/>
      <c r="B277" s="141"/>
      <c r="C277" s="141"/>
      <c r="D277" s="141"/>
      <c r="E277" s="141"/>
      <c r="F277" s="141"/>
      <c r="G277" s="141"/>
      <c r="H277" s="141"/>
      <c r="I277" s="141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>
      <c r="A278" s="146"/>
      <c r="B278" s="141"/>
      <c r="C278" s="141"/>
      <c r="D278" s="141"/>
      <c r="E278" s="141"/>
      <c r="F278" s="141"/>
      <c r="G278" s="141"/>
      <c r="H278" s="141"/>
      <c r="I278" s="141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>
      <c r="A279" s="146"/>
      <c r="B279" s="141"/>
      <c r="C279" s="141"/>
      <c r="D279" s="141"/>
      <c r="E279" s="141"/>
      <c r="F279" s="141"/>
      <c r="G279" s="141"/>
      <c r="H279" s="141"/>
      <c r="I279" s="141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>
      <c r="A280" s="146"/>
      <c r="B280" s="141"/>
      <c r="C280" s="141"/>
      <c r="D280" s="141"/>
      <c r="E280" s="141"/>
      <c r="F280" s="141"/>
      <c r="G280" s="141"/>
      <c r="H280" s="141"/>
      <c r="I280" s="141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>
      <c r="A281" s="146"/>
      <c r="B281" s="141"/>
      <c r="C281" s="141"/>
      <c r="D281" s="141"/>
      <c r="E281" s="141"/>
      <c r="F281" s="141"/>
      <c r="G281" s="141"/>
      <c r="H281" s="141"/>
      <c r="I281" s="141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>
      <c r="A282" s="146"/>
      <c r="B282" s="141"/>
      <c r="C282" s="141"/>
      <c r="D282" s="141"/>
      <c r="E282" s="141"/>
      <c r="F282" s="141"/>
      <c r="G282" s="141"/>
      <c r="H282" s="141"/>
      <c r="I282" s="141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>
      <c r="A283" s="146"/>
      <c r="B283" s="141"/>
      <c r="C283" s="141"/>
      <c r="D283" s="141"/>
      <c r="E283" s="141"/>
      <c r="F283" s="141"/>
      <c r="G283" s="141"/>
      <c r="H283" s="141"/>
      <c r="I283" s="141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>
      <c r="A284" s="146"/>
      <c r="B284" s="141"/>
      <c r="C284" s="141"/>
      <c r="D284" s="141"/>
      <c r="E284" s="141"/>
      <c r="F284" s="141"/>
      <c r="G284" s="141"/>
      <c r="H284" s="141"/>
      <c r="I284" s="141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>
      <c r="A285" s="146"/>
      <c r="B285" s="141"/>
      <c r="C285" s="141"/>
      <c r="D285" s="141"/>
      <c r="E285" s="141"/>
      <c r="F285" s="141"/>
      <c r="G285" s="141"/>
      <c r="H285" s="141"/>
      <c r="I285" s="141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>
      <c r="A286" s="146"/>
      <c r="B286" s="141"/>
      <c r="C286" s="141"/>
      <c r="D286" s="141"/>
      <c r="E286" s="141"/>
      <c r="F286" s="141"/>
      <c r="G286" s="141"/>
      <c r="H286" s="141"/>
      <c r="I286" s="141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>
      <c r="A287" s="146"/>
      <c r="B287" s="141"/>
      <c r="C287" s="141"/>
      <c r="D287" s="141"/>
      <c r="E287" s="141"/>
      <c r="F287" s="141"/>
      <c r="G287" s="141"/>
      <c r="H287" s="141"/>
      <c r="I287" s="141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>
      <c r="A288" s="146"/>
      <c r="B288" s="141"/>
      <c r="C288" s="141"/>
      <c r="D288" s="141"/>
      <c r="E288" s="141"/>
      <c r="F288" s="141"/>
      <c r="G288" s="141"/>
      <c r="H288" s="141"/>
      <c r="I288" s="141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>
      <c r="A289" s="146"/>
      <c r="B289" s="141"/>
      <c r="C289" s="141"/>
      <c r="D289" s="141"/>
      <c r="E289" s="141"/>
      <c r="F289" s="141"/>
      <c r="G289" s="141"/>
      <c r="H289" s="141"/>
      <c r="I289" s="141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>
      <c r="A290" s="146"/>
      <c r="B290" s="141"/>
      <c r="C290" s="141"/>
      <c r="D290" s="141"/>
      <c r="E290" s="141"/>
      <c r="F290" s="141"/>
      <c r="G290" s="141"/>
      <c r="H290" s="141"/>
      <c r="I290" s="141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>
      <c r="A291" s="146"/>
      <c r="B291" s="141"/>
      <c r="C291" s="141"/>
      <c r="D291" s="141"/>
      <c r="E291" s="141"/>
      <c r="F291" s="141"/>
      <c r="G291" s="141"/>
      <c r="H291" s="141"/>
      <c r="I291" s="141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>
      <c r="A292" s="146"/>
      <c r="B292" s="141"/>
      <c r="C292" s="141"/>
      <c r="D292" s="141"/>
      <c r="E292" s="141"/>
      <c r="F292" s="141"/>
      <c r="G292" s="141"/>
      <c r="H292" s="141"/>
      <c r="I292" s="141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>
      <c r="A293" s="146"/>
      <c r="B293" s="141"/>
      <c r="C293" s="141"/>
      <c r="D293" s="141"/>
      <c r="E293" s="141"/>
      <c r="F293" s="141"/>
      <c r="G293" s="141"/>
      <c r="H293" s="141"/>
      <c r="I293" s="141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>
      <c r="A294" s="146"/>
      <c r="B294" s="141"/>
      <c r="C294" s="141"/>
      <c r="D294" s="141"/>
      <c r="E294" s="141"/>
      <c r="F294" s="141"/>
      <c r="G294" s="141"/>
      <c r="H294" s="141"/>
      <c r="I294" s="141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>
      <c r="A295" s="146"/>
      <c r="B295" s="141"/>
      <c r="C295" s="141"/>
      <c r="D295" s="141"/>
      <c r="E295" s="141"/>
      <c r="F295" s="141"/>
      <c r="G295" s="141"/>
      <c r="H295" s="141"/>
      <c r="I295" s="141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>
      <c r="A296" s="146"/>
      <c r="B296" s="141"/>
      <c r="C296" s="141"/>
      <c r="D296" s="141"/>
      <c r="E296" s="141"/>
      <c r="F296" s="141"/>
      <c r="G296" s="141"/>
      <c r="H296" s="141"/>
      <c r="I296" s="141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>
      <c r="A297" s="146"/>
      <c r="B297" s="141"/>
      <c r="C297" s="141"/>
      <c r="D297" s="141"/>
      <c r="E297" s="141"/>
      <c r="F297" s="141"/>
      <c r="G297" s="141"/>
      <c r="H297" s="141"/>
      <c r="I297" s="141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>
      <c r="A298" s="146"/>
      <c r="B298" s="141"/>
      <c r="C298" s="141"/>
      <c r="D298" s="141"/>
      <c r="E298" s="141"/>
      <c r="F298" s="141"/>
      <c r="G298" s="141"/>
      <c r="H298" s="141"/>
      <c r="I298" s="141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>
      <c r="A299" s="146"/>
      <c r="B299" s="141"/>
      <c r="C299" s="141"/>
      <c r="D299" s="141"/>
      <c r="E299" s="141"/>
      <c r="F299" s="141"/>
      <c r="G299" s="141"/>
      <c r="H299" s="141"/>
      <c r="I299" s="141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>
      <c r="A300" s="146"/>
      <c r="B300" s="141"/>
      <c r="C300" s="141"/>
      <c r="D300" s="141"/>
      <c r="E300" s="141"/>
      <c r="F300" s="141"/>
      <c r="G300" s="141"/>
      <c r="H300" s="141"/>
      <c r="I300" s="141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>
      <c r="A301" s="146"/>
      <c r="B301" s="141"/>
      <c r="C301" s="141"/>
      <c r="D301" s="141"/>
      <c r="E301" s="141"/>
      <c r="F301" s="141"/>
      <c r="G301" s="141"/>
      <c r="H301" s="141"/>
      <c r="I301" s="141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>
      <c r="A302" s="146"/>
      <c r="B302" s="141"/>
      <c r="C302" s="141"/>
      <c r="D302" s="141"/>
      <c r="E302" s="141"/>
      <c r="F302" s="141"/>
      <c r="G302" s="141"/>
      <c r="H302" s="141"/>
      <c r="I302" s="141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>
      <c r="A303" s="146"/>
      <c r="B303" s="141"/>
      <c r="C303" s="141"/>
      <c r="D303" s="141"/>
      <c r="E303" s="141"/>
      <c r="F303" s="141"/>
      <c r="G303" s="141"/>
      <c r="H303" s="141"/>
      <c r="I303" s="141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>
      <c r="A304" s="146"/>
      <c r="B304" s="141"/>
      <c r="C304" s="141"/>
      <c r="D304" s="141"/>
      <c r="E304" s="141"/>
      <c r="F304" s="141"/>
      <c r="G304" s="141"/>
      <c r="H304" s="141"/>
      <c r="I304" s="141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>
      <c r="A305" s="146"/>
      <c r="B305" s="141"/>
      <c r="C305" s="141"/>
      <c r="D305" s="141"/>
      <c r="E305" s="141"/>
      <c r="F305" s="141"/>
      <c r="G305" s="141"/>
      <c r="H305" s="141"/>
      <c r="I305" s="141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>
      <c r="A306" s="146"/>
      <c r="B306" s="141"/>
      <c r="C306" s="141"/>
      <c r="D306" s="141"/>
      <c r="E306" s="141"/>
      <c r="F306" s="141"/>
      <c r="G306" s="141"/>
      <c r="H306" s="141"/>
      <c r="I306" s="141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>
      <c r="A307" s="146"/>
      <c r="B307" s="141"/>
      <c r="C307" s="141"/>
      <c r="D307" s="141"/>
      <c r="E307" s="141"/>
      <c r="F307" s="141"/>
      <c r="G307" s="141"/>
      <c r="H307" s="141"/>
      <c r="I307" s="141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>
      <c r="A308" s="146"/>
      <c r="B308" s="141"/>
      <c r="C308" s="141"/>
      <c r="D308" s="141"/>
      <c r="E308" s="141"/>
      <c r="F308" s="141"/>
      <c r="G308" s="141"/>
      <c r="H308" s="141"/>
      <c r="I308" s="141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>
      <c r="A309" s="146"/>
      <c r="B309" s="141"/>
      <c r="C309" s="141"/>
      <c r="D309" s="141"/>
      <c r="E309" s="141"/>
      <c r="F309" s="141"/>
      <c r="G309" s="141"/>
      <c r="H309" s="141"/>
      <c r="I309" s="141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>
      <c r="A310" s="146"/>
      <c r="B310" s="141"/>
      <c r="C310" s="141"/>
      <c r="D310" s="141"/>
      <c r="E310" s="141"/>
      <c r="F310" s="141"/>
      <c r="G310" s="141"/>
      <c r="H310" s="141"/>
      <c r="I310" s="141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>
      <c r="A311" s="146"/>
      <c r="B311" s="141"/>
      <c r="C311" s="141"/>
      <c r="D311" s="141"/>
      <c r="E311" s="141"/>
      <c r="F311" s="141"/>
      <c r="G311" s="141"/>
      <c r="H311" s="141"/>
      <c r="I311" s="141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>
      <c r="A312" s="146"/>
      <c r="B312" s="141"/>
      <c r="C312" s="141"/>
      <c r="D312" s="141"/>
      <c r="E312" s="141"/>
      <c r="F312" s="141"/>
      <c r="G312" s="141"/>
      <c r="H312" s="141"/>
      <c r="I312" s="141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>
      <c r="A313" s="146"/>
      <c r="B313" s="141"/>
      <c r="C313" s="141"/>
      <c r="D313" s="141"/>
      <c r="E313" s="141"/>
      <c r="F313" s="141"/>
      <c r="G313" s="141"/>
      <c r="H313" s="141"/>
      <c r="I313" s="141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>
      <c r="A314" s="146"/>
      <c r="B314" s="141"/>
      <c r="C314" s="141"/>
      <c r="D314" s="141"/>
      <c r="E314" s="141"/>
      <c r="F314" s="141"/>
      <c r="G314" s="141"/>
      <c r="H314" s="141"/>
      <c r="I314" s="141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>
      <c r="A315" s="146"/>
      <c r="B315" s="141"/>
      <c r="C315" s="141"/>
      <c r="D315" s="141"/>
      <c r="E315" s="141"/>
      <c r="F315" s="141"/>
      <c r="G315" s="141"/>
      <c r="H315" s="141"/>
      <c r="I315" s="141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>
      <c r="A316" s="146"/>
      <c r="B316" s="141"/>
      <c r="C316" s="141"/>
      <c r="D316" s="141"/>
      <c r="E316" s="141"/>
      <c r="F316" s="141"/>
      <c r="G316" s="141"/>
      <c r="H316" s="141"/>
      <c r="I316" s="141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>
      <c r="A317" s="146"/>
      <c r="B317" s="141"/>
      <c r="C317" s="141"/>
      <c r="D317" s="141"/>
      <c r="E317" s="141"/>
      <c r="F317" s="141"/>
      <c r="G317" s="141"/>
      <c r="H317" s="141"/>
      <c r="I317" s="141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>
      <c r="A318" s="146"/>
      <c r="B318" s="141"/>
      <c r="C318" s="141"/>
      <c r="D318" s="141"/>
      <c r="E318" s="141"/>
      <c r="F318" s="141"/>
      <c r="G318" s="141"/>
      <c r="H318" s="141"/>
      <c r="I318" s="141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>
      <c r="A319" s="146"/>
      <c r="B319" s="141"/>
      <c r="C319" s="141"/>
      <c r="D319" s="141"/>
      <c r="E319" s="141"/>
      <c r="F319" s="141"/>
      <c r="G319" s="141"/>
      <c r="H319" s="141"/>
      <c r="I319" s="141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>
      <c r="A320" s="146"/>
      <c r="B320" s="141"/>
      <c r="C320" s="141"/>
      <c r="D320" s="141"/>
      <c r="E320" s="141"/>
      <c r="F320" s="141"/>
      <c r="G320" s="141"/>
      <c r="H320" s="141"/>
      <c r="I320" s="141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>
      <c r="A321" s="146"/>
      <c r="B321" s="141"/>
      <c r="C321" s="141"/>
      <c r="D321" s="141"/>
      <c r="E321" s="141"/>
      <c r="F321" s="141"/>
      <c r="G321" s="141"/>
      <c r="H321" s="141"/>
      <c r="I321" s="141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>
      <c r="A322" s="146"/>
      <c r="B322" s="141"/>
      <c r="C322" s="141"/>
      <c r="D322" s="141"/>
      <c r="E322" s="141"/>
      <c r="F322" s="141"/>
      <c r="G322" s="141"/>
      <c r="H322" s="141"/>
      <c r="I322" s="141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>
      <c r="A323" s="146"/>
      <c r="B323" s="141"/>
      <c r="C323" s="141"/>
      <c r="D323" s="141"/>
      <c r="E323" s="141"/>
      <c r="F323" s="141"/>
      <c r="G323" s="141"/>
      <c r="H323" s="141"/>
      <c r="I323" s="141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>
      <c r="A324" s="146"/>
      <c r="B324" s="141"/>
      <c r="C324" s="141"/>
      <c r="D324" s="141"/>
      <c r="E324" s="141"/>
      <c r="F324" s="141"/>
      <c r="G324" s="141"/>
      <c r="H324" s="141"/>
      <c r="I324" s="141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>
      <c r="A325" s="146"/>
      <c r="B325" s="141"/>
      <c r="C325" s="141"/>
      <c r="D325" s="141"/>
      <c r="E325" s="141"/>
      <c r="F325" s="141"/>
      <c r="G325" s="141"/>
      <c r="H325" s="141"/>
      <c r="I325" s="141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>
      <c r="A326" s="146"/>
      <c r="B326" s="141"/>
      <c r="C326" s="141"/>
      <c r="D326" s="141"/>
      <c r="E326" s="141"/>
      <c r="F326" s="141"/>
      <c r="G326" s="141"/>
      <c r="H326" s="141"/>
      <c r="I326" s="141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>
      <c r="A327" s="146"/>
      <c r="B327" s="141"/>
      <c r="C327" s="141"/>
      <c r="D327" s="141"/>
      <c r="E327" s="141"/>
      <c r="F327" s="141"/>
      <c r="G327" s="141"/>
      <c r="H327" s="141"/>
      <c r="I327" s="141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>
      <c r="A328" s="146"/>
      <c r="B328" s="141"/>
      <c r="C328" s="141"/>
      <c r="D328" s="141"/>
      <c r="E328" s="141"/>
      <c r="F328" s="141"/>
      <c r="G328" s="141"/>
      <c r="H328" s="141"/>
      <c r="I328" s="141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>
      <c r="A329" s="146"/>
      <c r="B329" s="141"/>
      <c r="C329" s="141"/>
      <c r="D329" s="141"/>
      <c r="E329" s="141"/>
      <c r="F329" s="141"/>
      <c r="G329" s="141"/>
      <c r="H329" s="141"/>
      <c r="I329" s="141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>
      <c r="A330" s="146"/>
      <c r="B330" s="141"/>
      <c r="C330" s="141"/>
      <c r="D330" s="141"/>
      <c r="E330" s="141"/>
      <c r="F330" s="141"/>
      <c r="G330" s="141"/>
      <c r="H330" s="141"/>
      <c r="I330" s="141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>
      <c r="A331" s="146"/>
      <c r="B331" s="141"/>
      <c r="C331" s="141"/>
      <c r="D331" s="141"/>
      <c r="E331" s="141"/>
      <c r="F331" s="141"/>
      <c r="G331" s="141"/>
      <c r="H331" s="141"/>
      <c r="I331" s="141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>
      <c r="A332" s="146"/>
      <c r="B332" s="141"/>
      <c r="C332" s="141"/>
      <c r="D332" s="141"/>
      <c r="E332" s="141"/>
      <c r="F332" s="141"/>
      <c r="G332" s="141"/>
      <c r="H332" s="141"/>
      <c r="I332" s="141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>
      <c r="A333" s="146"/>
      <c r="B333" s="141"/>
      <c r="C333" s="141"/>
      <c r="D333" s="141"/>
      <c r="E333" s="141"/>
      <c r="F333" s="141"/>
      <c r="G333" s="141"/>
      <c r="H333" s="141"/>
      <c r="I333" s="141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>
      <c r="A334" s="146"/>
      <c r="B334" s="141"/>
      <c r="C334" s="141"/>
      <c r="D334" s="141"/>
      <c r="E334" s="141"/>
      <c r="F334" s="141"/>
      <c r="G334" s="141"/>
      <c r="H334" s="141"/>
      <c r="I334" s="141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>
      <c r="A335" s="146"/>
      <c r="B335" s="141"/>
      <c r="C335" s="141"/>
      <c r="D335" s="141"/>
      <c r="E335" s="141"/>
      <c r="F335" s="141"/>
      <c r="G335" s="141"/>
      <c r="H335" s="141"/>
      <c r="I335" s="141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>
      <c r="A336" s="146"/>
      <c r="B336" s="141"/>
      <c r="C336" s="141"/>
      <c r="D336" s="141"/>
      <c r="E336" s="141"/>
      <c r="F336" s="141"/>
      <c r="G336" s="141"/>
      <c r="H336" s="141"/>
      <c r="I336" s="141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>
      <c r="A337" s="146"/>
      <c r="B337" s="141"/>
      <c r="C337" s="141"/>
      <c r="D337" s="141"/>
      <c r="E337" s="141"/>
      <c r="F337" s="141"/>
      <c r="G337" s="141"/>
      <c r="H337" s="141"/>
      <c r="I337" s="141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>
      <c r="A338" s="146"/>
      <c r="B338" s="141"/>
      <c r="C338" s="141"/>
      <c r="D338" s="141"/>
      <c r="E338" s="141"/>
      <c r="F338" s="141"/>
      <c r="G338" s="141"/>
      <c r="H338" s="141"/>
      <c r="I338" s="141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>
      <c r="A339" s="146"/>
      <c r="B339" s="141"/>
      <c r="C339" s="141"/>
      <c r="D339" s="141"/>
      <c r="E339" s="141"/>
      <c r="F339" s="141"/>
      <c r="G339" s="141"/>
      <c r="H339" s="141"/>
      <c r="I339" s="141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>
      <c r="A340" s="146"/>
      <c r="B340" s="141"/>
      <c r="C340" s="141"/>
      <c r="D340" s="141"/>
      <c r="E340" s="141"/>
      <c r="F340" s="141"/>
      <c r="G340" s="141"/>
      <c r="H340" s="141"/>
      <c r="I340" s="141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>
      <c r="A341" s="146"/>
      <c r="B341" s="141"/>
      <c r="C341" s="141"/>
      <c r="D341" s="141"/>
      <c r="E341" s="141"/>
      <c r="F341" s="141"/>
      <c r="G341" s="141"/>
      <c r="H341" s="141"/>
      <c r="I341" s="141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>
      <c r="A342" s="146"/>
      <c r="B342" s="141"/>
      <c r="C342" s="141"/>
      <c r="D342" s="141"/>
      <c r="E342" s="141"/>
      <c r="F342" s="141"/>
      <c r="G342" s="141"/>
      <c r="H342" s="141"/>
      <c r="I342" s="141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>
      <c r="A343" s="146"/>
      <c r="B343" s="141"/>
      <c r="C343" s="141"/>
      <c r="D343" s="141"/>
      <c r="E343" s="141"/>
      <c r="F343" s="141"/>
      <c r="G343" s="141"/>
      <c r="H343" s="141"/>
      <c r="I343" s="141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>
      <c r="A344" s="146"/>
      <c r="B344" s="141"/>
      <c r="C344" s="141"/>
      <c r="D344" s="141"/>
      <c r="E344" s="141"/>
      <c r="F344" s="141"/>
      <c r="G344" s="141"/>
      <c r="H344" s="141"/>
      <c r="I344" s="141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>
      <c r="A345" s="146"/>
      <c r="B345" s="141"/>
      <c r="C345" s="141"/>
      <c r="D345" s="141"/>
      <c r="E345" s="141"/>
      <c r="F345" s="141"/>
      <c r="G345" s="141"/>
      <c r="H345" s="141"/>
      <c r="I345" s="141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>
      <c r="A346" s="146"/>
      <c r="B346" s="141"/>
      <c r="C346" s="141"/>
      <c r="D346" s="141"/>
      <c r="E346" s="141"/>
      <c r="F346" s="141"/>
      <c r="G346" s="141"/>
      <c r="H346" s="141"/>
      <c r="I346" s="141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>
      <c r="A347" s="146"/>
      <c r="B347" s="141"/>
      <c r="C347" s="141"/>
      <c r="D347" s="141"/>
      <c r="E347" s="141"/>
      <c r="F347" s="141"/>
      <c r="G347" s="141"/>
      <c r="H347" s="141"/>
      <c r="I347" s="141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>
      <c r="A348" s="146"/>
      <c r="B348" s="141"/>
      <c r="C348" s="141"/>
      <c r="D348" s="141"/>
      <c r="E348" s="141"/>
      <c r="F348" s="141"/>
      <c r="G348" s="141"/>
      <c r="H348" s="141"/>
      <c r="I348" s="141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>
      <c r="A349" s="146"/>
      <c r="B349" s="141"/>
      <c r="C349" s="141"/>
      <c r="D349" s="141"/>
      <c r="E349" s="141"/>
      <c r="F349" s="141"/>
      <c r="G349" s="141"/>
      <c r="H349" s="141"/>
      <c r="I349" s="141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>
      <c r="A350" s="146"/>
      <c r="B350" s="141"/>
      <c r="C350" s="141"/>
      <c r="D350" s="141"/>
      <c r="E350" s="141"/>
      <c r="F350" s="141"/>
      <c r="G350" s="141"/>
      <c r="H350" s="141"/>
      <c r="I350" s="141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>
      <c r="A351" s="146"/>
      <c r="B351" s="141"/>
      <c r="C351" s="141"/>
      <c r="D351" s="141"/>
      <c r="E351" s="141"/>
      <c r="F351" s="141"/>
      <c r="G351" s="141"/>
      <c r="H351" s="141"/>
      <c r="I351" s="141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>
      <c r="A352" s="146"/>
      <c r="B352" s="141"/>
      <c r="C352" s="141"/>
      <c r="D352" s="141"/>
      <c r="E352" s="141"/>
      <c r="F352" s="141"/>
      <c r="G352" s="141"/>
      <c r="H352" s="141"/>
      <c r="I352" s="141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>
      <c r="A353" s="146"/>
      <c r="B353" s="141"/>
      <c r="C353" s="141"/>
      <c r="D353" s="141"/>
      <c r="E353" s="141"/>
      <c r="F353" s="141"/>
      <c r="G353" s="141"/>
      <c r="H353" s="141"/>
      <c r="I353" s="141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>
      <c r="A354" s="146"/>
      <c r="B354" s="141"/>
      <c r="C354" s="141"/>
      <c r="D354" s="141"/>
      <c r="E354" s="141"/>
      <c r="F354" s="141"/>
      <c r="G354" s="141"/>
      <c r="H354" s="141"/>
      <c r="I354" s="141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>
      <c r="A355" s="146"/>
      <c r="B355" s="141"/>
      <c r="C355" s="141"/>
      <c r="D355" s="141"/>
      <c r="E355" s="141"/>
      <c r="F355" s="141"/>
      <c r="G355" s="141"/>
      <c r="H355" s="141"/>
      <c r="I355" s="141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>
      <c r="A356" s="146"/>
      <c r="B356" s="141"/>
      <c r="C356" s="141"/>
      <c r="D356" s="141"/>
      <c r="E356" s="141"/>
      <c r="F356" s="141"/>
      <c r="G356" s="141"/>
      <c r="H356" s="141"/>
      <c r="I356" s="141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>
      <c r="A357" s="146"/>
      <c r="B357" s="141"/>
      <c r="C357" s="141"/>
      <c r="D357" s="141"/>
      <c r="E357" s="141"/>
      <c r="F357" s="141"/>
      <c r="G357" s="141"/>
      <c r="H357" s="141"/>
      <c r="I357" s="141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>
      <c r="A358" s="146"/>
      <c r="B358" s="141"/>
      <c r="C358" s="141"/>
      <c r="D358" s="141"/>
      <c r="E358" s="141"/>
      <c r="F358" s="141"/>
      <c r="G358" s="141"/>
      <c r="H358" s="141"/>
      <c r="I358" s="141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>
      <c r="A359" s="146"/>
      <c r="B359" s="141"/>
      <c r="C359" s="141"/>
      <c r="D359" s="141"/>
      <c r="E359" s="141"/>
      <c r="F359" s="141"/>
      <c r="G359" s="141"/>
      <c r="H359" s="141"/>
      <c r="I359" s="141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>
      <c r="A360" s="146"/>
      <c r="B360" s="141"/>
      <c r="C360" s="141"/>
      <c r="D360" s="141"/>
      <c r="E360" s="141"/>
      <c r="F360" s="141"/>
      <c r="G360" s="141"/>
      <c r="H360" s="141"/>
      <c r="I360" s="141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>
      <c r="A361" s="146"/>
      <c r="B361" s="141"/>
      <c r="C361" s="141"/>
      <c r="D361" s="141"/>
      <c r="E361" s="141"/>
      <c r="F361" s="141"/>
      <c r="G361" s="141"/>
      <c r="H361" s="141"/>
      <c r="I361" s="141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>
      <c r="A362" s="146"/>
      <c r="B362" s="141"/>
      <c r="C362" s="141"/>
      <c r="D362" s="141"/>
      <c r="E362" s="141"/>
      <c r="F362" s="141"/>
      <c r="G362" s="141"/>
      <c r="H362" s="141"/>
      <c r="I362" s="141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>
      <c r="A363" s="146"/>
      <c r="B363" s="141"/>
      <c r="C363" s="141"/>
      <c r="D363" s="141"/>
      <c r="E363" s="141"/>
      <c r="F363" s="141"/>
      <c r="G363" s="141"/>
      <c r="H363" s="141"/>
      <c r="I363" s="141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>
      <c r="A364" s="146"/>
      <c r="B364" s="141"/>
      <c r="C364" s="141"/>
      <c r="D364" s="141"/>
      <c r="E364" s="141"/>
      <c r="F364" s="141"/>
      <c r="G364" s="141"/>
      <c r="H364" s="141"/>
      <c r="I364" s="141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>
      <c r="A365" s="146"/>
      <c r="B365" s="141"/>
      <c r="C365" s="141"/>
      <c r="D365" s="141"/>
      <c r="E365" s="141"/>
      <c r="F365" s="141"/>
      <c r="G365" s="141"/>
      <c r="H365" s="141"/>
      <c r="I365" s="141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>
      <c r="A366" s="146"/>
      <c r="B366" s="141"/>
      <c r="C366" s="141"/>
      <c r="D366" s="141"/>
      <c r="E366" s="141"/>
      <c r="F366" s="141"/>
      <c r="G366" s="141"/>
      <c r="H366" s="141"/>
      <c r="I366" s="141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>
      <c r="A367" s="146"/>
      <c r="B367" s="141"/>
      <c r="C367" s="141"/>
      <c r="D367" s="141"/>
      <c r="E367" s="141"/>
      <c r="F367" s="141"/>
      <c r="G367" s="141"/>
      <c r="H367" s="141"/>
      <c r="I367" s="141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>
      <c r="A368" s="146"/>
      <c r="B368" s="141"/>
      <c r="C368" s="141"/>
      <c r="D368" s="141"/>
      <c r="E368" s="141"/>
      <c r="F368" s="141"/>
      <c r="G368" s="141"/>
      <c r="H368" s="141"/>
      <c r="I368" s="141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>
      <c r="A369" s="146"/>
      <c r="B369" s="141"/>
      <c r="C369" s="141"/>
      <c r="D369" s="141"/>
      <c r="E369" s="141"/>
      <c r="F369" s="141"/>
      <c r="G369" s="141"/>
      <c r="H369" s="141"/>
      <c r="I369" s="141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>
      <c r="A370" s="146"/>
      <c r="B370" s="141"/>
      <c r="C370" s="141"/>
      <c r="D370" s="141"/>
      <c r="E370" s="141"/>
      <c r="F370" s="141"/>
      <c r="G370" s="141"/>
      <c r="H370" s="141"/>
      <c r="I370" s="141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>
      <c r="A371" s="146"/>
      <c r="B371" s="141"/>
      <c r="C371" s="141"/>
      <c r="D371" s="141"/>
      <c r="E371" s="141"/>
      <c r="F371" s="141"/>
      <c r="G371" s="141"/>
      <c r="H371" s="141"/>
      <c r="I371" s="141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>
      <c r="A372" s="146"/>
      <c r="B372" s="141"/>
      <c r="C372" s="141"/>
      <c r="D372" s="141"/>
      <c r="E372" s="141"/>
      <c r="F372" s="141"/>
      <c r="G372" s="141"/>
      <c r="H372" s="141"/>
      <c r="I372" s="141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>
      <c r="A373" s="146"/>
      <c r="B373" s="141"/>
      <c r="C373" s="141"/>
      <c r="D373" s="141"/>
      <c r="E373" s="141"/>
      <c r="F373" s="141"/>
      <c r="G373" s="141"/>
      <c r="H373" s="141"/>
      <c r="I373" s="141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>
      <c r="A374" s="146"/>
      <c r="B374" s="141"/>
      <c r="C374" s="141"/>
      <c r="D374" s="141"/>
      <c r="E374" s="141"/>
      <c r="F374" s="141"/>
      <c r="G374" s="141"/>
      <c r="H374" s="141"/>
      <c r="I374" s="141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>
      <c r="A375" s="146"/>
      <c r="B375" s="141"/>
      <c r="C375" s="141"/>
      <c r="D375" s="141"/>
      <c r="E375" s="141"/>
      <c r="F375" s="141"/>
      <c r="G375" s="141"/>
      <c r="H375" s="141"/>
      <c r="I375" s="141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>
      <c r="A376" s="146"/>
      <c r="B376" s="141"/>
      <c r="C376" s="141"/>
      <c r="D376" s="141"/>
      <c r="E376" s="141"/>
      <c r="F376" s="141"/>
      <c r="G376" s="141"/>
      <c r="H376" s="141"/>
      <c r="I376" s="141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>
      <c r="A377" s="146"/>
      <c r="B377" s="141"/>
      <c r="C377" s="141"/>
      <c r="D377" s="141"/>
      <c r="E377" s="141"/>
      <c r="F377" s="141"/>
      <c r="G377" s="141"/>
      <c r="H377" s="141"/>
      <c r="I377" s="141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>
      <c r="A378" s="146"/>
      <c r="B378" s="141"/>
      <c r="C378" s="141"/>
      <c r="D378" s="141"/>
      <c r="E378" s="141"/>
      <c r="F378" s="141"/>
      <c r="G378" s="141"/>
      <c r="H378" s="141"/>
      <c r="I378" s="141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>
      <c r="A379" s="146"/>
      <c r="B379" s="141"/>
      <c r="C379" s="141"/>
      <c r="D379" s="141"/>
      <c r="E379" s="141"/>
      <c r="F379" s="141"/>
      <c r="G379" s="141"/>
      <c r="H379" s="141"/>
      <c r="I379" s="141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>
      <c r="A380" s="146"/>
      <c r="B380" s="141"/>
      <c r="C380" s="141"/>
      <c r="D380" s="141"/>
      <c r="E380" s="141"/>
      <c r="F380" s="141"/>
      <c r="G380" s="141"/>
      <c r="H380" s="141"/>
      <c r="I380" s="141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>
      <c r="A381" s="146"/>
      <c r="B381" s="141"/>
      <c r="C381" s="141"/>
      <c r="D381" s="141"/>
      <c r="E381" s="141"/>
      <c r="F381" s="141"/>
      <c r="G381" s="141"/>
      <c r="H381" s="141"/>
      <c r="I381" s="141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>
      <c r="A382" s="146"/>
      <c r="B382" s="141"/>
      <c r="C382" s="141"/>
      <c r="D382" s="141"/>
      <c r="E382" s="141"/>
      <c r="F382" s="141"/>
      <c r="G382" s="141"/>
      <c r="H382" s="141"/>
      <c r="I382" s="141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>
      <c r="A383" s="146"/>
      <c r="B383" s="141"/>
      <c r="C383" s="141"/>
      <c r="D383" s="141"/>
      <c r="E383" s="141"/>
      <c r="F383" s="141"/>
      <c r="G383" s="141"/>
      <c r="H383" s="141"/>
      <c r="I383" s="141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>
      <c r="A384" s="146"/>
      <c r="B384" s="141"/>
      <c r="C384" s="141"/>
      <c r="D384" s="141"/>
      <c r="E384" s="141"/>
      <c r="F384" s="141"/>
      <c r="G384" s="141"/>
      <c r="H384" s="141"/>
      <c r="I384" s="141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>
      <c r="A385" s="146"/>
      <c r="B385" s="141"/>
      <c r="C385" s="141"/>
      <c r="D385" s="141"/>
      <c r="E385" s="141"/>
      <c r="F385" s="141"/>
      <c r="G385" s="141"/>
      <c r="H385" s="141"/>
      <c r="I385" s="141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>
      <c r="A386" s="146"/>
      <c r="B386" s="141"/>
      <c r="C386" s="141"/>
      <c r="D386" s="141"/>
      <c r="E386" s="141"/>
      <c r="F386" s="141"/>
      <c r="G386" s="141"/>
      <c r="H386" s="141"/>
      <c r="I386" s="141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>
      <c r="A387" s="146"/>
      <c r="B387" s="141"/>
      <c r="C387" s="141"/>
      <c r="D387" s="141"/>
      <c r="E387" s="141"/>
      <c r="F387" s="141"/>
      <c r="G387" s="141"/>
      <c r="H387" s="141"/>
      <c r="I387" s="141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>
      <c r="A388" s="146"/>
      <c r="B388" s="141"/>
      <c r="C388" s="141"/>
      <c r="D388" s="141"/>
      <c r="E388" s="141"/>
      <c r="F388" s="141"/>
      <c r="G388" s="141"/>
      <c r="H388" s="141"/>
      <c r="I388" s="141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>
      <c r="A389" s="146"/>
      <c r="B389" s="141"/>
      <c r="C389" s="141"/>
      <c r="D389" s="141"/>
      <c r="E389" s="141"/>
      <c r="F389" s="141"/>
      <c r="G389" s="141"/>
      <c r="H389" s="141"/>
      <c r="I389" s="141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>
      <c r="A390" s="146"/>
      <c r="B390" s="141"/>
      <c r="C390" s="141"/>
      <c r="D390" s="141"/>
      <c r="E390" s="141"/>
      <c r="F390" s="141"/>
      <c r="G390" s="141"/>
      <c r="H390" s="141"/>
      <c r="I390" s="141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>
      <c r="A391" s="146"/>
      <c r="B391" s="141"/>
      <c r="C391" s="141"/>
      <c r="D391" s="141"/>
      <c r="E391" s="141"/>
      <c r="F391" s="141"/>
      <c r="G391" s="141"/>
      <c r="H391" s="141"/>
      <c r="I391" s="141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>
      <c r="A392" s="146"/>
      <c r="B392" s="141"/>
      <c r="C392" s="141"/>
      <c r="D392" s="141"/>
      <c r="E392" s="141"/>
      <c r="F392" s="141"/>
      <c r="G392" s="141"/>
      <c r="H392" s="141"/>
      <c r="I392" s="141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>
      <c r="A393" s="146"/>
      <c r="B393" s="141"/>
      <c r="C393" s="141"/>
      <c r="D393" s="141"/>
      <c r="E393" s="141"/>
      <c r="F393" s="141"/>
      <c r="G393" s="141"/>
      <c r="H393" s="141"/>
      <c r="I393" s="141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>
      <c r="A394" s="146"/>
      <c r="B394" s="141"/>
      <c r="C394" s="141"/>
      <c r="D394" s="141"/>
      <c r="E394" s="141"/>
      <c r="F394" s="141"/>
      <c r="G394" s="141"/>
      <c r="H394" s="141"/>
      <c r="I394" s="141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>
      <c r="A395" s="146"/>
      <c r="B395" s="141"/>
      <c r="C395" s="141"/>
      <c r="D395" s="141"/>
      <c r="E395" s="141"/>
      <c r="F395" s="141"/>
      <c r="G395" s="141"/>
      <c r="H395" s="141"/>
      <c r="I395" s="141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>
      <c r="A396" s="146"/>
      <c r="B396" s="141"/>
      <c r="C396" s="141"/>
      <c r="D396" s="141"/>
      <c r="E396" s="141"/>
      <c r="F396" s="141"/>
      <c r="G396" s="141"/>
      <c r="H396" s="141"/>
      <c r="I396" s="141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>
      <c r="A397" s="146"/>
      <c r="B397" s="141"/>
      <c r="C397" s="141"/>
      <c r="D397" s="141"/>
      <c r="E397" s="141"/>
      <c r="F397" s="141"/>
      <c r="G397" s="141"/>
      <c r="H397" s="141"/>
      <c r="I397" s="141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>
      <c r="A398" s="146"/>
      <c r="B398" s="141"/>
      <c r="C398" s="141"/>
      <c r="D398" s="141"/>
      <c r="E398" s="141"/>
      <c r="F398" s="141"/>
      <c r="G398" s="141"/>
      <c r="H398" s="141"/>
      <c r="I398" s="141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>
      <c r="A399" s="146"/>
      <c r="B399" s="141"/>
      <c r="C399" s="141"/>
      <c r="D399" s="141"/>
      <c r="E399" s="141"/>
      <c r="F399" s="141"/>
      <c r="G399" s="141"/>
      <c r="H399" s="141"/>
      <c r="I399" s="141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>
      <c r="A400" s="146"/>
      <c r="B400" s="141"/>
      <c r="C400" s="141"/>
      <c r="D400" s="141"/>
      <c r="E400" s="141"/>
      <c r="F400" s="141"/>
      <c r="G400" s="141"/>
      <c r="H400" s="141"/>
      <c r="I400" s="141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>
      <c r="A401" s="146"/>
      <c r="B401" s="141"/>
      <c r="C401" s="141"/>
      <c r="D401" s="141"/>
      <c r="E401" s="141"/>
      <c r="F401" s="141"/>
      <c r="G401" s="141"/>
      <c r="H401" s="141"/>
      <c r="I401" s="141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>
      <c r="A402" s="146"/>
      <c r="B402" s="141"/>
      <c r="C402" s="141"/>
      <c r="D402" s="141"/>
      <c r="E402" s="141"/>
      <c r="F402" s="141"/>
      <c r="G402" s="141"/>
      <c r="H402" s="141"/>
      <c r="I402" s="141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>
      <c r="A403" s="146"/>
      <c r="B403" s="141"/>
      <c r="C403" s="141"/>
      <c r="D403" s="141"/>
      <c r="E403" s="141"/>
      <c r="F403" s="141"/>
      <c r="G403" s="141"/>
      <c r="H403" s="141"/>
      <c r="I403" s="141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>
      <c r="A404" s="146"/>
      <c r="B404" s="141"/>
      <c r="C404" s="141"/>
      <c r="D404" s="141"/>
      <c r="E404" s="141"/>
      <c r="F404" s="141"/>
      <c r="G404" s="141"/>
      <c r="H404" s="141"/>
      <c r="I404" s="141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>
      <c r="A405" s="146"/>
      <c r="B405" s="141"/>
      <c r="C405" s="141"/>
      <c r="D405" s="141"/>
      <c r="E405" s="141"/>
      <c r="F405" s="141"/>
      <c r="G405" s="141"/>
      <c r="H405" s="141"/>
      <c r="I405" s="141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>
      <c r="A406" s="146"/>
      <c r="B406" s="141"/>
      <c r="C406" s="141"/>
      <c r="D406" s="141"/>
      <c r="E406" s="141"/>
      <c r="F406" s="141"/>
      <c r="G406" s="141"/>
      <c r="H406" s="141"/>
      <c r="I406" s="141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>
      <c r="A407" s="146"/>
      <c r="B407" s="141"/>
      <c r="C407" s="141"/>
      <c r="D407" s="141"/>
      <c r="E407" s="141"/>
      <c r="F407" s="141"/>
      <c r="G407" s="141"/>
      <c r="H407" s="141"/>
      <c r="I407" s="141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>
      <c r="A408" s="146"/>
      <c r="B408" s="141"/>
      <c r="C408" s="141"/>
      <c r="D408" s="141"/>
      <c r="E408" s="141"/>
      <c r="F408" s="141"/>
      <c r="G408" s="141"/>
      <c r="H408" s="141"/>
      <c r="I408" s="141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>
      <c r="A409" s="146"/>
      <c r="B409" s="141"/>
      <c r="C409" s="141"/>
      <c r="D409" s="141"/>
      <c r="E409" s="141"/>
      <c r="F409" s="141"/>
      <c r="G409" s="141"/>
      <c r="H409" s="141"/>
      <c r="I409" s="141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>
      <c r="A410" s="146"/>
      <c r="B410" s="141"/>
      <c r="C410" s="141"/>
      <c r="D410" s="141"/>
      <c r="E410" s="141"/>
      <c r="F410" s="141"/>
      <c r="G410" s="141"/>
      <c r="H410" s="141"/>
      <c r="I410" s="141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>
      <c r="A411" s="146"/>
      <c r="B411" s="141"/>
      <c r="C411" s="141"/>
      <c r="D411" s="141"/>
      <c r="E411" s="141"/>
      <c r="F411" s="141"/>
      <c r="G411" s="141"/>
      <c r="H411" s="141"/>
      <c r="I411" s="141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>
      <c r="A412" s="146"/>
      <c r="B412" s="141"/>
      <c r="C412" s="141"/>
      <c r="D412" s="141"/>
      <c r="E412" s="141"/>
      <c r="F412" s="141"/>
      <c r="G412" s="141"/>
      <c r="H412" s="141"/>
      <c r="I412" s="141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>
      <c r="A413" s="146"/>
      <c r="B413" s="141"/>
      <c r="C413" s="141"/>
      <c r="D413" s="141"/>
      <c r="E413" s="141"/>
      <c r="F413" s="141"/>
      <c r="G413" s="141"/>
      <c r="H413" s="141"/>
      <c r="I413" s="141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>
      <c r="A414" s="146"/>
      <c r="B414" s="141"/>
      <c r="C414" s="141"/>
      <c r="D414" s="141"/>
      <c r="E414" s="141"/>
      <c r="F414" s="141"/>
      <c r="G414" s="141"/>
      <c r="H414" s="141"/>
      <c r="I414" s="141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>
      <c r="A415" s="146"/>
      <c r="B415" s="141"/>
      <c r="C415" s="141"/>
      <c r="D415" s="141"/>
      <c r="E415" s="141"/>
      <c r="F415" s="141"/>
      <c r="G415" s="141"/>
      <c r="H415" s="141"/>
      <c r="I415" s="141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>
      <c r="A416" s="146"/>
      <c r="B416" s="141"/>
      <c r="C416" s="141"/>
      <c r="D416" s="141"/>
      <c r="E416" s="141"/>
      <c r="F416" s="141"/>
      <c r="G416" s="141"/>
      <c r="H416" s="141"/>
      <c r="I416" s="141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>
      <c r="A417" s="146"/>
      <c r="B417" s="141"/>
      <c r="C417" s="141"/>
      <c r="D417" s="141"/>
      <c r="E417" s="141"/>
      <c r="F417" s="141"/>
      <c r="G417" s="141"/>
      <c r="H417" s="141"/>
      <c r="I417" s="141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>
      <c r="A418" s="146"/>
      <c r="B418" s="141"/>
      <c r="C418" s="141"/>
      <c r="D418" s="141"/>
      <c r="E418" s="141"/>
      <c r="F418" s="141"/>
      <c r="G418" s="141"/>
      <c r="H418" s="141"/>
      <c r="I418" s="141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>
      <c r="A419" s="146"/>
      <c r="B419" s="141"/>
      <c r="C419" s="141"/>
      <c r="D419" s="141"/>
      <c r="E419" s="141"/>
      <c r="F419" s="141"/>
      <c r="G419" s="141"/>
      <c r="H419" s="141"/>
      <c r="I419" s="141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>
      <c r="A420" s="146"/>
      <c r="B420" s="141"/>
      <c r="C420" s="141"/>
      <c r="D420" s="141"/>
      <c r="E420" s="141"/>
      <c r="F420" s="141"/>
      <c r="G420" s="141"/>
      <c r="H420" s="141"/>
      <c r="I420" s="141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>
      <c r="A421" s="146"/>
      <c r="B421" s="141"/>
      <c r="C421" s="141"/>
      <c r="D421" s="141"/>
      <c r="E421" s="141"/>
      <c r="F421" s="141"/>
      <c r="G421" s="141"/>
      <c r="H421" s="141"/>
      <c r="I421" s="141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>
      <c r="A422" s="146"/>
      <c r="B422" s="141"/>
      <c r="C422" s="141"/>
      <c r="D422" s="141"/>
      <c r="E422" s="141"/>
      <c r="F422" s="141"/>
      <c r="G422" s="141"/>
      <c r="H422" s="141"/>
      <c r="I422" s="141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>
      <c r="A423" s="146"/>
      <c r="B423" s="141"/>
      <c r="C423" s="141"/>
      <c r="D423" s="141"/>
      <c r="E423" s="141"/>
      <c r="F423" s="141"/>
      <c r="G423" s="141"/>
      <c r="H423" s="141"/>
      <c r="I423" s="141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>
      <c r="A424" s="146"/>
      <c r="B424" s="141"/>
      <c r="C424" s="141"/>
      <c r="D424" s="141"/>
      <c r="E424" s="141"/>
      <c r="F424" s="141"/>
      <c r="G424" s="141"/>
      <c r="H424" s="141"/>
      <c r="I424" s="141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>
      <c r="A425" s="146"/>
      <c r="B425" s="141"/>
      <c r="C425" s="141"/>
      <c r="D425" s="141"/>
      <c r="E425" s="141"/>
      <c r="F425" s="141"/>
      <c r="G425" s="141"/>
      <c r="H425" s="141"/>
      <c r="I425" s="141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>
      <c r="A426" s="146"/>
      <c r="B426" s="141"/>
      <c r="C426" s="141"/>
      <c r="D426" s="141"/>
      <c r="E426" s="141"/>
      <c r="F426" s="141"/>
      <c r="G426" s="141"/>
      <c r="H426" s="141"/>
      <c r="I426" s="141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>
      <c r="A427" s="146"/>
      <c r="B427" s="141"/>
      <c r="C427" s="141"/>
      <c r="D427" s="141"/>
      <c r="E427" s="141"/>
      <c r="F427" s="141"/>
      <c r="G427" s="141"/>
      <c r="H427" s="141"/>
      <c r="I427" s="141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>
      <c r="A428" s="146"/>
      <c r="B428" s="141"/>
      <c r="C428" s="141"/>
      <c r="D428" s="141"/>
      <c r="E428" s="141"/>
      <c r="F428" s="141"/>
      <c r="G428" s="141"/>
      <c r="H428" s="141"/>
      <c r="I428" s="141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>
      <c r="A429" s="146"/>
      <c r="B429" s="141"/>
      <c r="C429" s="141"/>
      <c r="D429" s="141"/>
      <c r="E429" s="141"/>
      <c r="F429" s="141"/>
      <c r="G429" s="141"/>
      <c r="H429" s="141"/>
      <c r="I429" s="141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>
      <c r="A430" s="146"/>
      <c r="B430" s="141"/>
      <c r="C430" s="141"/>
      <c r="D430" s="141"/>
      <c r="E430" s="141"/>
      <c r="F430" s="141"/>
      <c r="G430" s="141"/>
      <c r="H430" s="141"/>
      <c r="I430" s="141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>
      <c r="A431" s="146"/>
      <c r="B431" s="141"/>
      <c r="C431" s="141"/>
      <c r="D431" s="141"/>
      <c r="E431" s="141"/>
      <c r="F431" s="141"/>
      <c r="G431" s="141"/>
      <c r="H431" s="141"/>
      <c r="I431" s="141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>
      <c r="A432" s="146"/>
      <c r="B432" s="141"/>
      <c r="C432" s="141"/>
      <c r="D432" s="141"/>
      <c r="E432" s="141"/>
      <c r="F432" s="141"/>
      <c r="G432" s="141"/>
      <c r="H432" s="141"/>
      <c r="I432" s="141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>
      <c r="A433" s="146"/>
      <c r="B433" s="141"/>
      <c r="C433" s="141"/>
      <c r="D433" s="141"/>
      <c r="E433" s="141"/>
      <c r="F433" s="141"/>
      <c r="G433" s="141"/>
      <c r="H433" s="141"/>
      <c r="I433" s="141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>
      <c r="A434" s="146"/>
      <c r="B434" s="141"/>
      <c r="C434" s="141"/>
      <c r="D434" s="141"/>
      <c r="E434" s="141"/>
      <c r="F434" s="141"/>
      <c r="G434" s="141"/>
      <c r="H434" s="141"/>
      <c r="I434" s="141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>
      <c r="A435" s="146"/>
      <c r="B435" s="141"/>
      <c r="C435" s="141"/>
      <c r="D435" s="141"/>
      <c r="E435" s="141"/>
      <c r="F435" s="141"/>
      <c r="G435" s="141"/>
      <c r="H435" s="141"/>
      <c r="I435" s="141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>
      <c r="A436" s="146"/>
      <c r="B436" s="141"/>
      <c r="C436" s="141"/>
      <c r="D436" s="141"/>
      <c r="E436" s="141"/>
      <c r="F436" s="141"/>
      <c r="G436" s="141"/>
      <c r="H436" s="141"/>
      <c r="I436" s="141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>
      <c r="A437" s="146"/>
      <c r="B437" s="141"/>
      <c r="C437" s="141"/>
      <c r="D437" s="141"/>
      <c r="E437" s="141"/>
      <c r="F437" s="141"/>
      <c r="G437" s="141"/>
      <c r="H437" s="141"/>
      <c r="I437" s="141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>
      <c r="A438" s="146"/>
      <c r="B438" s="141"/>
      <c r="C438" s="141"/>
      <c r="D438" s="141"/>
      <c r="E438" s="141"/>
      <c r="F438" s="141"/>
      <c r="G438" s="141"/>
      <c r="H438" s="141"/>
      <c r="I438" s="141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>
      <c r="A439" s="146"/>
      <c r="B439" s="141"/>
      <c r="C439" s="141"/>
      <c r="D439" s="141"/>
      <c r="E439" s="141"/>
      <c r="F439" s="141"/>
      <c r="G439" s="141"/>
      <c r="H439" s="141"/>
      <c r="I439" s="141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>
      <c r="A440" s="146"/>
      <c r="B440" s="141"/>
      <c r="C440" s="141"/>
      <c r="D440" s="141"/>
      <c r="E440" s="141"/>
      <c r="F440" s="141"/>
      <c r="G440" s="141"/>
      <c r="H440" s="141"/>
      <c r="I440" s="141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>
      <c r="A441" s="146"/>
      <c r="B441" s="141"/>
      <c r="C441" s="141"/>
      <c r="D441" s="141"/>
      <c r="E441" s="141"/>
      <c r="F441" s="141"/>
      <c r="G441" s="141"/>
      <c r="H441" s="141"/>
      <c r="I441" s="141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>
      <c r="A442" s="146"/>
      <c r="B442" s="141"/>
      <c r="C442" s="141"/>
      <c r="D442" s="141"/>
      <c r="E442" s="141"/>
      <c r="F442" s="141"/>
      <c r="G442" s="141"/>
      <c r="H442" s="141"/>
      <c r="I442" s="141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>
      <c r="A443" s="146"/>
      <c r="B443" s="141"/>
      <c r="C443" s="141"/>
      <c r="D443" s="141"/>
      <c r="E443" s="141"/>
      <c r="F443" s="141"/>
      <c r="G443" s="141"/>
      <c r="H443" s="141"/>
      <c r="I443" s="141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>
      <c r="A444" s="146"/>
      <c r="B444" s="141"/>
      <c r="C444" s="141"/>
      <c r="D444" s="141"/>
      <c r="E444" s="141"/>
      <c r="F444" s="141"/>
      <c r="G444" s="141"/>
      <c r="H444" s="141"/>
      <c r="I444" s="141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>
      <c r="A445" s="146"/>
      <c r="B445" s="141"/>
      <c r="C445" s="141"/>
      <c r="D445" s="141"/>
      <c r="E445" s="141"/>
      <c r="F445" s="141"/>
      <c r="G445" s="141"/>
      <c r="H445" s="141"/>
      <c r="I445" s="141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>
      <c r="A446" s="146"/>
      <c r="B446" s="141"/>
      <c r="C446" s="141"/>
      <c r="D446" s="141"/>
      <c r="E446" s="141"/>
      <c r="F446" s="141"/>
      <c r="G446" s="141"/>
      <c r="H446" s="141"/>
      <c r="I446" s="141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>
      <c r="A447" s="146"/>
      <c r="B447" s="141"/>
      <c r="C447" s="141"/>
      <c r="D447" s="141"/>
      <c r="E447" s="141"/>
      <c r="F447" s="141"/>
      <c r="G447" s="141"/>
      <c r="H447" s="141"/>
      <c r="I447" s="141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>
      <c r="A448" s="146"/>
      <c r="B448" s="141"/>
      <c r="C448" s="141"/>
      <c r="D448" s="141"/>
      <c r="E448" s="141"/>
      <c r="F448" s="141"/>
      <c r="G448" s="141"/>
      <c r="H448" s="141"/>
      <c r="I448" s="141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>
      <c r="A449" s="146"/>
      <c r="B449" s="141"/>
      <c r="C449" s="141"/>
      <c r="D449" s="141"/>
      <c r="E449" s="141"/>
      <c r="F449" s="141"/>
      <c r="G449" s="141"/>
      <c r="H449" s="141"/>
      <c r="I449" s="141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>
      <c r="A450" s="146"/>
      <c r="B450" s="141"/>
      <c r="C450" s="141"/>
      <c r="D450" s="141"/>
      <c r="E450" s="141"/>
      <c r="F450" s="141"/>
      <c r="G450" s="141"/>
      <c r="H450" s="141"/>
      <c r="I450" s="141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>
      <c r="A451" s="146"/>
      <c r="B451" s="141"/>
      <c r="C451" s="141"/>
      <c r="D451" s="141"/>
      <c r="E451" s="141"/>
      <c r="F451" s="141"/>
      <c r="G451" s="141"/>
      <c r="H451" s="141"/>
      <c r="I451" s="141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>
      <c r="A452" s="146"/>
      <c r="B452" s="141"/>
      <c r="C452" s="141"/>
      <c r="D452" s="141"/>
      <c r="E452" s="141"/>
      <c r="F452" s="141"/>
      <c r="G452" s="141"/>
      <c r="H452" s="141"/>
      <c r="I452" s="141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>
      <c r="A453" s="146"/>
      <c r="B453" s="141"/>
      <c r="C453" s="141"/>
      <c r="D453" s="141"/>
      <c r="E453" s="141"/>
      <c r="F453" s="141"/>
      <c r="G453" s="141"/>
      <c r="H453" s="141"/>
      <c r="I453" s="141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>
      <c r="A454" s="146"/>
      <c r="B454" s="141"/>
      <c r="C454" s="141"/>
      <c r="D454" s="141"/>
      <c r="E454" s="141"/>
      <c r="F454" s="141"/>
      <c r="G454" s="141"/>
      <c r="H454" s="141"/>
      <c r="I454" s="141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>
      <c r="A455" s="146"/>
      <c r="B455" s="141"/>
      <c r="C455" s="141"/>
      <c r="D455" s="141"/>
      <c r="E455" s="141"/>
      <c r="F455" s="141"/>
      <c r="G455" s="141"/>
      <c r="H455" s="141"/>
      <c r="I455" s="141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>
      <c r="A456" s="146"/>
      <c r="B456" s="141"/>
      <c r="C456" s="141"/>
      <c r="D456" s="141"/>
      <c r="E456" s="141"/>
      <c r="F456" s="141"/>
      <c r="G456" s="141"/>
      <c r="H456" s="141"/>
      <c r="I456" s="141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>
      <c r="A457" s="146"/>
      <c r="B457" s="141"/>
      <c r="C457" s="141"/>
      <c r="D457" s="141"/>
      <c r="E457" s="141"/>
      <c r="F457" s="141"/>
      <c r="G457" s="141"/>
      <c r="H457" s="141"/>
      <c r="I457" s="141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>
      <c r="A458" s="146"/>
      <c r="B458" s="141"/>
      <c r="C458" s="141"/>
      <c r="D458" s="141"/>
      <c r="E458" s="141"/>
      <c r="F458" s="141"/>
      <c r="G458" s="141"/>
      <c r="H458" s="141"/>
      <c r="I458" s="141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>
      <c r="A459" s="146"/>
      <c r="B459" s="141"/>
      <c r="C459" s="141"/>
      <c r="D459" s="141"/>
      <c r="E459" s="141"/>
      <c r="F459" s="141"/>
      <c r="G459" s="141"/>
      <c r="H459" s="141"/>
      <c r="I459" s="141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>
      <c r="A460" s="146"/>
      <c r="B460" s="141"/>
      <c r="C460" s="141"/>
      <c r="D460" s="141"/>
      <c r="E460" s="141"/>
      <c r="F460" s="141"/>
      <c r="G460" s="141"/>
      <c r="H460" s="141"/>
      <c r="I460" s="141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>
      <c r="A461" s="146"/>
      <c r="B461" s="141"/>
      <c r="C461" s="141"/>
      <c r="D461" s="141"/>
      <c r="E461" s="141"/>
      <c r="F461" s="141"/>
      <c r="G461" s="141"/>
      <c r="H461" s="141"/>
      <c r="I461" s="141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>
      <c r="A462" s="146"/>
      <c r="B462" s="141"/>
      <c r="C462" s="141"/>
      <c r="D462" s="141"/>
      <c r="E462" s="141"/>
      <c r="F462" s="141"/>
      <c r="G462" s="141"/>
      <c r="H462" s="141"/>
      <c r="I462" s="141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>
      <c r="A463" s="146"/>
      <c r="B463" s="141"/>
      <c r="C463" s="141"/>
      <c r="D463" s="141"/>
      <c r="E463" s="141"/>
      <c r="F463" s="141"/>
      <c r="G463" s="141"/>
      <c r="H463" s="141"/>
      <c r="I463" s="141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>
      <c r="A464" s="146"/>
      <c r="B464" s="141"/>
      <c r="C464" s="141"/>
      <c r="D464" s="141"/>
      <c r="E464" s="141"/>
      <c r="F464" s="141"/>
      <c r="G464" s="141"/>
      <c r="H464" s="141"/>
      <c r="I464" s="141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>
      <c r="A465" s="146"/>
      <c r="B465" s="141"/>
      <c r="C465" s="141"/>
      <c r="D465" s="141"/>
      <c r="E465" s="141"/>
      <c r="F465" s="141"/>
      <c r="G465" s="141"/>
      <c r="H465" s="141"/>
      <c r="I465" s="141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>
      <c r="A466" s="146"/>
      <c r="B466" s="141"/>
      <c r="C466" s="141"/>
      <c r="D466" s="141"/>
      <c r="E466" s="141"/>
      <c r="F466" s="141"/>
      <c r="G466" s="141"/>
      <c r="H466" s="141"/>
      <c r="I466" s="141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>
      <c r="A467" s="146"/>
      <c r="B467" s="141"/>
      <c r="C467" s="141"/>
      <c r="D467" s="141"/>
      <c r="E467" s="141"/>
      <c r="F467" s="141"/>
      <c r="G467" s="141"/>
      <c r="H467" s="141"/>
      <c r="I467" s="141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>
      <c r="A468" s="146"/>
      <c r="B468" s="141"/>
      <c r="C468" s="141"/>
      <c r="D468" s="141"/>
      <c r="E468" s="141"/>
      <c r="F468" s="141"/>
      <c r="G468" s="141"/>
      <c r="H468" s="141"/>
      <c r="I468" s="141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>
      <c r="A469" s="146"/>
      <c r="B469" s="141"/>
      <c r="C469" s="141"/>
      <c r="D469" s="141"/>
      <c r="E469" s="141"/>
      <c r="F469" s="141"/>
      <c r="G469" s="141"/>
      <c r="H469" s="141"/>
      <c r="I469" s="141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>
      <c r="A470" s="146"/>
      <c r="B470" s="141"/>
      <c r="C470" s="141"/>
      <c r="D470" s="141"/>
      <c r="E470" s="141"/>
      <c r="F470" s="141"/>
      <c r="G470" s="141"/>
      <c r="H470" s="141"/>
      <c r="I470" s="141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>
      <c r="A471" s="146"/>
      <c r="B471" s="141"/>
      <c r="C471" s="141"/>
      <c r="D471" s="141"/>
      <c r="E471" s="141"/>
      <c r="F471" s="141"/>
      <c r="G471" s="141"/>
      <c r="H471" s="141"/>
      <c r="I471" s="141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>
      <c r="A472" s="146"/>
      <c r="B472" s="141"/>
      <c r="C472" s="141"/>
      <c r="D472" s="141"/>
      <c r="E472" s="141"/>
      <c r="F472" s="141"/>
      <c r="G472" s="141"/>
      <c r="H472" s="141"/>
      <c r="I472" s="141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>
      <c r="A473" s="146"/>
      <c r="B473" s="141"/>
      <c r="C473" s="141"/>
      <c r="D473" s="141"/>
      <c r="E473" s="141"/>
      <c r="F473" s="141"/>
      <c r="G473" s="141"/>
      <c r="H473" s="141"/>
      <c r="I473" s="141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>
      <c r="A474" s="146"/>
      <c r="B474" s="141"/>
      <c r="C474" s="141"/>
      <c r="D474" s="141"/>
      <c r="E474" s="141"/>
      <c r="F474" s="141"/>
      <c r="G474" s="141"/>
      <c r="H474" s="141"/>
      <c r="I474" s="141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>
      <c r="A475" s="146"/>
      <c r="B475" s="141"/>
      <c r="C475" s="141"/>
      <c r="D475" s="141"/>
      <c r="E475" s="141"/>
      <c r="F475" s="141"/>
      <c r="G475" s="141"/>
      <c r="H475" s="141"/>
      <c r="I475" s="141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>
      <c r="A476" s="146"/>
      <c r="B476" s="141"/>
      <c r="C476" s="141"/>
      <c r="D476" s="141"/>
      <c r="E476" s="141"/>
      <c r="F476" s="141"/>
      <c r="G476" s="141"/>
      <c r="H476" s="141"/>
      <c r="I476" s="141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>
      <c r="A477" s="146"/>
      <c r="B477" s="141"/>
      <c r="C477" s="141"/>
      <c r="D477" s="141"/>
      <c r="E477" s="141"/>
      <c r="F477" s="141"/>
      <c r="G477" s="141"/>
      <c r="H477" s="141"/>
      <c r="I477" s="141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>
      <c r="A478" s="146"/>
      <c r="B478" s="141"/>
      <c r="C478" s="141"/>
      <c r="D478" s="141"/>
      <c r="E478" s="141"/>
      <c r="F478" s="141"/>
      <c r="G478" s="141"/>
      <c r="H478" s="141"/>
      <c r="I478" s="141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>
      <c r="A479" s="146"/>
      <c r="B479" s="141"/>
      <c r="C479" s="141"/>
      <c r="D479" s="141"/>
      <c r="E479" s="141"/>
      <c r="F479" s="141"/>
      <c r="G479" s="141"/>
      <c r="H479" s="141"/>
      <c r="I479" s="141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>
      <c r="A480" s="146"/>
      <c r="B480" s="141"/>
      <c r="C480" s="141"/>
      <c r="D480" s="141"/>
      <c r="E480" s="141"/>
      <c r="F480" s="141"/>
      <c r="G480" s="141"/>
      <c r="H480" s="141"/>
      <c r="I480" s="141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>
      <c r="A481" s="146"/>
      <c r="B481" s="141"/>
      <c r="C481" s="141"/>
      <c r="D481" s="141"/>
      <c r="E481" s="141"/>
      <c r="F481" s="141"/>
      <c r="G481" s="141"/>
      <c r="H481" s="141"/>
      <c r="I481" s="141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>
      <c r="A482" s="146"/>
      <c r="B482" s="141"/>
      <c r="C482" s="141"/>
      <c r="D482" s="141"/>
      <c r="E482" s="141"/>
      <c r="F482" s="141"/>
      <c r="G482" s="141"/>
      <c r="H482" s="141"/>
      <c r="I482" s="141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>
      <c r="A483" s="146"/>
      <c r="B483" s="141"/>
      <c r="C483" s="141"/>
      <c r="D483" s="141"/>
      <c r="E483" s="141"/>
      <c r="F483" s="141"/>
      <c r="G483" s="141"/>
      <c r="H483" s="141"/>
      <c r="I483" s="141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>
      <c r="A484" s="146"/>
      <c r="B484" s="141"/>
      <c r="C484" s="141"/>
      <c r="D484" s="141"/>
      <c r="E484" s="141"/>
      <c r="F484" s="141"/>
      <c r="G484" s="141"/>
      <c r="H484" s="141"/>
      <c r="I484" s="141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>
      <c r="A485" s="146"/>
      <c r="B485" s="141"/>
      <c r="C485" s="141"/>
      <c r="D485" s="141"/>
      <c r="E485" s="141"/>
      <c r="F485" s="141"/>
      <c r="G485" s="141"/>
      <c r="H485" s="141"/>
      <c r="I485" s="141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>
      <c r="A486" s="146"/>
      <c r="B486" s="141"/>
      <c r="C486" s="141"/>
      <c r="D486" s="141"/>
      <c r="E486" s="141"/>
      <c r="F486" s="141"/>
      <c r="G486" s="141"/>
      <c r="H486" s="141"/>
      <c r="I486" s="141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>
      <c r="A487" s="146"/>
      <c r="B487" s="141"/>
      <c r="C487" s="141"/>
      <c r="D487" s="141"/>
      <c r="E487" s="141"/>
      <c r="F487" s="141"/>
      <c r="G487" s="141"/>
      <c r="H487" s="141"/>
      <c r="I487" s="141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>
      <c r="A488" s="146"/>
      <c r="B488" s="141"/>
      <c r="C488" s="141"/>
      <c r="D488" s="141"/>
      <c r="E488" s="141"/>
      <c r="F488" s="141"/>
      <c r="G488" s="141"/>
      <c r="H488" s="141"/>
      <c r="I488" s="141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>
      <c r="A489" s="146"/>
      <c r="B489" s="141"/>
      <c r="C489" s="141"/>
      <c r="D489" s="141"/>
      <c r="E489" s="141"/>
      <c r="F489" s="141"/>
      <c r="G489" s="141"/>
      <c r="H489" s="141"/>
      <c r="I489" s="141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>
      <c r="A490" s="146"/>
      <c r="B490" s="141"/>
      <c r="C490" s="141"/>
      <c r="D490" s="141"/>
      <c r="E490" s="141"/>
      <c r="F490" s="141"/>
      <c r="G490" s="141"/>
      <c r="H490" s="141"/>
      <c r="I490" s="141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>
      <c r="A491" s="146"/>
      <c r="B491" s="141"/>
      <c r="C491" s="141"/>
      <c r="D491" s="141"/>
      <c r="E491" s="141"/>
      <c r="F491" s="141"/>
      <c r="G491" s="141"/>
      <c r="H491" s="141"/>
      <c r="I491" s="141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>
      <c r="A492" s="146"/>
      <c r="B492" s="141"/>
      <c r="C492" s="141"/>
      <c r="D492" s="141"/>
      <c r="E492" s="141"/>
      <c r="F492" s="141"/>
      <c r="G492" s="141"/>
      <c r="H492" s="141"/>
      <c r="I492" s="141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>
      <c r="A493" s="146"/>
      <c r="B493" s="141"/>
      <c r="C493" s="141"/>
      <c r="D493" s="141"/>
      <c r="E493" s="141"/>
      <c r="F493" s="141"/>
      <c r="G493" s="141"/>
      <c r="H493" s="141"/>
      <c r="I493" s="141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>
      <c r="A494" s="146"/>
      <c r="B494" s="141"/>
      <c r="C494" s="141"/>
      <c r="D494" s="141"/>
      <c r="E494" s="141"/>
      <c r="F494" s="141"/>
      <c r="G494" s="141"/>
      <c r="H494" s="141"/>
      <c r="I494" s="141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>
      <c r="A495" s="146"/>
      <c r="B495" s="141"/>
      <c r="C495" s="141"/>
      <c r="D495" s="141"/>
      <c r="E495" s="141"/>
      <c r="F495" s="141"/>
      <c r="G495" s="141"/>
      <c r="H495" s="141"/>
      <c r="I495" s="141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>
      <c r="A496" s="146"/>
      <c r="B496" s="141"/>
      <c r="C496" s="141"/>
      <c r="D496" s="141"/>
      <c r="E496" s="141"/>
      <c r="F496" s="141"/>
      <c r="G496" s="141"/>
      <c r="H496" s="141"/>
      <c r="I496" s="141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>
      <c r="A497" s="146"/>
      <c r="B497" s="141"/>
      <c r="C497" s="141"/>
      <c r="D497" s="141"/>
      <c r="E497" s="141"/>
      <c r="F497" s="141"/>
      <c r="G497" s="141"/>
      <c r="H497" s="141"/>
      <c r="I497" s="141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>
      <c r="A498" s="146"/>
      <c r="B498" s="141"/>
      <c r="C498" s="141"/>
      <c r="D498" s="141"/>
      <c r="E498" s="141"/>
      <c r="F498" s="141"/>
      <c r="G498" s="141"/>
      <c r="H498" s="141"/>
      <c r="I498" s="141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>
      <c r="A499" s="146"/>
      <c r="B499" s="141"/>
      <c r="C499" s="141"/>
      <c r="D499" s="141"/>
      <c r="E499" s="141"/>
      <c r="F499" s="141"/>
      <c r="G499" s="141"/>
      <c r="H499" s="141"/>
      <c r="I499" s="141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>
      <c r="A500" s="146"/>
      <c r="B500" s="141"/>
      <c r="C500" s="141"/>
      <c r="D500" s="141"/>
      <c r="E500" s="141"/>
      <c r="F500" s="141"/>
      <c r="G500" s="141"/>
      <c r="H500" s="141"/>
      <c r="I500" s="141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>
      <c r="A501" s="146"/>
      <c r="B501" s="141"/>
      <c r="C501" s="141"/>
      <c r="D501" s="141"/>
      <c r="E501" s="141"/>
      <c r="F501" s="141"/>
      <c r="G501" s="141"/>
      <c r="H501" s="141"/>
      <c r="I501" s="141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>
      <c r="A502" s="146"/>
      <c r="B502" s="141"/>
      <c r="C502" s="141"/>
      <c r="D502" s="141"/>
      <c r="E502" s="141"/>
      <c r="F502" s="141"/>
      <c r="G502" s="141"/>
      <c r="H502" s="141"/>
      <c r="I502" s="141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>
      <c r="A503" s="146"/>
      <c r="B503" s="141"/>
      <c r="C503" s="141"/>
      <c r="D503" s="141"/>
      <c r="E503" s="141"/>
      <c r="F503" s="141"/>
      <c r="G503" s="141"/>
      <c r="H503" s="141"/>
      <c r="I503" s="141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>
      <c r="A504" s="146"/>
      <c r="B504" s="141"/>
      <c r="C504" s="141"/>
      <c r="D504" s="141"/>
      <c r="E504" s="141"/>
      <c r="F504" s="141"/>
      <c r="G504" s="141"/>
      <c r="H504" s="141"/>
      <c r="I504" s="141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>
      <c r="A505" s="146"/>
      <c r="B505" s="141"/>
      <c r="C505" s="141"/>
      <c r="D505" s="141"/>
      <c r="E505" s="141"/>
      <c r="F505" s="141"/>
      <c r="G505" s="141"/>
      <c r="H505" s="141"/>
      <c r="I505" s="141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>
      <c r="A506" s="146"/>
      <c r="B506" s="141"/>
      <c r="C506" s="141"/>
      <c r="D506" s="141"/>
      <c r="E506" s="141"/>
      <c r="F506" s="141"/>
      <c r="G506" s="141"/>
      <c r="H506" s="141"/>
      <c r="I506" s="141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>
      <c r="A507" s="146"/>
      <c r="B507" s="141"/>
      <c r="C507" s="141"/>
      <c r="D507" s="141"/>
      <c r="E507" s="141"/>
      <c r="F507" s="141"/>
      <c r="G507" s="141"/>
      <c r="H507" s="141"/>
      <c r="I507" s="141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>
      <c r="A508" s="146"/>
      <c r="B508" s="141"/>
      <c r="C508" s="141"/>
      <c r="D508" s="141"/>
      <c r="E508" s="141"/>
      <c r="F508" s="141"/>
      <c r="G508" s="141"/>
      <c r="H508" s="141"/>
      <c r="I508" s="141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>
      <c r="A509" s="146"/>
      <c r="B509" s="141"/>
      <c r="C509" s="141"/>
      <c r="D509" s="141"/>
      <c r="E509" s="141"/>
      <c r="F509" s="141"/>
      <c r="G509" s="141"/>
      <c r="H509" s="141"/>
      <c r="I509" s="141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>
      <c r="A510" s="146"/>
      <c r="B510" s="141"/>
      <c r="C510" s="141"/>
      <c r="D510" s="141"/>
      <c r="E510" s="141"/>
      <c r="F510" s="141"/>
      <c r="G510" s="141"/>
      <c r="H510" s="141"/>
      <c r="I510" s="141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>
      <c r="A511" s="146"/>
      <c r="B511" s="141"/>
      <c r="C511" s="141"/>
      <c r="D511" s="141"/>
      <c r="E511" s="141"/>
      <c r="F511" s="141"/>
      <c r="G511" s="141"/>
      <c r="H511" s="141"/>
      <c r="I511" s="141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>
      <c r="A512" s="146"/>
      <c r="B512" s="141"/>
      <c r="C512" s="141"/>
      <c r="D512" s="141"/>
      <c r="E512" s="141"/>
      <c r="F512" s="141"/>
      <c r="G512" s="141"/>
      <c r="H512" s="141"/>
      <c r="I512" s="141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>
      <c r="A513" s="146"/>
      <c r="B513" s="141"/>
      <c r="C513" s="141"/>
      <c r="D513" s="141"/>
      <c r="E513" s="141"/>
      <c r="F513" s="141"/>
      <c r="G513" s="141"/>
      <c r="H513" s="141"/>
      <c r="I513" s="141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>
      <c r="A514" s="146"/>
      <c r="B514" s="141"/>
      <c r="C514" s="141"/>
      <c r="D514" s="141"/>
      <c r="E514" s="141"/>
      <c r="F514" s="141"/>
      <c r="G514" s="141"/>
      <c r="H514" s="141"/>
      <c r="I514" s="141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>
      <c r="A515" s="146"/>
      <c r="B515" s="141"/>
      <c r="C515" s="141"/>
      <c r="D515" s="141"/>
      <c r="E515" s="141"/>
      <c r="F515" s="141"/>
      <c r="G515" s="141"/>
      <c r="H515" s="141"/>
      <c r="I515" s="141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>
      <c r="A516" s="146"/>
      <c r="B516" s="141"/>
      <c r="C516" s="141"/>
      <c r="D516" s="141"/>
      <c r="E516" s="141"/>
      <c r="F516" s="141"/>
      <c r="G516" s="141"/>
      <c r="H516" s="141"/>
      <c r="I516" s="141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>
      <c r="A517" s="146"/>
      <c r="B517" s="141"/>
      <c r="C517" s="141"/>
      <c r="D517" s="141"/>
      <c r="E517" s="141"/>
      <c r="F517" s="141"/>
      <c r="G517" s="141"/>
      <c r="H517" s="141"/>
      <c r="I517" s="141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>
      <c r="A518" s="146"/>
      <c r="B518" s="141"/>
      <c r="C518" s="141"/>
      <c r="D518" s="141"/>
      <c r="E518" s="141"/>
      <c r="F518" s="141"/>
      <c r="G518" s="141"/>
      <c r="H518" s="141"/>
      <c r="I518" s="141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>
      <c r="A519" s="146"/>
      <c r="B519" s="141"/>
      <c r="C519" s="141"/>
      <c r="D519" s="141"/>
      <c r="E519" s="141"/>
      <c r="F519" s="141"/>
      <c r="G519" s="141"/>
      <c r="H519" s="141"/>
      <c r="I519" s="141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>
      <c r="A520" s="146"/>
      <c r="B520" s="141"/>
      <c r="C520" s="141"/>
      <c r="D520" s="141"/>
      <c r="E520" s="141"/>
      <c r="F520" s="141"/>
      <c r="G520" s="141"/>
      <c r="H520" s="141"/>
      <c r="I520" s="141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>
      <c r="A521" s="146"/>
      <c r="B521" s="141"/>
      <c r="C521" s="141"/>
      <c r="D521" s="141"/>
      <c r="E521" s="141"/>
      <c r="F521" s="141"/>
      <c r="G521" s="141"/>
      <c r="H521" s="141"/>
      <c r="I521" s="141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>
      <c r="A522" s="146"/>
      <c r="B522" s="141"/>
      <c r="C522" s="141"/>
      <c r="D522" s="141"/>
      <c r="E522" s="141"/>
      <c r="F522" s="141"/>
      <c r="G522" s="141"/>
      <c r="H522" s="141"/>
      <c r="I522" s="141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>
      <c r="A523" s="146"/>
      <c r="B523" s="141"/>
      <c r="C523" s="141"/>
      <c r="D523" s="141"/>
      <c r="E523" s="141"/>
      <c r="F523" s="141"/>
      <c r="G523" s="141"/>
      <c r="H523" s="141"/>
      <c r="I523" s="141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>
      <c r="A524" s="146"/>
      <c r="B524" s="141"/>
      <c r="C524" s="141"/>
      <c r="D524" s="141"/>
      <c r="E524" s="141"/>
      <c r="F524" s="141"/>
      <c r="G524" s="141"/>
      <c r="H524" s="141"/>
      <c r="I524" s="141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>
      <c r="A525" s="146"/>
      <c r="B525" s="141"/>
      <c r="C525" s="141"/>
      <c r="D525" s="141"/>
      <c r="E525" s="141"/>
      <c r="F525" s="141"/>
      <c r="G525" s="141"/>
      <c r="H525" s="141"/>
      <c r="I525" s="141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>
      <c r="A526" s="146"/>
      <c r="B526" s="141"/>
      <c r="C526" s="141"/>
      <c r="D526" s="141"/>
      <c r="E526" s="141"/>
      <c r="F526" s="141"/>
      <c r="G526" s="141"/>
      <c r="H526" s="141"/>
      <c r="I526" s="141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>
      <c r="A527" s="146"/>
      <c r="B527" s="141"/>
      <c r="C527" s="141"/>
      <c r="D527" s="141"/>
      <c r="E527" s="141"/>
      <c r="F527" s="141"/>
      <c r="G527" s="141"/>
      <c r="H527" s="141"/>
      <c r="I527" s="141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>
      <c r="A528" s="146"/>
      <c r="B528" s="141"/>
      <c r="C528" s="141"/>
      <c r="D528" s="141"/>
      <c r="E528" s="141"/>
      <c r="F528" s="141"/>
      <c r="G528" s="141"/>
      <c r="H528" s="141"/>
      <c r="I528" s="141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>
      <c r="A529" s="146"/>
      <c r="B529" s="141"/>
      <c r="C529" s="141"/>
      <c r="D529" s="141"/>
      <c r="E529" s="141"/>
      <c r="F529" s="141"/>
      <c r="G529" s="141"/>
      <c r="H529" s="141"/>
      <c r="I529" s="141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>
      <c r="A530" s="146"/>
      <c r="B530" s="141"/>
      <c r="C530" s="141"/>
      <c r="D530" s="141"/>
      <c r="E530" s="141"/>
      <c r="F530" s="141"/>
      <c r="G530" s="141"/>
      <c r="H530" s="141"/>
      <c r="I530" s="141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>
      <c r="A531" s="146"/>
      <c r="B531" s="141"/>
      <c r="C531" s="141"/>
      <c r="D531" s="141"/>
      <c r="E531" s="141"/>
      <c r="F531" s="141"/>
      <c r="G531" s="141"/>
      <c r="H531" s="141"/>
      <c r="I531" s="141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>
      <c r="A532" s="146"/>
      <c r="B532" s="141"/>
      <c r="C532" s="141"/>
      <c r="D532" s="141"/>
      <c r="E532" s="141"/>
      <c r="F532" s="141"/>
      <c r="G532" s="141"/>
      <c r="H532" s="141"/>
      <c r="I532" s="141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>
      <c r="A533" s="146"/>
      <c r="B533" s="141"/>
      <c r="C533" s="141"/>
      <c r="D533" s="141"/>
      <c r="E533" s="141"/>
      <c r="F533" s="141"/>
      <c r="G533" s="141"/>
      <c r="H533" s="141"/>
      <c r="I533" s="141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>
      <c r="A534" s="146"/>
      <c r="B534" s="141"/>
      <c r="C534" s="141"/>
      <c r="D534" s="141"/>
      <c r="E534" s="141"/>
      <c r="F534" s="141"/>
      <c r="G534" s="141"/>
      <c r="H534" s="141"/>
      <c r="I534" s="141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>
      <c r="A535" s="146"/>
      <c r="B535" s="141"/>
      <c r="C535" s="141"/>
      <c r="D535" s="141"/>
      <c r="E535" s="141"/>
      <c r="F535" s="141"/>
      <c r="G535" s="141"/>
      <c r="H535" s="141"/>
      <c r="I535" s="141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>
      <c r="A536" s="146"/>
      <c r="B536" s="141"/>
      <c r="C536" s="141"/>
      <c r="D536" s="141"/>
      <c r="E536" s="141"/>
      <c r="F536" s="141"/>
      <c r="G536" s="141"/>
      <c r="H536" s="141"/>
      <c r="I536" s="141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>
      <c r="A537" s="146"/>
      <c r="B537" s="141"/>
      <c r="C537" s="141"/>
      <c r="D537" s="141"/>
      <c r="E537" s="141"/>
      <c r="F537" s="141"/>
      <c r="G537" s="141"/>
      <c r="H537" s="141"/>
      <c r="I537" s="141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>
      <c r="A538" s="146"/>
      <c r="B538" s="141"/>
      <c r="C538" s="141"/>
      <c r="D538" s="141"/>
      <c r="E538" s="141"/>
      <c r="F538" s="141"/>
      <c r="G538" s="141"/>
      <c r="H538" s="141"/>
      <c r="I538" s="141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>
      <c r="A539" s="146"/>
      <c r="B539" s="141"/>
      <c r="C539" s="141"/>
      <c r="D539" s="141"/>
      <c r="E539" s="141"/>
      <c r="F539" s="141"/>
      <c r="G539" s="141"/>
      <c r="H539" s="141"/>
      <c r="I539" s="141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>
      <c r="A540" s="146"/>
      <c r="B540" s="141"/>
      <c r="C540" s="141"/>
      <c r="D540" s="141"/>
      <c r="E540" s="141"/>
      <c r="F540" s="141"/>
      <c r="G540" s="141"/>
      <c r="H540" s="141"/>
      <c r="I540" s="141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>
      <c r="A541" s="146"/>
      <c r="B541" s="141"/>
      <c r="C541" s="141"/>
      <c r="D541" s="141"/>
      <c r="E541" s="141"/>
      <c r="F541" s="141"/>
      <c r="G541" s="141"/>
      <c r="H541" s="141"/>
      <c r="I541" s="141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>
      <c r="A542" s="146"/>
      <c r="B542" s="141"/>
      <c r="C542" s="141"/>
      <c r="D542" s="141"/>
      <c r="E542" s="141"/>
      <c r="F542" s="141"/>
      <c r="G542" s="141"/>
      <c r="H542" s="141"/>
      <c r="I542" s="141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>
      <c r="A543" s="146"/>
      <c r="B543" s="141"/>
      <c r="C543" s="141"/>
      <c r="D543" s="141"/>
      <c r="E543" s="141"/>
      <c r="F543" s="141"/>
      <c r="G543" s="141"/>
      <c r="H543" s="141"/>
      <c r="I543" s="141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>
      <c r="A544" s="146"/>
      <c r="B544" s="141"/>
      <c r="C544" s="141"/>
      <c r="D544" s="141"/>
      <c r="E544" s="141"/>
      <c r="F544" s="141"/>
      <c r="G544" s="141"/>
      <c r="H544" s="141"/>
      <c r="I544" s="141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>
      <c r="A545" s="146"/>
      <c r="B545" s="141"/>
      <c r="C545" s="141"/>
      <c r="D545" s="141"/>
      <c r="E545" s="141"/>
      <c r="F545" s="141"/>
      <c r="G545" s="141"/>
      <c r="H545" s="141"/>
      <c r="I545" s="141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>
      <c r="A546" s="146"/>
      <c r="B546" s="141"/>
      <c r="C546" s="141"/>
      <c r="D546" s="141"/>
      <c r="E546" s="141"/>
      <c r="F546" s="141"/>
      <c r="G546" s="141"/>
      <c r="H546" s="141"/>
      <c r="I546" s="141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>
      <c r="A547" s="146"/>
      <c r="B547" s="141"/>
      <c r="C547" s="141"/>
      <c r="D547" s="141"/>
      <c r="E547" s="141"/>
      <c r="F547" s="141"/>
      <c r="G547" s="141"/>
      <c r="H547" s="141"/>
      <c r="I547" s="141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>
      <c r="A548" s="146"/>
      <c r="B548" s="141"/>
      <c r="C548" s="141"/>
      <c r="D548" s="141"/>
      <c r="E548" s="141"/>
      <c r="F548" s="141"/>
      <c r="G548" s="141"/>
      <c r="H548" s="141"/>
      <c r="I548" s="141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>
      <c r="A549" s="146"/>
      <c r="B549" s="141"/>
      <c r="C549" s="141"/>
      <c r="D549" s="141"/>
      <c r="E549" s="141"/>
      <c r="F549" s="141"/>
      <c r="G549" s="141"/>
      <c r="H549" s="141"/>
      <c r="I549" s="141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>
      <c r="A550" s="146"/>
      <c r="B550" s="141"/>
      <c r="C550" s="141"/>
      <c r="D550" s="141"/>
      <c r="E550" s="141"/>
      <c r="F550" s="141"/>
      <c r="G550" s="141"/>
      <c r="H550" s="141"/>
      <c r="I550" s="141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>
      <c r="A551" s="146"/>
      <c r="B551" s="141"/>
      <c r="C551" s="141"/>
      <c r="D551" s="141"/>
      <c r="E551" s="141"/>
      <c r="F551" s="141"/>
      <c r="G551" s="141"/>
      <c r="H551" s="141"/>
      <c r="I551" s="141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>
      <c r="A552" s="146"/>
      <c r="B552" s="141"/>
      <c r="C552" s="141"/>
      <c r="D552" s="141"/>
      <c r="E552" s="141"/>
      <c r="F552" s="141"/>
      <c r="G552" s="141"/>
      <c r="H552" s="141"/>
      <c r="I552" s="141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>
      <c r="A553" s="146"/>
      <c r="B553" s="141"/>
      <c r="C553" s="141"/>
      <c r="D553" s="141"/>
      <c r="E553" s="141"/>
      <c r="F553" s="141"/>
      <c r="G553" s="141"/>
      <c r="H553" s="141"/>
      <c r="I553" s="141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>
      <c r="A554" s="146"/>
      <c r="B554" s="141"/>
      <c r="C554" s="141"/>
      <c r="D554" s="141"/>
      <c r="E554" s="141"/>
      <c r="F554" s="141"/>
      <c r="G554" s="141"/>
      <c r="H554" s="141"/>
      <c r="I554" s="141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>
      <c r="A555" s="146"/>
      <c r="B555" s="141"/>
      <c r="C555" s="141"/>
      <c r="D555" s="141"/>
      <c r="E555" s="141"/>
      <c r="F555" s="141"/>
      <c r="G555" s="141"/>
      <c r="H555" s="141"/>
      <c r="I555" s="141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>
      <c r="A556" s="146"/>
      <c r="B556" s="141"/>
      <c r="C556" s="141"/>
      <c r="D556" s="141"/>
      <c r="E556" s="141"/>
      <c r="F556" s="141"/>
      <c r="G556" s="141"/>
      <c r="H556" s="141"/>
      <c r="I556" s="141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>
      <c r="A557" s="146"/>
      <c r="B557" s="141"/>
      <c r="C557" s="141"/>
      <c r="D557" s="141"/>
      <c r="E557" s="141"/>
      <c r="F557" s="141"/>
      <c r="G557" s="141"/>
      <c r="H557" s="141"/>
      <c r="I557" s="141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>
      <c r="A558" s="146"/>
      <c r="B558" s="141"/>
      <c r="C558" s="141"/>
      <c r="D558" s="141"/>
      <c r="E558" s="141"/>
      <c r="F558" s="141"/>
      <c r="G558" s="141"/>
      <c r="H558" s="141"/>
      <c r="I558" s="141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>
      <c r="A559" s="146"/>
      <c r="B559" s="141"/>
      <c r="C559" s="141"/>
      <c r="D559" s="141"/>
      <c r="E559" s="141"/>
      <c r="F559" s="141"/>
      <c r="G559" s="141"/>
      <c r="H559" s="141"/>
      <c r="I559" s="141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>
      <c r="A560" s="146"/>
      <c r="B560" s="141"/>
      <c r="C560" s="141"/>
      <c r="D560" s="141"/>
      <c r="E560" s="141"/>
      <c r="F560" s="141"/>
      <c r="G560" s="141"/>
      <c r="H560" s="141"/>
      <c r="I560" s="141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>
      <c r="A561" s="146"/>
      <c r="B561" s="141"/>
      <c r="C561" s="141"/>
      <c r="D561" s="141"/>
      <c r="E561" s="141"/>
      <c r="F561" s="141"/>
      <c r="G561" s="141"/>
      <c r="H561" s="141"/>
      <c r="I561" s="141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>
      <c r="A562" s="146"/>
      <c r="B562" s="141"/>
      <c r="C562" s="141"/>
      <c r="D562" s="141"/>
      <c r="E562" s="141"/>
      <c r="F562" s="141"/>
      <c r="G562" s="141"/>
      <c r="H562" s="141"/>
      <c r="I562" s="141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>
      <c r="A563" s="146"/>
      <c r="B563" s="141"/>
      <c r="C563" s="141"/>
      <c r="D563" s="141"/>
      <c r="E563" s="141"/>
      <c r="F563" s="141"/>
      <c r="G563" s="141"/>
      <c r="H563" s="141"/>
      <c r="I563" s="141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>
      <c r="A564" s="146"/>
      <c r="B564" s="141"/>
      <c r="C564" s="141"/>
      <c r="D564" s="141"/>
      <c r="E564" s="141"/>
      <c r="F564" s="141"/>
      <c r="G564" s="141"/>
      <c r="H564" s="141"/>
      <c r="I564" s="141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>
      <c r="A565" s="146"/>
      <c r="B565" s="141"/>
      <c r="C565" s="141"/>
      <c r="D565" s="141"/>
      <c r="E565" s="141"/>
      <c r="F565" s="141"/>
      <c r="G565" s="141"/>
      <c r="H565" s="141"/>
      <c r="I565" s="141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>
      <c r="A566" s="146"/>
      <c r="B566" s="141"/>
      <c r="C566" s="141"/>
      <c r="D566" s="141"/>
      <c r="E566" s="141"/>
      <c r="F566" s="141"/>
      <c r="G566" s="141"/>
      <c r="H566" s="141"/>
      <c r="I566" s="141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>
      <c r="A567" s="146"/>
      <c r="B567" s="141"/>
      <c r="C567" s="141"/>
      <c r="D567" s="141"/>
      <c r="E567" s="141"/>
      <c r="F567" s="141"/>
      <c r="G567" s="141"/>
      <c r="H567" s="141"/>
      <c r="I567" s="141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>
      <c r="A568" s="146"/>
      <c r="B568" s="141"/>
      <c r="C568" s="141"/>
      <c r="D568" s="141"/>
      <c r="E568" s="141"/>
      <c r="F568" s="141"/>
      <c r="G568" s="141"/>
      <c r="H568" s="141"/>
      <c r="I568" s="141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>
      <c r="A569" s="146"/>
      <c r="B569" s="141"/>
      <c r="C569" s="141"/>
      <c r="D569" s="141"/>
      <c r="E569" s="141"/>
      <c r="F569" s="141"/>
      <c r="G569" s="141"/>
      <c r="H569" s="141"/>
      <c r="I569" s="141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>
      <c r="A570" s="146"/>
      <c r="B570" s="141"/>
      <c r="C570" s="141"/>
      <c r="D570" s="141"/>
      <c r="E570" s="141"/>
      <c r="F570" s="141"/>
      <c r="G570" s="141"/>
      <c r="H570" s="141"/>
      <c r="I570" s="141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>
      <c r="A571" s="146"/>
      <c r="B571" s="141"/>
      <c r="C571" s="141"/>
      <c r="D571" s="141"/>
      <c r="E571" s="141"/>
      <c r="F571" s="141"/>
      <c r="G571" s="141"/>
      <c r="H571" s="141"/>
      <c r="I571" s="141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>
      <c r="A572" s="146"/>
      <c r="B572" s="141"/>
      <c r="C572" s="141"/>
      <c r="D572" s="141"/>
      <c r="E572" s="141"/>
      <c r="F572" s="141"/>
      <c r="G572" s="141"/>
      <c r="H572" s="141"/>
      <c r="I572" s="141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>
      <c r="A573" s="146"/>
      <c r="B573" s="141"/>
      <c r="C573" s="141"/>
      <c r="D573" s="141"/>
      <c r="E573" s="141"/>
      <c r="F573" s="141"/>
      <c r="G573" s="141"/>
      <c r="H573" s="141"/>
      <c r="I573" s="141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>
      <c r="A574" s="146"/>
      <c r="B574" s="141"/>
      <c r="C574" s="141"/>
      <c r="D574" s="141"/>
      <c r="E574" s="141"/>
      <c r="F574" s="141"/>
      <c r="G574" s="141"/>
      <c r="H574" s="141"/>
      <c r="I574" s="141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>
      <c r="A575" s="146"/>
      <c r="B575" s="141"/>
      <c r="C575" s="141"/>
      <c r="D575" s="141"/>
      <c r="E575" s="141"/>
      <c r="F575" s="141"/>
      <c r="G575" s="141"/>
      <c r="H575" s="141"/>
      <c r="I575" s="141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>
      <c r="A576" s="146"/>
      <c r="B576" s="141"/>
      <c r="C576" s="141"/>
      <c r="D576" s="141"/>
      <c r="E576" s="141"/>
      <c r="F576" s="141"/>
      <c r="G576" s="141"/>
      <c r="H576" s="141"/>
      <c r="I576" s="141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>
      <c r="A577" s="146"/>
      <c r="B577" s="141"/>
      <c r="C577" s="141"/>
      <c r="D577" s="141"/>
      <c r="E577" s="141"/>
      <c r="F577" s="141"/>
      <c r="G577" s="141"/>
      <c r="H577" s="141"/>
      <c r="I577" s="141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>
      <c r="A578" s="146"/>
      <c r="B578" s="141"/>
      <c r="C578" s="141"/>
      <c r="D578" s="141"/>
      <c r="E578" s="141"/>
      <c r="F578" s="141"/>
      <c r="G578" s="141"/>
      <c r="H578" s="141"/>
      <c r="I578" s="141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>
      <c r="A579" s="146"/>
      <c r="B579" s="141"/>
      <c r="C579" s="141"/>
      <c r="D579" s="141"/>
      <c r="E579" s="141"/>
      <c r="F579" s="141"/>
      <c r="G579" s="141"/>
      <c r="H579" s="141"/>
      <c r="I579" s="141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>
      <c r="A580" s="146"/>
      <c r="B580" s="141"/>
      <c r="C580" s="141"/>
      <c r="D580" s="141"/>
      <c r="E580" s="141"/>
      <c r="F580" s="141"/>
      <c r="G580" s="141"/>
      <c r="H580" s="141"/>
      <c r="I580" s="141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>
      <c r="A581" s="146"/>
      <c r="B581" s="141"/>
      <c r="C581" s="141"/>
      <c r="D581" s="141"/>
      <c r="E581" s="141"/>
      <c r="F581" s="141"/>
      <c r="G581" s="141"/>
      <c r="H581" s="141"/>
      <c r="I581" s="141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>
      <c r="A582" s="146"/>
      <c r="B582" s="141"/>
      <c r="C582" s="141"/>
      <c r="D582" s="141"/>
      <c r="E582" s="141"/>
      <c r="F582" s="141"/>
      <c r="G582" s="141"/>
      <c r="H582" s="141"/>
      <c r="I582" s="141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>
      <c r="A583" s="146"/>
      <c r="B583" s="141"/>
      <c r="C583" s="141"/>
      <c r="D583" s="141"/>
      <c r="E583" s="141"/>
      <c r="F583" s="141"/>
      <c r="G583" s="141"/>
      <c r="H583" s="141"/>
      <c r="I583" s="141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>
      <c r="A584" s="146"/>
      <c r="B584" s="141"/>
      <c r="C584" s="141"/>
      <c r="D584" s="141"/>
      <c r="E584" s="141"/>
      <c r="F584" s="141"/>
      <c r="G584" s="141"/>
      <c r="H584" s="141"/>
      <c r="I584" s="141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>
      <c r="A585" s="146"/>
      <c r="B585" s="141"/>
      <c r="C585" s="141"/>
      <c r="D585" s="141"/>
      <c r="E585" s="141"/>
      <c r="F585" s="141"/>
      <c r="G585" s="141"/>
      <c r="H585" s="141"/>
      <c r="I585" s="141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>
      <c r="A586" s="146"/>
      <c r="B586" s="141"/>
      <c r="C586" s="141"/>
      <c r="D586" s="141"/>
      <c r="E586" s="141"/>
      <c r="F586" s="141"/>
      <c r="G586" s="141"/>
      <c r="H586" s="141"/>
      <c r="I586" s="141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>
      <c r="A587" s="146"/>
      <c r="B587" s="141"/>
      <c r="C587" s="141"/>
      <c r="D587" s="141"/>
      <c r="E587" s="141"/>
      <c r="F587" s="141"/>
      <c r="G587" s="141"/>
      <c r="H587" s="141"/>
      <c r="I587" s="141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>
      <c r="A588" s="146"/>
      <c r="B588" s="141"/>
      <c r="C588" s="141"/>
      <c r="D588" s="141"/>
      <c r="E588" s="141"/>
      <c r="F588" s="141"/>
      <c r="G588" s="141"/>
      <c r="H588" s="141"/>
      <c r="I588" s="141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>
      <c r="A589" s="146"/>
      <c r="B589" s="141"/>
      <c r="C589" s="141"/>
      <c r="D589" s="141"/>
      <c r="E589" s="141"/>
      <c r="F589" s="141"/>
      <c r="G589" s="141"/>
      <c r="H589" s="141"/>
      <c r="I589" s="141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>
      <c r="A590" s="146"/>
      <c r="B590" s="141"/>
      <c r="C590" s="141"/>
      <c r="D590" s="141"/>
      <c r="E590" s="141"/>
      <c r="F590" s="141"/>
      <c r="G590" s="141"/>
      <c r="H590" s="141"/>
      <c r="I590" s="141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>
      <c r="A591" s="146"/>
      <c r="B591" s="141"/>
      <c r="C591" s="141"/>
      <c r="D591" s="141"/>
      <c r="E591" s="141"/>
      <c r="F591" s="141"/>
      <c r="G591" s="141"/>
      <c r="H591" s="141"/>
      <c r="I591" s="141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>
      <c r="A592" s="146"/>
      <c r="B592" s="141"/>
      <c r="C592" s="141"/>
      <c r="D592" s="141"/>
      <c r="E592" s="141"/>
      <c r="F592" s="141"/>
      <c r="G592" s="141"/>
      <c r="H592" s="141"/>
      <c r="I592" s="141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>
      <c r="A593" s="146"/>
      <c r="B593" s="141"/>
      <c r="C593" s="141"/>
      <c r="D593" s="141"/>
      <c r="E593" s="141"/>
      <c r="F593" s="141"/>
      <c r="G593" s="141"/>
      <c r="H593" s="141"/>
      <c r="I593" s="141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>
      <c r="A594" s="146"/>
      <c r="B594" s="141"/>
      <c r="C594" s="141"/>
      <c r="D594" s="141"/>
      <c r="E594" s="141"/>
      <c r="F594" s="141"/>
      <c r="G594" s="141"/>
      <c r="H594" s="141"/>
      <c r="I594" s="141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>
      <c r="A595" s="146"/>
      <c r="B595" s="141"/>
      <c r="C595" s="141"/>
      <c r="D595" s="141"/>
      <c r="E595" s="141"/>
      <c r="F595" s="141"/>
      <c r="G595" s="141"/>
      <c r="H595" s="141"/>
      <c r="I595" s="141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>
      <c r="A596" s="146"/>
      <c r="B596" s="141"/>
      <c r="C596" s="141"/>
      <c r="D596" s="141"/>
      <c r="E596" s="141"/>
      <c r="F596" s="141"/>
      <c r="G596" s="141"/>
      <c r="H596" s="141"/>
      <c r="I596" s="141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>
      <c r="A597" s="146"/>
      <c r="B597" s="141"/>
      <c r="C597" s="141"/>
      <c r="D597" s="141"/>
      <c r="E597" s="141"/>
      <c r="F597" s="141"/>
      <c r="G597" s="141"/>
      <c r="H597" s="141"/>
      <c r="I597" s="141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>
      <c r="A598" s="146"/>
      <c r="B598" s="141"/>
      <c r="C598" s="141"/>
      <c r="D598" s="141"/>
      <c r="E598" s="141"/>
      <c r="F598" s="141"/>
      <c r="G598" s="141"/>
      <c r="H598" s="141"/>
      <c r="I598" s="141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>
      <c r="A599" s="146"/>
      <c r="B599" s="141"/>
      <c r="C599" s="141"/>
      <c r="D599" s="141"/>
      <c r="E599" s="141"/>
      <c r="F599" s="141"/>
      <c r="G599" s="141"/>
      <c r="H599" s="141"/>
      <c r="I599" s="141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>
      <c r="A600" s="146"/>
      <c r="B600" s="141"/>
      <c r="C600" s="141"/>
      <c r="D600" s="141"/>
      <c r="E600" s="141"/>
      <c r="F600" s="141"/>
      <c r="G600" s="141"/>
      <c r="H600" s="141"/>
      <c r="I600" s="141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>
      <c r="A601" s="146"/>
      <c r="B601" s="141"/>
      <c r="C601" s="141"/>
      <c r="D601" s="141"/>
      <c r="E601" s="141"/>
      <c r="F601" s="141"/>
      <c r="G601" s="141"/>
      <c r="H601" s="141"/>
      <c r="I601" s="141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>
      <c r="A602" s="146"/>
      <c r="B602" s="141"/>
      <c r="C602" s="141"/>
      <c r="D602" s="141"/>
      <c r="E602" s="141"/>
      <c r="F602" s="141"/>
      <c r="G602" s="141"/>
      <c r="H602" s="141"/>
      <c r="I602" s="141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>
      <c r="A603" s="146"/>
      <c r="B603" s="141"/>
      <c r="C603" s="141"/>
      <c r="D603" s="141"/>
      <c r="E603" s="141"/>
      <c r="F603" s="141"/>
      <c r="G603" s="141"/>
      <c r="H603" s="141"/>
      <c r="I603" s="141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>
      <c r="A604" s="146"/>
      <c r="B604" s="141"/>
      <c r="C604" s="141"/>
      <c r="D604" s="141"/>
      <c r="E604" s="141"/>
      <c r="F604" s="141"/>
      <c r="G604" s="141"/>
      <c r="H604" s="141"/>
      <c r="I604" s="141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>
      <c r="A605" s="146"/>
      <c r="B605" s="141"/>
      <c r="C605" s="141"/>
      <c r="D605" s="141"/>
      <c r="E605" s="141"/>
      <c r="F605" s="141"/>
      <c r="G605" s="141"/>
      <c r="H605" s="141"/>
      <c r="I605" s="141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>
      <c r="A606" s="146"/>
      <c r="B606" s="141"/>
      <c r="C606" s="141"/>
      <c r="D606" s="141"/>
      <c r="E606" s="141"/>
      <c r="F606" s="141"/>
      <c r="G606" s="141"/>
      <c r="H606" s="141"/>
      <c r="I606" s="141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>
      <c r="A607" s="146"/>
      <c r="B607" s="141"/>
      <c r="C607" s="141"/>
      <c r="D607" s="141"/>
      <c r="E607" s="141"/>
      <c r="F607" s="141"/>
      <c r="G607" s="141"/>
      <c r="H607" s="141"/>
      <c r="I607" s="141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>
      <c r="A608" s="146"/>
      <c r="B608" s="141"/>
      <c r="C608" s="141"/>
      <c r="D608" s="141"/>
      <c r="E608" s="141"/>
      <c r="F608" s="141"/>
      <c r="G608" s="141"/>
      <c r="H608" s="141"/>
      <c r="I608" s="141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>
      <c r="A609" s="146"/>
      <c r="B609" s="141"/>
      <c r="C609" s="141"/>
      <c r="D609" s="141"/>
      <c r="E609" s="141"/>
      <c r="F609" s="141"/>
      <c r="G609" s="141"/>
      <c r="H609" s="141"/>
      <c r="I609" s="141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>
      <c r="A610" s="146"/>
      <c r="B610" s="141"/>
      <c r="C610" s="141"/>
      <c r="D610" s="141"/>
      <c r="E610" s="141"/>
      <c r="F610" s="141"/>
      <c r="G610" s="141"/>
      <c r="H610" s="141"/>
      <c r="I610" s="141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>
      <c r="A611" s="146"/>
      <c r="B611" s="141"/>
      <c r="C611" s="141"/>
      <c r="D611" s="141"/>
      <c r="E611" s="141"/>
      <c r="F611" s="141"/>
      <c r="G611" s="141"/>
      <c r="H611" s="141"/>
      <c r="I611" s="141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>
      <c r="A612" s="146"/>
      <c r="B612" s="141"/>
      <c r="C612" s="141"/>
      <c r="D612" s="141"/>
      <c r="E612" s="141"/>
      <c r="F612" s="141"/>
      <c r="G612" s="141"/>
      <c r="H612" s="141"/>
      <c r="I612" s="141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>
      <c r="A613" s="146"/>
      <c r="B613" s="141"/>
      <c r="C613" s="141"/>
      <c r="D613" s="141"/>
      <c r="E613" s="141"/>
      <c r="F613" s="141"/>
      <c r="G613" s="141"/>
      <c r="H613" s="141"/>
      <c r="I613" s="141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>
      <c r="A614" s="146"/>
      <c r="B614" s="141"/>
      <c r="C614" s="141"/>
      <c r="D614" s="141"/>
      <c r="E614" s="141"/>
      <c r="F614" s="141"/>
      <c r="G614" s="141"/>
      <c r="H614" s="141"/>
      <c r="I614" s="141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>
      <c r="A615" s="146"/>
      <c r="B615" s="141"/>
      <c r="C615" s="141"/>
      <c r="D615" s="141"/>
      <c r="E615" s="141"/>
      <c r="F615" s="141"/>
      <c r="G615" s="141"/>
      <c r="H615" s="141"/>
      <c r="I615" s="141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>
      <c r="A616" s="146"/>
      <c r="B616" s="141"/>
      <c r="C616" s="141"/>
      <c r="D616" s="141"/>
      <c r="E616" s="141"/>
      <c r="F616" s="141"/>
      <c r="G616" s="141"/>
      <c r="H616" s="141"/>
      <c r="I616" s="141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>
      <c r="A617" s="146"/>
      <c r="B617" s="141"/>
      <c r="C617" s="141"/>
      <c r="D617" s="141"/>
      <c r="E617" s="141"/>
      <c r="F617" s="141"/>
      <c r="G617" s="141"/>
      <c r="H617" s="141"/>
      <c r="I617" s="141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>
      <c r="A618" s="146"/>
      <c r="B618" s="141"/>
      <c r="C618" s="141"/>
      <c r="D618" s="141"/>
      <c r="E618" s="141"/>
      <c r="F618" s="141"/>
      <c r="G618" s="141"/>
      <c r="H618" s="141"/>
      <c r="I618" s="141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>
      <c r="A619" s="146"/>
      <c r="B619" s="141"/>
      <c r="C619" s="141"/>
      <c r="D619" s="141"/>
      <c r="E619" s="141"/>
      <c r="F619" s="141"/>
      <c r="G619" s="141"/>
      <c r="H619" s="141"/>
      <c r="I619" s="141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>
      <c r="A620" s="146"/>
      <c r="B620" s="141"/>
      <c r="C620" s="141"/>
      <c r="D620" s="141"/>
      <c r="E620" s="141"/>
      <c r="F620" s="141"/>
      <c r="G620" s="141"/>
      <c r="H620" s="141"/>
      <c r="I620" s="141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>
      <c r="A621" s="146"/>
      <c r="B621" s="141"/>
      <c r="C621" s="141"/>
      <c r="D621" s="141"/>
      <c r="E621" s="141"/>
      <c r="F621" s="141"/>
      <c r="G621" s="141"/>
      <c r="H621" s="141"/>
      <c r="I621" s="141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>
      <c r="A622" s="146"/>
      <c r="B622" s="141"/>
      <c r="C622" s="141"/>
      <c r="D622" s="141"/>
      <c r="E622" s="141"/>
      <c r="F622" s="141"/>
      <c r="G622" s="141"/>
      <c r="H622" s="141"/>
      <c r="I622" s="141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>
      <c r="A623" s="146"/>
      <c r="B623" s="141"/>
      <c r="C623" s="141"/>
      <c r="D623" s="141"/>
      <c r="E623" s="141"/>
      <c r="F623" s="141"/>
      <c r="G623" s="141"/>
      <c r="H623" s="141"/>
      <c r="I623" s="141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>
      <c r="A624" s="146"/>
      <c r="B624" s="141"/>
      <c r="C624" s="141"/>
      <c r="D624" s="141"/>
      <c r="E624" s="141"/>
      <c r="F624" s="141"/>
      <c r="G624" s="141"/>
      <c r="H624" s="141"/>
      <c r="I624" s="141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>
      <c r="A625" s="146"/>
      <c r="B625" s="141"/>
      <c r="C625" s="141"/>
      <c r="D625" s="141"/>
      <c r="E625" s="141"/>
      <c r="F625" s="141"/>
      <c r="G625" s="141"/>
      <c r="H625" s="141"/>
      <c r="I625" s="141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>
      <c r="A626" s="146"/>
      <c r="B626" s="141"/>
      <c r="C626" s="141"/>
      <c r="D626" s="141"/>
      <c r="E626" s="141"/>
      <c r="F626" s="141"/>
      <c r="G626" s="141"/>
      <c r="H626" s="141"/>
      <c r="I626" s="141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>
      <c r="A627" s="146"/>
      <c r="B627" s="141"/>
      <c r="C627" s="141"/>
      <c r="D627" s="141"/>
      <c r="E627" s="141"/>
      <c r="F627" s="141"/>
      <c r="G627" s="141"/>
      <c r="H627" s="141"/>
      <c r="I627" s="141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>
      <c r="A628" s="146"/>
      <c r="B628" s="141"/>
      <c r="C628" s="141"/>
      <c r="D628" s="141"/>
      <c r="E628" s="141"/>
      <c r="F628" s="141"/>
      <c r="G628" s="141"/>
      <c r="H628" s="141"/>
      <c r="I628" s="141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>
      <c r="A629" s="146"/>
      <c r="B629" s="141"/>
      <c r="C629" s="141"/>
      <c r="D629" s="141"/>
      <c r="E629" s="141"/>
      <c r="F629" s="141"/>
      <c r="G629" s="141"/>
      <c r="H629" s="141"/>
      <c r="I629" s="141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>
      <c r="A630" s="146"/>
      <c r="B630" s="141"/>
      <c r="C630" s="141"/>
      <c r="D630" s="141"/>
      <c r="E630" s="141"/>
      <c r="F630" s="141"/>
      <c r="G630" s="141"/>
      <c r="H630" s="141"/>
      <c r="I630" s="141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>
      <c r="A631" s="146"/>
      <c r="B631" s="141"/>
      <c r="C631" s="141"/>
      <c r="D631" s="141"/>
      <c r="E631" s="141"/>
      <c r="F631" s="141"/>
      <c r="G631" s="141"/>
      <c r="H631" s="141"/>
      <c r="I631" s="141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>
      <c r="A632" s="146"/>
      <c r="B632" s="141"/>
      <c r="C632" s="141"/>
      <c r="D632" s="141"/>
      <c r="E632" s="141"/>
      <c r="F632" s="141"/>
      <c r="G632" s="141"/>
      <c r="H632" s="141"/>
      <c r="I632" s="141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>
      <c r="A633" s="146"/>
      <c r="B633" s="141"/>
      <c r="C633" s="141"/>
      <c r="D633" s="141"/>
      <c r="E633" s="141"/>
      <c r="F633" s="141"/>
      <c r="G633" s="141"/>
      <c r="H633" s="141"/>
      <c r="I633" s="141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>
      <c r="A634" s="146"/>
      <c r="B634" s="141"/>
      <c r="C634" s="141"/>
      <c r="D634" s="141"/>
      <c r="E634" s="141"/>
      <c r="F634" s="141"/>
      <c r="G634" s="141"/>
      <c r="H634" s="141"/>
      <c r="I634" s="141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>
      <c r="A635" s="146"/>
      <c r="B635" s="141"/>
      <c r="C635" s="141"/>
      <c r="D635" s="141"/>
      <c r="E635" s="141"/>
      <c r="F635" s="141"/>
      <c r="G635" s="141"/>
      <c r="H635" s="141"/>
      <c r="I635" s="141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>
      <c r="A636" s="146"/>
      <c r="B636" s="141"/>
      <c r="C636" s="141"/>
      <c r="D636" s="141"/>
      <c r="E636" s="141"/>
      <c r="F636" s="141"/>
      <c r="G636" s="141"/>
      <c r="H636" s="141"/>
      <c r="I636" s="141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>
      <c r="A637" s="146"/>
      <c r="B637" s="141"/>
      <c r="C637" s="141"/>
      <c r="D637" s="141"/>
      <c r="E637" s="141"/>
      <c r="F637" s="141"/>
      <c r="G637" s="141"/>
      <c r="H637" s="141"/>
      <c r="I637" s="141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>
      <c r="A638" s="146"/>
      <c r="B638" s="141"/>
      <c r="C638" s="141"/>
      <c r="D638" s="141"/>
      <c r="E638" s="141"/>
      <c r="F638" s="141"/>
      <c r="G638" s="141"/>
      <c r="H638" s="141"/>
      <c r="I638" s="141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>
      <c r="A639" s="146"/>
      <c r="B639" s="141"/>
      <c r="C639" s="141"/>
      <c r="D639" s="141"/>
      <c r="E639" s="141"/>
      <c r="F639" s="141"/>
      <c r="G639" s="141"/>
      <c r="H639" s="141"/>
      <c r="I639" s="141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>
      <c r="A640" s="146"/>
      <c r="B640" s="141"/>
      <c r="C640" s="141"/>
      <c r="D640" s="141"/>
      <c r="E640" s="141"/>
      <c r="F640" s="141"/>
      <c r="G640" s="141"/>
      <c r="H640" s="141"/>
      <c r="I640" s="141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>
      <c r="A641" s="146"/>
      <c r="B641" s="141"/>
      <c r="C641" s="141"/>
      <c r="D641" s="141"/>
      <c r="E641" s="141"/>
      <c r="F641" s="141"/>
      <c r="G641" s="141"/>
      <c r="H641" s="141"/>
      <c r="I641" s="141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>
      <c r="A642" s="146"/>
      <c r="B642" s="141"/>
      <c r="C642" s="141"/>
      <c r="D642" s="141"/>
      <c r="E642" s="141"/>
      <c r="F642" s="141"/>
      <c r="G642" s="141"/>
      <c r="H642" s="141"/>
      <c r="I642" s="141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>
      <c r="A643" s="146"/>
      <c r="B643" s="141"/>
      <c r="C643" s="141"/>
      <c r="D643" s="141"/>
      <c r="E643" s="141"/>
      <c r="F643" s="141"/>
      <c r="G643" s="141"/>
      <c r="H643" s="141"/>
      <c r="I643" s="141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>
      <c r="A644" s="146"/>
      <c r="B644" s="141"/>
      <c r="C644" s="141"/>
      <c r="D644" s="141"/>
      <c r="E644" s="141"/>
      <c r="F644" s="141"/>
      <c r="G644" s="141"/>
      <c r="H644" s="141"/>
      <c r="I644" s="141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>
      <c r="A645" s="146"/>
      <c r="B645" s="141"/>
      <c r="C645" s="141"/>
      <c r="D645" s="141"/>
      <c r="E645" s="141"/>
      <c r="F645" s="141"/>
      <c r="G645" s="141"/>
      <c r="H645" s="141"/>
      <c r="I645" s="141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>
      <c r="A646" s="146"/>
      <c r="B646" s="141"/>
      <c r="C646" s="141"/>
      <c r="D646" s="141"/>
      <c r="E646" s="141"/>
      <c r="F646" s="141"/>
      <c r="G646" s="141"/>
      <c r="H646" s="141"/>
      <c r="I646" s="141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>
      <c r="A647" s="146"/>
      <c r="B647" s="141"/>
      <c r="C647" s="141"/>
      <c r="D647" s="141"/>
      <c r="E647" s="141"/>
      <c r="F647" s="141"/>
      <c r="G647" s="141"/>
      <c r="H647" s="141"/>
      <c r="I647" s="141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>
      <c r="A648" s="146"/>
      <c r="B648" s="141"/>
      <c r="C648" s="141"/>
      <c r="D648" s="141"/>
      <c r="E648" s="141"/>
      <c r="F648" s="141"/>
      <c r="G648" s="141"/>
      <c r="H648" s="141"/>
      <c r="I648" s="141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>
      <c r="A649" s="146"/>
      <c r="B649" s="141"/>
      <c r="C649" s="141"/>
      <c r="D649" s="141"/>
      <c r="E649" s="141"/>
      <c r="F649" s="141"/>
      <c r="G649" s="141"/>
      <c r="H649" s="141"/>
      <c r="I649" s="141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>
      <c r="A650" s="146"/>
      <c r="B650" s="141"/>
      <c r="C650" s="141"/>
      <c r="D650" s="141"/>
      <c r="E650" s="141"/>
      <c r="F650" s="141"/>
      <c r="G650" s="141"/>
      <c r="H650" s="141"/>
      <c r="I650" s="141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>
      <c r="A651" s="146"/>
      <c r="B651" s="141"/>
      <c r="C651" s="141"/>
      <c r="D651" s="141"/>
      <c r="E651" s="141"/>
      <c r="F651" s="141"/>
      <c r="G651" s="141"/>
      <c r="H651" s="141"/>
      <c r="I651" s="141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>
      <c r="A652" s="146"/>
      <c r="B652" s="141"/>
      <c r="C652" s="141"/>
      <c r="D652" s="141"/>
      <c r="E652" s="141"/>
      <c r="F652" s="141"/>
      <c r="G652" s="141"/>
      <c r="H652" s="141"/>
      <c r="I652" s="141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>
      <c r="A653" s="146"/>
      <c r="B653" s="141"/>
      <c r="C653" s="141"/>
      <c r="D653" s="141"/>
      <c r="E653" s="141"/>
      <c r="F653" s="141"/>
      <c r="G653" s="141"/>
      <c r="H653" s="141"/>
      <c r="I653" s="141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>
      <c r="A654" s="146"/>
      <c r="B654" s="141"/>
      <c r="C654" s="141"/>
      <c r="D654" s="141"/>
      <c r="E654" s="141"/>
      <c r="F654" s="141"/>
      <c r="G654" s="141"/>
      <c r="H654" s="141"/>
      <c r="I654" s="141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>
      <c r="A655" s="146"/>
      <c r="B655" s="141"/>
      <c r="C655" s="141"/>
      <c r="D655" s="141"/>
      <c r="E655" s="141"/>
      <c r="F655" s="141"/>
      <c r="G655" s="141"/>
      <c r="H655" s="141"/>
      <c r="I655" s="141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>
      <c r="A656" s="146"/>
      <c r="B656" s="141"/>
      <c r="C656" s="141"/>
      <c r="D656" s="141"/>
      <c r="E656" s="141"/>
      <c r="F656" s="141"/>
      <c r="G656" s="141"/>
      <c r="H656" s="141"/>
      <c r="I656" s="141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>
      <c r="A657" s="146"/>
      <c r="B657" s="141"/>
      <c r="C657" s="141"/>
      <c r="D657" s="141"/>
      <c r="E657" s="141"/>
      <c r="F657" s="141"/>
      <c r="G657" s="141"/>
      <c r="H657" s="141"/>
      <c r="I657" s="141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>
      <c r="A658" s="146"/>
      <c r="B658" s="141"/>
      <c r="C658" s="141"/>
      <c r="D658" s="141"/>
      <c r="E658" s="141"/>
      <c r="F658" s="141"/>
      <c r="G658" s="141"/>
      <c r="H658" s="141"/>
      <c r="I658" s="141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>
      <c r="A659" s="146"/>
      <c r="B659" s="141"/>
      <c r="C659" s="141"/>
      <c r="D659" s="141"/>
      <c r="E659" s="141"/>
      <c r="F659" s="141"/>
      <c r="G659" s="141"/>
      <c r="H659" s="141"/>
      <c r="I659" s="141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>
      <c r="A660" s="146"/>
      <c r="B660" s="141"/>
      <c r="C660" s="141"/>
      <c r="D660" s="141"/>
      <c r="E660" s="141"/>
      <c r="F660" s="141"/>
      <c r="G660" s="141"/>
      <c r="H660" s="141"/>
      <c r="I660" s="141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>
      <c r="A661" s="146"/>
      <c r="B661" s="141"/>
      <c r="C661" s="141"/>
      <c r="D661" s="141"/>
      <c r="E661" s="141"/>
      <c r="F661" s="141"/>
      <c r="G661" s="141"/>
      <c r="H661" s="141"/>
      <c r="I661" s="141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>
      <c r="A662" s="146"/>
      <c r="B662" s="141"/>
      <c r="C662" s="141"/>
      <c r="D662" s="141"/>
      <c r="E662" s="141"/>
      <c r="F662" s="141"/>
      <c r="G662" s="141"/>
      <c r="H662" s="141"/>
      <c r="I662" s="141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>
      <c r="A663" s="146"/>
      <c r="B663" s="141"/>
      <c r="C663" s="141"/>
      <c r="D663" s="141"/>
      <c r="E663" s="141"/>
      <c r="F663" s="141"/>
      <c r="G663" s="141"/>
      <c r="H663" s="141"/>
      <c r="I663" s="141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>
      <c r="A664" s="146"/>
      <c r="B664" s="141"/>
      <c r="C664" s="141"/>
      <c r="D664" s="141"/>
      <c r="E664" s="141"/>
      <c r="F664" s="141"/>
      <c r="G664" s="141"/>
      <c r="H664" s="141"/>
      <c r="I664" s="141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>
      <c r="A665" s="146"/>
      <c r="B665" s="141"/>
      <c r="C665" s="141"/>
      <c r="D665" s="141"/>
      <c r="E665" s="141"/>
      <c r="F665" s="141"/>
      <c r="G665" s="141"/>
      <c r="H665" s="141"/>
      <c r="I665" s="141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>
      <c r="A666" s="146"/>
      <c r="B666" s="141"/>
      <c r="C666" s="141"/>
      <c r="D666" s="141"/>
      <c r="E666" s="141"/>
      <c r="F666" s="141"/>
      <c r="G666" s="141"/>
      <c r="H666" s="141"/>
      <c r="I666" s="141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>
      <c r="A667" s="146"/>
      <c r="B667" s="141"/>
      <c r="C667" s="141"/>
      <c r="D667" s="141"/>
      <c r="E667" s="141"/>
      <c r="F667" s="141"/>
      <c r="G667" s="141"/>
      <c r="H667" s="141"/>
      <c r="I667" s="141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>
      <c r="A668" s="146"/>
      <c r="B668" s="141"/>
      <c r="C668" s="141"/>
      <c r="D668" s="141"/>
      <c r="E668" s="141"/>
      <c r="F668" s="141"/>
      <c r="G668" s="141"/>
      <c r="H668" s="141"/>
      <c r="I668" s="141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>
      <c r="A669" s="146"/>
      <c r="B669" s="141"/>
      <c r="C669" s="141"/>
      <c r="D669" s="141"/>
      <c r="E669" s="141"/>
      <c r="F669" s="141"/>
      <c r="G669" s="141"/>
      <c r="H669" s="141"/>
      <c r="I669" s="141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>
      <c r="A670" s="146"/>
      <c r="B670" s="141"/>
      <c r="C670" s="141"/>
      <c r="D670" s="141"/>
      <c r="E670" s="141"/>
      <c r="F670" s="141"/>
      <c r="G670" s="141"/>
      <c r="H670" s="141"/>
      <c r="I670" s="141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>
      <c r="A671" s="146"/>
      <c r="B671" s="141"/>
      <c r="C671" s="141"/>
      <c r="D671" s="141"/>
      <c r="E671" s="141"/>
      <c r="F671" s="141"/>
      <c r="G671" s="141"/>
      <c r="H671" s="141"/>
      <c r="I671" s="141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>
      <c r="A672" s="146"/>
      <c r="B672" s="141"/>
      <c r="C672" s="141"/>
      <c r="D672" s="141"/>
      <c r="E672" s="141"/>
      <c r="F672" s="141"/>
      <c r="G672" s="141"/>
      <c r="H672" s="141"/>
      <c r="I672" s="141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>
      <c r="A673" s="146"/>
      <c r="B673" s="141"/>
      <c r="C673" s="141"/>
      <c r="D673" s="141"/>
      <c r="E673" s="141"/>
      <c r="F673" s="141"/>
      <c r="G673" s="141"/>
      <c r="H673" s="141"/>
      <c r="I673" s="141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>
      <c r="A674" s="146"/>
      <c r="B674" s="141"/>
      <c r="C674" s="141"/>
      <c r="D674" s="141"/>
      <c r="E674" s="141"/>
      <c r="F674" s="141"/>
      <c r="G674" s="141"/>
      <c r="H674" s="141"/>
      <c r="I674" s="141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>
      <c r="A675" s="146"/>
      <c r="B675" s="141"/>
      <c r="C675" s="141"/>
      <c r="D675" s="141"/>
      <c r="E675" s="141"/>
      <c r="F675" s="141"/>
      <c r="G675" s="141"/>
      <c r="H675" s="141"/>
      <c r="I675" s="141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>
      <c r="A676" s="146"/>
      <c r="B676" s="141"/>
      <c r="C676" s="141"/>
      <c r="D676" s="141"/>
      <c r="E676" s="141"/>
      <c r="F676" s="141"/>
      <c r="G676" s="141"/>
      <c r="H676" s="141"/>
      <c r="I676" s="141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>
      <c r="A677" s="146"/>
      <c r="B677" s="141"/>
      <c r="C677" s="141"/>
      <c r="D677" s="141"/>
      <c r="E677" s="141"/>
      <c r="F677" s="141"/>
      <c r="G677" s="141"/>
      <c r="H677" s="141"/>
      <c r="I677" s="141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>
      <c r="A678" s="146"/>
      <c r="B678" s="141"/>
      <c r="C678" s="141"/>
      <c r="D678" s="141"/>
      <c r="E678" s="141"/>
      <c r="F678" s="141"/>
      <c r="G678" s="141"/>
      <c r="H678" s="141"/>
      <c r="I678" s="141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>
      <c r="A679" s="146"/>
      <c r="B679" s="141"/>
      <c r="C679" s="141"/>
      <c r="D679" s="141"/>
      <c r="E679" s="141"/>
      <c r="F679" s="141"/>
      <c r="G679" s="141"/>
      <c r="H679" s="141"/>
      <c r="I679" s="141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>
      <c r="A680" s="146"/>
      <c r="B680" s="141"/>
      <c r="C680" s="141"/>
      <c r="D680" s="141"/>
      <c r="E680" s="141"/>
      <c r="F680" s="141"/>
      <c r="G680" s="141"/>
      <c r="H680" s="141"/>
      <c r="I680" s="141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>
      <c r="A681" s="146"/>
      <c r="B681" s="141"/>
      <c r="C681" s="141"/>
      <c r="D681" s="141"/>
      <c r="E681" s="141"/>
      <c r="F681" s="141"/>
      <c r="G681" s="141"/>
      <c r="H681" s="141"/>
      <c r="I681" s="141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>
      <c r="A682" s="146"/>
      <c r="B682" s="141"/>
      <c r="C682" s="141"/>
      <c r="D682" s="141"/>
      <c r="E682" s="141"/>
      <c r="F682" s="141"/>
      <c r="G682" s="141"/>
      <c r="H682" s="141"/>
      <c r="I682" s="141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>
      <c r="A683" s="146"/>
      <c r="B683" s="141"/>
      <c r="C683" s="141"/>
      <c r="D683" s="141"/>
      <c r="E683" s="141"/>
      <c r="F683" s="141"/>
      <c r="G683" s="141"/>
      <c r="H683" s="141"/>
      <c r="I683" s="141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>
      <c r="A684" s="146"/>
      <c r="B684" s="141"/>
      <c r="C684" s="141"/>
      <c r="D684" s="141"/>
      <c r="E684" s="141"/>
      <c r="F684" s="141"/>
      <c r="G684" s="141"/>
      <c r="H684" s="141"/>
      <c r="I684" s="141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>
      <c r="A685" s="146"/>
      <c r="B685" s="141"/>
      <c r="C685" s="141"/>
      <c r="D685" s="141"/>
      <c r="E685" s="141"/>
      <c r="F685" s="141"/>
      <c r="G685" s="141"/>
      <c r="H685" s="141"/>
      <c r="I685" s="141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>
      <c r="A686" s="146"/>
      <c r="B686" s="141"/>
      <c r="C686" s="141"/>
      <c r="D686" s="141"/>
      <c r="E686" s="141"/>
      <c r="F686" s="141"/>
      <c r="G686" s="141"/>
      <c r="H686" s="141"/>
      <c r="I686" s="141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>
      <c r="A687" s="146"/>
      <c r="B687" s="141"/>
      <c r="C687" s="141"/>
      <c r="D687" s="141"/>
      <c r="E687" s="141"/>
      <c r="F687" s="141"/>
      <c r="G687" s="141"/>
      <c r="H687" s="141"/>
      <c r="I687" s="141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>
      <c r="A688" s="146"/>
      <c r="B688" s="141"/>
      <c r="C688" s="141"/>
      <c r="D688" s="141"/>
      <c r="E688" s="141"/>
      <c r="F688" s="141"/>
      <c r="G688" s="141"/>
      <c r="H688" s="141"/>
      <c r="I688" s="141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>
      <c r="A689" s="146"/>
      <c r="B689" s="141"/>
      <c r="C689" s="141"/>
      <c r="D689" s="141"/>
      <c r="E689" s="141"/>
      <c r="F689" s="141"/>
      <c r="G689" s="141"/>
      <c r="H689" s="141"/>
      <c r="I689" s="141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>
      <c r="A690" s="146"/>
      <c r="B690" s="141"/>
      <c r="C690" s="141"/>
      <c r="D690" s="141"/>
      <c r="E690" s="141"/>
      <c r="F690" s="141"/>
      <c r="G690" s="141"/>
      <c r="H690" s="141"/>
      <c r="I690" s="141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>
      <c r="A691" s="146"/>
      <c r="B691" s="141"/>
      <c r="C691" s="141"/>
      <c r="D691" s="141"/>
      <c r="E691" s="141"/>
      <c r="F691" s="141"/>
      <c r="G691" s="141"/>
      <c r="H691" s="141"/>
      <c r="I691" s="141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>
      <c r="A692" s="146"/>
      <c r="B692" s="141"/>
      <c r="C692" s="141"/>
      <c r="D692" s="141"/>
      <c r="E692" s="141"/>
      <c r="F692" s="141"/>
      <c r="G692" s="141"/>
      <c r="H692" s="141"/>
      <c r="I692" s="141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>
      <c r="A693" s="146"/>
      <c r="B693" s="141"/>
      <c r="C693" s="141"/>
      <c r="D693" s="141"/>
      <c r="E693" s="141"/>
      <c r="F693" s="141"/>
      <c r="G693" s="141"/>
      <c r="H693" s="141"/>
      <c r="I693" s="141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>
      <c r="A694" s="146"/>
      <c r="B694" s="141"/>
      <c r="C694" s="141"/>
      <c r="D694" s="141"/>
      <c r="E694" s="141"/>
      <c r="F694" s="141"/>
      <c r="G694" s="141"/>
      <c r="H694" s="141"/>
      <c r="I694" s="141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>
      <c r="A695" s="146"/>
      <c r="B695" s="141"/>
      <c r="C695" s="141"/>
      <c r="D695" s="141"/>
      <c r="E695" s="141"/>
      <c r="F695" s="141"/>
      <c r="G695" s="141"/>
      <c r="H695" s="141"/>
      <c r="I695" s="141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>
      <c r="A696" s="146"/>
      <c r="B696" s="141"/>
      <c r="C696" s="141"/>
      <c r="D696" s="141"/>
      <c r="E696" s="141"/>
      <c r="F696" s="141"/>
      <c r="G696" s="141"/>
      <c r="H696" s="141"/>
      <c r="I696" s="141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>
      <c r="A697" s="146"/>
      <c r="B697" s="141"/>
      <c r="C697" s="141"/>
      <c r="D697" s="141"/>
      <c r="E697" s="141"/>
      <c r="F697" s="141"/>
      <c r="G697" s="141"/>
      <c r="H697" s="141"/>
      <c r="I697" s="141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>
      <c r="A698" s="146"/>
      <c r="B698" s="141"/>
      <c r="C698" s="141"/>
      <c r="D698" s="141"/>
      <c r="E698" s="141"/>
      <c r="F698" s="141"/>
      <c r="G698" s="141"/>
      <c r="H698" s="141"/>
      <c r="I698" s="141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>
      <c r="A699" s="146"/>
      <c r="B699" s="141"/>
      <c r="C699" s="141"/>
      <c r="D699" s="141"/>
      <c r="E699" s="141"/>
      <c r="F699" s="141"/>
      <c r="G699" s="141"/>
      <c r="H699" s="141"/>
      <c r="I699" s="141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>
      <c r="A700" s="146"/>
      <c r="B700" s="141"/>
      <c r="C700" s="141"/>
      <c r="D700" s="141"/>
      <c r="E700" s="141"/>
      <c r="F700" s="141"/>
      <c r="G700" s="141"/>
      <c r="H700" s="141"/>
      <c r="I700" s="141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>
      <c r="A701" s="146"/>
      <c r="B701" s="141"/>
      <c r="C701" s="141"/>
      <c r="D701" s="141"/>
      <c r="E701" s="141"/>
      <c r="F701" s="141"/>
      <c r="G701" s="141"/>
      <c r="H701" s="141"/>
      <c r="I701" s="141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>
      <c r="A702" s="146"/>
      <c r="B702" s="141"/>
      <c r="C702" s="141"/>
      <c r="D702" s="141"/>
      <c r="E702" s="141"/>
      <c r="F702" s="141"/>
      <c r="G702" s="141"/>
      <c r="H702" s="141"/>
      <c r="I702" s="141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>
      <c r="A703" s="146"/>
      <c r="B703" s="141"/>
      <c r="C703" s="141"/>
      <c r="D703" s="141"/>
      <c r="E703" s="141"/>
      <c r="F703" s="141"/>
      <c r="G703" s="141"/>
      <c r="H703" s="141"/>
      <c r="I703" s="141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>
      <c r="A704" s="146"/>
      <c r="B704" s="141"/>
      <c r="C704" s="141"/>
      <c r="D704" s="141"/>
      <c r="E704" s="141"/>
      <c r="F704" s="141"/>
      <c r="G704" s="141"/>
      <c r="H704" s="141"/>
      <c r="I704" s="141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>
      <c r="A705" s="146"/>
      <c r="B705" s="141"/>
      <c r="C705" s="141"/>
      <c r="D705" s="141"/>
      <c r="E705" s="141"/>
      <c r="F705" s="141"/>
      <c r="G705" s="141"/>
      <c r="H705" s="141"/>
      <c r="I705" s="141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>
      <c r="A706" s="146"/>
      <c r="B706" s="141"/>
      <c r="C706" s="141"/>
      <c r="D706" s="141"/>
      <c r="E706" s="141"/>
      <c r="F706" s="141"/>
      <c r="G706" s="141"/>
      <c r="H706" s="141"/>
      <c r="I706" s="141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>
      <c r="A707" s="146"/>
      <c r="B707" s="141"/>
      <c r="C707" s="141"/>
      <c r="D707" s="141"/>
      <c r="E707" s="141"/>
      <c r="F707" s="141"/>
      <c r="G707" s="141"/>
      <c r="H707" s="141"/>
      <c r="I707" s="141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>
      <c r="A708" s="146"/>
      <c r="B708" s="141"/>
      <c r="C708" s="141"/>
      <c r="D708" s="141"/>
      <c r="E708" s="141"/>
      <c r="F708" s="141"/>
      <c r="G708" s="141"/>
      <c r="H708" s="141"/>
      <c r="I708" s="141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>
      <c r="A709" s="146"/>
      <c r="B709" s="141"/>
      <c r="C709" s="141"/>
      <c r="D709" s="141"/>
      <c r="E709" s="141"/>
      <c r="F709" s="141"/>
      <c r="G709" s="141"/>
      <c r="H709" s="141"/>
      <c r="I709" s="141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>
      <c r="A710" s="146"/>
      <c r="B710" s="141"/>
      <c r="C710" s="141"/>
      <c r="D710" s="141"/>
      <c r="E710" s="141"/>
      <c r="F710" s="141"/>
      <c r="G710" s="141"/>
      <c r="H710" s="141"/>
      <c r="I710" s="141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>
      <c r="A711" s="146"/>
      <c r="B711" s="141"/>
      <c r="C711" s="141"/>
      <c r="D711" s="141"/>
      <c r="E711" s="141"/>
      <c r="F711" s="141"/>
      <c r="G711" s="141"/>
      <c r="H711" s="141"/>
      <c r="I711" s="141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>
      <c r="A712" s="146"/>
      <c r="B712" s="141"/>
      <c r="C712" s="141"/>
      <c r="D712" s="141"/>
      <c r="E712" s="141"/>
      <c r="F712" s="141"/>
      <c r="G712" s="141"/>
      <c r="H712" s="141"/>
      <c r="I712" s="141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>
      <c r="A713" s="146"/>
      <c r="B713" s="141"/>
      <c r="C713" s="141"/>
      <c r="D713" s="141"/>
      <c r="E713" s="141"/>
      <c r="F713" s="141"/>
      <c r="G713" s="141"/>
      <c r="H713" s="141"/>
      <c r="I713" s="141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>
      <c r="A714" s="146"/>
      <c r="B714" s="141"/>
      <c r="C714" s="141"/>
      <c r="D714" s="141"/>
      <c r="E714" s="141"/>
      <c r="F714" s="141"/>
      <c r="G714" s="141"/>
      <c r="H714" s="141"/>
      <c r="I714" s="141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>
      <c r="A715" s="146"/>
      <c r="B715" s="141"/>
      <c r="C715" s="141"/>
      <c r="D715" s="141"/>
      <c r="E715" s="141"/>
      <c r="F715" s="141"/>
      <c r="G715" s="141"/>
      <c r="H715" s="141"/>
      <c r="I715" s="141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>
      <c r="A716" s="146"/>
      <c r="B716" s="141"/>
      <c r="C716" s="141"/>
      <c r="D716" s="141"/>
      <c r="E716" s="141"/>
      <c r="F716" s="141"/>
      <c r="G716" s="141"/>
      <c r="H716" s="141"/>
      <c r="I716" s="141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>
      <c r="A717" s="146"/>
      <c r="B717" s="141"/>
      <c r="C717" s="141"/>
      <c r="D717" s="141"/>
      <c r="E717" s="141"/>
      <c r="F717" s="141"/>
      <c r="G717" s="141"/>
      <c r="H717" s="141"/>
      <c r="I717" s="141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>
      <c r="A718" s="146"/>
      <c r="B718" s="141"/>
      <c r="C718" s="141"/>
      <c r="D718" s="141"/>
      <c r="E718" s="141"/>
      <c r="F718" s="141"/>
      <c r="G718" s="141"/>
      <c r="H718" s="141"/>
      <c r="I718" s="141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>
      <c r="A719" s="146"/>
      <c r="B719" s="141"/>
      <c r="C719" s="141"/>
      <c r="D719" s="141"/>
      <c r="E719" s="141"/>
      <c r="F719" s="141"/>
      <c r="G719" s="141"/>
      <c r="H719" s="141"/>
      <c r="I719" s="141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>
      <c r="A720" s="146"/>
      <c r="B720" s="141"/>
      <c r="C720" s="141"/>
      <c r="D720" s="141"/>
      <c r="E720" s="141"/>
      <c r="F720" s="141"/>
      <c r="G720" s="141"/>
      <c r="H720" s="141"/>
      <c r="I720" s="141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>
      <c r="A721" s="146"/>
      <c r="B721" s="141"/>
      <c r="C721" s="141"/>
      <c r="D721" s="141"/>
      <c r="E721" s="141"/>
      <c r="F721" s="141"/>
      <c r="G721" s="141"/>
      <c r="H721" s="141"/>
      <c r="I721" s="141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>
      <c r="A722" s="146"/>
      <c r="B722" s="141"/>
      <c r="C722" s="141"/>
      <c r="D722" s="141"/>
      <c r="E722" s="141"/>
      <c r="F722" s="141"/>
      <c r="G722" s="141"/>
      <c r="H722" s="141"/>
      <c r="I722" s="141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>
      <c r="A723" s="146"/>
      <c r="B723" s="141"/>
      <c r="C723" s="141"/>
      <c r="D723" s="141"/>
      <c r="E723" s="141"/>
      <c r="F723" s="141"/>
      <c r="G723" s="141"/>
      <c r="H723" s="141"/>
      <c r="I723" s="141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>
      <c r="A724" s="146"/>
      <c r="B724" s="141"/>
      <c r="C724" s="141"/>
      <c r="D724" s="141"/>
      <c r="E724" s="141"/>
      <c r="F724" s="141"/>
      <c r="G724" s="141"/>
      <c r="H724" s="141"/>
      <c r="I724" s="141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>
      <c r="A725" s="146"/>
      <c r="B725" s="141"/>
      <c r="C725" s="141"/>
      <c r="D725" s="141"/>
      <c r="E725" s="141"/>
      <c r="F725" s="141"/>
      <c r="G725" s="141"/>
      <c r="H725" s="141"/>
      <c r="I725" s="141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>
      <c r="A726" s="146"/>
      <c r="B726" s="141"/>
      <c r="C726" s="141"/>
      <c r="D726" s="141"/>
      <c r="E726" s="141"/>
      <c r="F726" s="141"/>
      <c r="G726" s="141"/>
      <c r="H726" s="141"/>
      <c r="I726" s="141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>
      <c r="A727" s="146"/>
      <c r="B727" s="141"/>
      <c r="C727" s="141"/>
      <c r="D727" s="141"/>
      <c r="E727" s="141"/>
      <c r="F727" s="141"/>
      <c r="G727" s="141"/>
      <c r="H727" s="141"/>
      <c r="I727" s="141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>
      <c r="A728" s="146"/>
      <c r="B728" s="141"/>
      <c r="C728" s="141"/>
      <c r="D728" s="141"/>
      <c r="E728" s="141"/>
      <c r="F728" s="141"/>
      <c r="G728" s="141"/>
      <c r="H728" s="141"/>
      <c r="I728" s="141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>
      <c r="A729" s="146"/>
      <c r="B729" s="141"/>
      <c r="C729" s="141"/>
      <c r="D729" s="141"/>
      <c r="E729" s="141"/>
      <c r="F729" s="141"/>
      <c r="G729" s="141"/>
      <c r="H729" s="141"/>
      <c r="I729" s="141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>
      <c r="A730" s="146"/>
      <c r="B730" s="141"/>
      <c r="C730" s="141"/>
      <c r="D730" s="141"/>
      <c r="E730" s="141"/>
      <c r="F730" s="141"/>
      <c r="G730" s="141"/>
      <c r="H730" s="141"/>
      <c r="I730" s="141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>
      <c r="A731" s="146"/>
      <c r="B731" s="141"/>
      <c r="C731" s="141"/>
      <c r="D731" s="141"/>
      <c r="E731" s="141"/>
      <c r="F731" s="141"/>
      <c r="G731" s="141"/>
      <c r="H731" s="141"/>
      <c r="I731" s="141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>
      <c r="A732" s="146"/>
      <c r="B732" s="141"/>
      <c r="C732" s="141"/>
      <c r="D732" s="141"/>
      <c r="E732" s="141"/>
      <c r="F732" s="141"/>
      <c r="G732" s="141"/>
      <c r="H732" s="141"/>
      <c r="I732" s="141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>
      <c r="A733" s="146"/>
      <c r="B733" s="141"/>
      <c r="C733" s="141"/>
      <c r="D733" s="141"/>
      <c r="E733" s="141"/>
      <c r="F733" s="141"/>
      <c r="G733" s="141"/>
      <c r="H733" s="141"/>
      <c r="I733" s="141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>
      <c r="A734" s="146"/>
      <c r="B734" s="141"/>
      <c r="C734" s="141"/>
      <c r="D734" s="141"/>
      <c r="E734" s="141"/>
      <c r="F734" s="141"/>
      <c r="G734" s="141"/>
      <c r="H734" s="141"/>
      <c r="I734" s="141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>
      <c r="A735" s="146"/>
      <c r="B735" s="141"/>
      <c r="C735" s="141"/>
      <c r="D735" s="141"/>
      <c r="E735" s="141"/>
      <c r="F735" s="141"/>
      <c r="G735" s="141"/>
      <c r="H735" s="141"/>
      <c r="I735" s="141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>
      <c r="A736" s="146"/>
      <c r="B736" s="141"/>
      <c r="C736" s="141"/>
      <c r="D736" s="141"/>
      <c r="E736" s="141"/>
      <c r="F736" s="141"/>
      <c r="G736" s="141"/>
      <c r="H736" s="141"/>
      <c r="I736" s="141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>
      <c r="A737" s="146"/>
      <c r="B737" s="141"/>
      <c r="C737" s="141"/>
      <c r="D737" s="141"/>
      <c r="E737" s="141"/>
      <c r="F737" s="141"/>
      <c r="G737" s="141"/>
      <c r="H737" s="141"/>
      <c r="I737" s="141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>
      <c r="A738" s="146"/>
      <c r="B738" s="141"/>
      <c r="C738" s="141"/>
      <c r="D738" s="141"/>
      <c r="E738" s="141"/>
      <c r="F738" s="141"/>
      <c r="G738" s="141"/>
      <c r="H738" s="141"/>
      <c r="I738" s="141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>
      <c r="A739" s="146"/>
      <c r="B739" s="141"/>
      <c r="C739" s="141"/>
      <c r="D739" s="141"/>
      <c r="E739" s="141"/>
      <c r="F739" s="141"/>
      <c r="G739" s="141"/>
      <c r="H739" s="141"/>
      <c r="I739" s="141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>
      <c r="A740" s="146"/>
      <c r="B740" s="141"/>
      <c r="C740" s="141"/>
      <c r="D740" s="141"/>
      <c r="E740" s="141"/>
      <c r="F740" s="141"/>
      <c r="G740" s="141"/>
      <c r="H740" s="141"/>
      <c r="I740" s="141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>
      <c r="A741" s="146"/>
      <c r="B741" s="141"/>
      <c r="C741" s="141"/>
      <c r="D741" s="141"/>
      <c r="E741" s="141"/>
      <c r="F741" s="141"/>
      <c r="G741" s="141"/>
      <c r="H741" s="141"/>
      <c r="I741" s="141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>
      <c r="A742" s="146"/>
      <c r="B742" s="141"/>
      <c r="C742" s="141"/>
      <c r="D742" s="141"/>
      <c r="E742" s="141"/>
      <c r="F742" s="141"/>
      <c r="G742" s="141"/>
      <c r="H742" s="141"/>
      <c r="I742" s="141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>
      <c r="A743" s="146"/>
      <c r="B743" s="141"/>
      <c r="C743" s="141"/>
      <c r="D743" s="141"/>
      <c r="E743" s="141"/>
      <c r="F743" s="141"/>
      <c r="G743" s="141"/>
      <c r="H743" s="141"/>
      <c r="I743" s="141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>
      <c r="A744" s="146"/>
      <c r="B744" s="141"/>
      <c r="C744" s="141"/>
      <c r="D744" s="141"/>
      <c r="E744" s="141"/>
      <c r="F744" s="141"/>
      <c r="G744" s="141"/>
      <c r="H744" s="141"/>
      <c r="I744" s="141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>
      <c r="A745" s="146"/>
      <c r="B745" s="141"/>
      <c r="C745" s="141"/>
      <c r="D745" s="141"/>
      <c r="E745" s="141"/>
      <c r="F745" s="141"/>
      <c r="G745" s="141"/>
      <c r="H745" s="141"/>
      <c r="I745" s="141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>
      <c r="A746" s="146"/>
      <c r="B746" s="141"/>
      <c r="C746" s="141"/>
      <c r="D746" s="141"/>
      <c r="E746" s="141"/>
      <c r="F746" s="141"/>
      <c r="G746" s="141"/>
      <c r="H746" s="141"/>
      <c r="I746" s="141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>
      <c r="A747" s="146"/>
      <c r="B747" s="141"/>
      <c r="C747" s="141"/>
      <c r="D747" s="141"/>
      <c r="E747" s="141"/>
      <c r="F747" s="141"/>
      <c r="G747" s="141"/>
      <c r="H747" s="141"/>
      <c r="I747" s="141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>
      <c r="A748" s="146"/>
      <c r="B748" s="141"/>
      <c r="C748" s="141"/>
      <c r="D748" s="141"/>
      <c r="E748" s="141"/>
      <c r="F748" s="141"/>
      <c r="G748" s="141"/>
      <c r="H748" s="141"/>
      <c r="I748" s="141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>
      <c r="A749" s="146"/>
      <c r="B749" s="141"/>
      <c r="C749" s="141"/>
      <c r="D749" s="141"/>
      <c r="E749" s="141"/>
      <c r="F749" s="141"/>
      <c r="G749" s="141"/>
      <c r="H749" s="141"/>
      <c r="I749" s="141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>
      <c r="A750" s="146"/>
      <c r="B750" s="141"/>
      <c r="C750" s="141"/>
      <c r="D750" s="141"/>
      <c r="E750" s="141"/>
      <c r="F750" s="141"/>
      <c r="G750" s="141"/>
      <c r="H750" s="141"/>
      <c r="I750" s="141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>
      <c r="A751" s="146"/>
      <c r="B751" s="141"/>
      <c r="C751" s="141"/>
      <c r="D751" s="141"/>
      <c r="E751" s="141"/>
      <c r="F751" s="141"/>
      <c r="G751" s="141"/>
      <c r="H751" s="141"/>
      <c r="I751" s="141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>
      <c r="A752" s="146"/>
      <c r="B752" s="141"/>
      <c r="C752" s="141"/>
      <c r="D752" s="141"/>
      <c r="E752" s="141"/>
      <c r="F752" s="141"/>
      <c r="G752" s="141"/>
      <c r="H752" s="141"/>
      <c r="I752" s="141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>
      <c r="A753" s="146"/>
      <c r="B753" s="141"/>
      <c r="C753" s="141"/>
      <c r="D753" s="141"/>
      <c r="E753" s="141"/>
      <c r="F753" s="141"/>
      <c r="G753" s="141"/>
      <c r="H753" s="141"/>
      <c r="I753" s="141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>
      <c r="A754" s="146"/>
      <c r="B754" s="141"/>
      <c r="C754" s="141"/>
      <c r="D754" s="141"/>
      <c r="E754" s="141"/>
      <c r="F754" s="141"/>
      <c r="G754" s="141"/>
      <c r="H754" s="141"/>
      <c r="I754" s="141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>
      <c r="A755" s="146"/>
      <c r="B755" s="141"/>
      <c r="C755" s="141"/>
      <c r="D755" s="141"/>
      <c r="E755" s="141"/>
      <c r="F755" s="141"/>
      <c r="G755" s="141"/>
      <c r="H755" s="141"/>
      <c r="I755" s="141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>
      <c r="A756" s="146"/>
      <c r="B756" s="141"/>
      <c r="C756" s="141"/>
      <c r="D756" s="141"/>
      <c r="E756" s="141"/>
      <c r="F756" s="141"/>
      <c r="G756" s="141"/>
      <c r="H756" s="141"/>
      <c r="I756" s="141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>
      <c r="A757" s="146"/>
      <c r="B757" s="141"/>
      <c r="C757" s="141"/>
      <c r="D757" s="141"/>
      <c r="E757" s="141"/>
      <c r="F757" s="141"/>
      <c r="G757" s="141"/>
      <c r="H757" s="141"/>
      <c r="I757" s="141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>
      <c r="A758" s="146"/>
      <c r="B758" s="141"/>
      <c r="C758" s="141"/>
      <c r="D758" s="141"/>
      <c r="E758" s="141"/>
      <c r="F758" s="141"/>
      <c r="G758" s="141"/>
      <c r="H758" s="141"/>
      <c r="I758" s="141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>
      <c r="A759" s="146"/>
      <c r="B759" s="141"/>
      <c r="C759" s="141"/>
      <c r="D759" s="141"/>
      <c r="E759" s="141"/>
      <c r="F759" s="141"/>
      <c r="G759" s="141"/>
      <c r="H759" s="141"/>
      <c r="I759" s="141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>
      <c r="A760" s="146"/>
      <c r="B760" s="141"/>
      <c r="C760" s="141"/>
      <c r="D760" s="141"/>
      <c r="E760" s="141"/>
      <c r="F760" s="141"/>
      <c r="G760" s="141"/>
      <c r="H760" s="141"/>
      <c r="I760" s="141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>
      <c r="A761" s="146"/>
      <c r="B761" s="141"/>
      <c r="C761" s="141"/>
      <c r="D761" s="141"/>
      <c r="E761" s="141"/>
      <c r="F761" s="141"/>
      <c r="G761" s="141"/>
      <c r="H761" s="141"/>
      <c r="I761" s="141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>
      <c r="A762" s="146"/>
      <c r="B762" s="141"/>
      <c r="C762" s="141"/>
      <c r="D762" s="141"/>
      <c r="E762" s="141"/>
      <c r="F762" s="141"/>
      <c r="G762" s="141"/>
      <c r="H762" s="141"/>
      <c r="I762" s="141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>
      <c r="A763" s="146"/>
      <c r="B763" s="141"/>
      <c r="C763" s="141"/>
      <c r="D763" s="141"/>
      <c r="E763" s="141"/>
      <c r="F763" s="141"/>
      <c r="G763" s="141"/>
      <c r="H763" s="141"/>
      <c r="I763" s="141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>
      <c r="A764" s="146"/>
      <c r="B764" s="141"/>
      <c r="C764" s="141"/>
      <c r="D764" s="141"/>
      <c r="E764" s="141"/>
      <c r="F764" s="141"/>
      <c r="G764" s="141"/>
      <c r="H764" s="141"/>
      <c r="I764" s="141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>
      <c r="A765" s="146"/>
      <c r="B765" s="141"/>
      <c r="C765" s="141"/>
      <c r="D765" s="141"/>
      <c r="E765" s="141"/>
      <c r="F765" s="141"/>
      <c r="G765" s="141"/>
      <c r="H765" s="141"/>
      <c r="I765" s="141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>
      <c r="A766" s="146"/>
      <c r="B766" s="141"/>
      <c r="C766" s="141"/>
      <c r="D766" s="141"/>
      <c r="E766" s="141"/>
      <c r="F766" s="141"/>
      <c r="G766" s="141"/>
      <c r="H766" s="141"/>
      <c r="I766" s="141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>
      <c r="A767" s="146"/>
      <c r="B767" s="141"/>
      <c r="C767" s="141"/>
      <c r="D767" s="141"/>
      <c r="E767" s="141"/>
      <c r="F767" s="141"/>
      <c r="G767" s="141"/>
      <c r="H767" s="141"/>
      <c r="I767" s="141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>
      <c r="A768" s="146"/>
      <c r="B768" s="141"/>
      <c r="C768" s="141"/>
      <c r="D768" s="141"/>
      <c r="E768" s="141"/>
      <c r="F768" s="141"/>
      <c r="G768" s="141"/>
      <c r="H768" s="141"/>
      <c r="I768" s="141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>
      <c r="A769" s="146"/>
      <c r="B769" s="141"/>
      <c r="C769" s="141"/>
      <c r="D769" s="141"/>
      <c r="E769" s="141"/>
      <c r="F769" s="141"/>
      <c r="G769" s="141"/>
      <c r="H769" s="141"/>
      <c r="I769" s="141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>
      <c r="A770" s="146"/>
      <c r="B770" s="141"/>
      <c r="C770" s="141"/>
      <c r="D770" s="141"/>
      <c r="E770" s="141"/>
      <c r="F770" s="141"/>
      <c r="G770" s="141"/>
      <c r="H770" s="141"/>
      <c r="I770" s="141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>
      <c r="A771" s="146"/>
      <c r="B771" s="141"/>
      <c r="C771" s="141"/>
      <c r="D771" s="141"/>
      <c r="E771" s="141"/>
      <c r="F771" s="141"/>
      <c r="G771" s="141"/>
      <c r="H771" s="141"/>
      <c r="I771" s="141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>
      <c r="A772" s="146"/>
      <c r="B772" s="141"/>
      <c r="C772" s="141"/>
      <c r="D772" s="141"/>
      <c r="E772" s="141"/>
      <c r="F772" s="141"/>
      <c r="G772" s="141"/>
      <c r="H772" s="141"/>
      <c r="I772" s="141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>
      <c r="A773" s="146"/>
      <c r="B773" s="141"/>
      <c r="C773" s="141"/>
      <c r="D773" s="141"/>
      <c r="E773" s="141"/>
      <c r="F773" s="141"/>
      <c r="G773" s="141"/>
      <c r="H773" s="141"/>
      <c r="I773" s="141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>
      <c r="A774" s="146"/>
      <c r="B774" s="141"/>
      <c r="C774" s="141"/>
      <c r="D774" s="141"/>
      <c r="E774" s="141"/>
      <c r="F774" s="141"/>
      <c r="G774" s="141"/>
      <c r="H774" s="141"/>
      <c r="I774" s="141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>
      <c r="A775" s="146"/>
      <c r="B775" s="141"/>
      <c r="C775" s="141"/>
      <c r="D775" s="141"/>
      <c r="E775" s="141"/>
      <c r="F775" s="141"/>
      <c r="G775" s="141"/>
      <c r="H775" s="141"/>
      <c r="I775" s="141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>
      <c r="A776" s="146"/>
      <c r="B776" s="141"/>
      <c r="C776" s="141"/>
      <c r="D776" s="141"/>
      <c r="E776" s="141"/>
      <c r="F776" s="141"/>
      <c r="G776" s="141"/>
      <c r="H776" s="141"/>
      <c r="I776" s="141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>
      <c r="A777" s="146"/>
      <c r="B777" s="141"/>
      <c r="C777" s="141"/>
      <c r="D777" s="141"/>
      <c r="E777" s="141"/>
      <c r="F777" s="141"/>
      <c r="G777" s="141"/>
      <c r="H777" s="141"/>
      <c r="I777" s="141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>
      <c r="A778" s="146"/>
      <c r="B778" s="141"/>
      <c r="C778" s="141"/>
      <c r="D778" s="141"/>
      <c r="E778" s="141"/>
      <c r="F778" s="141"/>
      <c r="G778" s="141"/>
      <c r="H778" s="141"/>
      <c r="I778" s="141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>
      <c r="A779" s="146"/>
      <c r="B779" s="141"/>
      <c r="C779" s="141"/>
      <c r="D779" s="141"/>
      <c r="E779" s="141"/>
      <c r="F779" s="141"/>
      <c r="G779" s="141"/>
      <c r="H779" s="141"/>
      <c r="I779" s="141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>
      <c r="A780" s="146"/>
      <c r="B780" s="141"/>
      <c r="C780" s="141"/>
      <c r="D780" s="141"/>
      <c r="E780" s="141"/>
      <c r="F780" s="141"/>
      <c r="G780" s="141"/>
      <c r="H780" s="141"/>
      <c r="I780" s="141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>
      <c r="A781" s="146"/>
      <c r="B781" s="141"/>
      <c r="C781" s="141"/>
      <c r="D781" s="141"/>
      <c r="E781" s="141"/>
      <c r="F781" s="141"/>
      <c r="G781" s="141"/>
      <c r="H781" s="141"/>
      <c r="I781" s="141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>
      <c r="A782" s="146"/>
      <c r="B782" s="141"/>
      <c r="C782" s="141"/>
      <c r="D782" s="141"/>
      <c r="E782" s="141"/>
      <c r="F782" s="141"/>
      <c r="G782" s="141"/>
      <c r="H782" s="141"/>
      <c r="I782" s="141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>
      <c r="A783" s="146"/>
      <c r="B783" s="141"/>
      <c r="C783" s="141"/>
      <c r="D783" s="141"/>
      <c r="E783" s="141"/>
      <c r="F783" s="141"/>
      <c r="G783" s="141"/>
      <c r="H783" s="141"/>
      <c r="I783" s="141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>
      <c r="A784" s="146"/>
      <c r="B784" s="141"/>
      <c r="C784" s="141"/>
      <c r="D784" s="141"/>
      <c r="E784" s="141"/>
      <c r="F784" s="141"/>
      <c r="G784" s="141"/>
      <c r="H784" s="141"/>
      <c r="I784" s="141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>
      <c r="A785" s="146"/>
      <c r="B785" s="141"/>
      <c r="C785" s="141"/>
      <c r="D785" s="141"/>
      <c r="E785" s="141"/>
      <c r="F785" s="141"/>
      <c r="G785" s="141"/>
      <c r="H785" s="141"/>
      <c r="I785" s="141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>
      <c r="A786" s="146"/>
      <c r="B786" s="141"/>
      <c r="C786" s="141"/>
      <c r="D786" s="141"/>
      <c r="E786" s="141"/>
      <c r="F786" s="141"/>
      <c r="G786" s="141"/>
      <c r="H786" s="141"/>
      <c r="I786" s="141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>
      <c r="A787" s="146"/>
      <c r="B787" s="141"/>
      <c r="C787" s="141"/>
      <c r="D787" s="141"/>
      <c r="E787" s="141"/>
      <c r="F787" s="141"/>
      <c r="G787" s="141"/>
      <c r="H787" s="141"/>
      <c r="I787" s="141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>
      <c r="A788" s="146"/>
      <c r="B788" s="141"/>
      <c r="C788" s="141"/>
      <c r="D788" s="141"/>
      <c r="E788" s="141"/>
      <c r="F788" s="141"/>
      <c r="G788" s="141"/>
      <c r="H788" s="141"/>
      <c r="I788" s="141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>
      <c r="A789" s="146"/>
      <c r="B789" s="141"/>
      <c r="C789" s="141"/>
      <c r="D789" s="141"/>
      <c r="E789" s="141"/>
      <c r="F789" s="141"/>
      <c r="G789" s="141"/>
      <c r="H789" s="141"/>
      <c r="I789" s="141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>
      <c r="A790" s="146"/>
      <c r="B790" s="141"/>
      <c r="C790" s="141"/>
      <c r="D790" s="141"/>
      <c r="E790" s="141"/>
      <c r="F790" s="141"/>
      <c r="G790" s="141"/>
      <c r="H790" s="141"/>
      <c r="I790" s="141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>
      <c r="A791" s="146"/>
      <c r="B791" s="141"/>
      <c r="C791" s="141"/>
      <c r="D791" s="141"/>
      <c r="E791" s="141"/>
      <c r="F791" s="141"/>
      <c r="G791" s="141"/>
      <c r="H791" s="141"/>
      <c r="I791" s="141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>
      <c r="A792" s="146"/>
      <c r="B792" s="141"/>
      <c r="C792" s="141"/>
      <c r="D792" s="141"/>
      <c r="E792" s="141"/>
      <c r="F792" s="141"/>
      <c r="G792" s="141"/>
      <c r="H792" s="141"/>
      <c r="I792" s="141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>
      <c r="A793" s="146"/>
      <c r="B793" s="141"/>
      <c r="C793" s="141"/>
      <c r="D793" s="141"/>
      <c r="E793" s="141"/>
      <c r="F793" s="141"/>
      <c r="G793" s="141"/>
      <c r="H793" s="141"/>
      <c r="I793" s="141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>
      <c r="A794" s="146"/>
      <c r="B794" s="141"/>
      <c r="C794" s="141"/>
      <c r="D794" s="141"/>
      <c r="E794" s="141"/>
      <c r="F794" s="141"/>
      <c r="G794" s="141"/>
      <c r="H794" s="141"/>
      <c r="I794" s="141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>
      <c r="A795" s="146"/>
      <c r="B795" s="141"/>
      <c r="C795" s="141"/>
      <c r="D795" s="141"/>
      <c r="E795" s="141"/>
      <c r="F795" s="141"/>
      <c r="G795" s="141"/>
      <c r="H795" s="141"/>
      <c r="I795" s="141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>
      <c r="A796" s="146"/>
      <c r="B796" s="141"/>
      <c r="C796" s="141"/>
      <c r="D796" s="141"/>
      <c r="E796" s="141"/>
      <c r="F796" s="141"/>
      <c r="G796" s="141"/>
      <c r="H796" s="141"/>
      <c r="I796" s="141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>
      <c r="A797" s="146"/>
      <c r="B797" s="141"/>
      <c r="C797" s="141"/>
      <c r="D797" s="141"/>
      <c r="E797" s="141"/>
      <c r="F797" s="141"/>
      <c r="G797" s="141"/>
      <c r="H797" s="141"/>
      <c r="I797" s="141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>
      <c r="A798" s="146"/>
      <c r="B798" s="141"/>
      <c r="C798" s="141"/>
      <c r="D798" s="141"/>
      <c r="E798" s="141"/>
      <c r="F798" s="141"/>
      <c r="G798" s="141"/>
      <c r="H798" s="141"/>
      <c r="I798" s="141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>
      <c r="A799" s="146"/>
      <c r="B799" s="141"/>
      <c r="C799" s="141"/>
      <c r="D799" s="141"/>
      <c r="E799" s="141"/>
      <c r="F799" s="141"/>
      <c r="G799" s="141"/>
      <c r="H799" s="141"/>
      <c r="I799" s="141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>
      <c r="A800" s="146"/>
      <c r="B800" s="141"/>
      <c r="C800" s="141"/>
      <c r="D800" s="141"/>
      <c r="E800" s="141"/>
      <c r="F800" s="141"/>
      <c r="G800" s="141"/>
      <c r="H800" s="141"/>
      <c r="I800" s="141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>
      <c r="A801" s="146"/>
      <c r="B801" s="141"/>
      <c r="C801" s="141"/>
      <c r="D801" s="141"/>
      <c r="E801" s="141"/>
      <c r="F801" s="141"/>
      <c r="G801" s="141"/>
      <c r="H801" s="141"/>
      <c r="I801" s="141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>
      <c r="A802" s="146"/>
      <c r="B802" s="141"/>
      <c r="C802" s="141"/>
      <c r="D802" s="141"/>
      <c r="E802" s="141"/>
      <c r="F802" s="141"/>
      <c r="G802" s="141"/>
      <c r="H802" s="141"/>
      <c r="I802" s="141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>
      <c r="A803" s="146"/>
      <c r="B803" s="141"/>
      <c r="C803" s="141"/>
      <c r="D803" s="141"/>
      <c r="E803" s="141"/>
      <c r="F803" s="141"/>
      <c r="G803" s="141"/>
      <c r="H803" s="141"/>
      <c r="I803" s="141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>
      <c r="A804" s="146"/>
      <c r="B804" s="141"/>
      <c r="C804" s="141"/>
      <c r="D804" s="141"/>
      <c r="E804" s="141"/>
      <c r="F804" s="141"/>
      <c r="G804" s="141"/>
      <c r="H804" s="141"/>
      <c r="I804" s="141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>
      <c r="A805" s="146"/>
      <c r="B805" s="141"/>
      <c r="C805" s="141"/>
      <c r="D805" s="141"/>
      <c r="E805" s="141"/>
      <c r="F805" s="141"/>
      <c r="G805" s="141"/>
      <c r="H805" s="141"/>
      <c r="I805" s="141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>
      <c r="A806" s="146"/>
      <c r="B806" s="141"/>
      <c r="C806" s="141"/>
      <c r="D806" s="141"/>
      <c r="E806" s="141"/>
      <c r="F806" s="141"/>
      <c r="G806" s="141"/>
      <c r="H806" s="141"/>
      <c r="I806" s="141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>
      <c r="A807" s="146"/>
      <c r="B807" s="141"/>
      <c r="C807" s="141"/>
      <c r="D807" s="141"/>
      <c r="E807" s="141"/>
      <c r="F807" s="141"/>
      <c r="G807" s="141"/>
      <c r="H807" s="141"/>
      <c r="I807" s="141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>
      <c r="A808" s="146"/>
      <c r="B808" s="141"/>
      <c r="C808" s="141"/>
      <c r="D808" s="141"/>
      <c r="E808" s="141"/>
      <c r="F808" s="141"/>
      <c r="G808" s="141"/>
      <c r="H808" s="141"/>
      <c r="I808" s="141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>
      <c r="A809" s="146"/>
      <c r="B809" s="141"/>
      <c r="C809" s="141"/>
      <c r="D809" s="141"/>
      <c r="E809" s="141"/>
      <c r="F809" s="141"/>
      <c r="G809" s="141"/>
      <c r="H809" s="141"/>
      <c r="I809" s="141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>
      <c r="A810" s="146"/>
      <c r="B810" s="141"/>
      <c r="C810" s="141"/>
      <c r="D810" s="141"/>
      <c r="E810" s="141"/>
      <c r="F810" s="141"/>
      <c r="G810" s="141"/>
      <c r="H810" s="141"/>
      <c r="I810" s="141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>
      <c r="A811" s="146"/>
      <c r="B811" s="141"/>
      <c r="C811" s="141"/>
      <c r="D811" s="141"/>
      <c r="E811" s="141"/>
      <c r="F811" s="141"/>
      <c r="G811" s="141"/>
      <c r="H811" s="141"/>
      <c r="I811" s="141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>
      <c r="A812" s="146"/>
      <c r="B812" s="141"/>
      <c r="C812" s="141"/>
      <c r="D812" s="141"/>
      <c r="E812" s="141"/>
      <c r="F812" s="141"/>
      <c r="G812" s="141"/>
      <c r="H812" s="141"/>
      <c r="I812" s="141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>
      <c r="A813" s="146"/>
      <c r="B813" s="141"/>
      <c r="C813" s="141"/>
      <c r="D813" s="141"/>
      <c r="E813" s="141"/>
      <c r="F813" s="141"/>
      <c r="G813" s="141"/>
      <c r="H813" s="141"/>
      <c r="I813" s="141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>
      <c r="A814" s="146"/>
      <c r="B814" s="141"/>
      <c r="C814" s="141"/>
      <c r="D814" s="141"/>
      <c r="E814" s="141"/>
      <c r="F814" s="141"/>
      <c r="G814" s="141"/>
      <c r="H814" s="141"/>
      <c r="I814" s="141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>
      <c r="A815" s="146"/>
      <c r="B815" s="141"/>
      <c r="C815" s="141"/>
      <c r="D815" s="141"/>
      <c r="E815" s="141"/>
      <c r="F815" s="141"/>
      <c r="G815" s="141"/>
      <c r="H815" s="141"/>
      <c r="I815" s="141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>
      <c r="A816" s="146"/>
      <c r="B816" s="141"/>
      <c r="C816" s="141"/>
      <c r="D816" s="141"/>
      <c r="E816" s="141"/>
      <c r="F816" s="141"/>
      <c r="G816" s="141"/>
      <c r="H816" s="141"/>
      <c r="I816" s="141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>
      <c r="A817" s="146"/>
      <c r="B817" s="141"/>
      <c r="C817" s="141"/>
      <c r="D817" s="141"/>
      <c r="E817" s="141"/>
      <c r="F817" s="141"/>
      <c r="G817" s="141"/>
      <c r="H817" s="141"/>
      <c r="I817" s="141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>
      <c r="A818" s="146"/>
      <c r="B818" s="141"/>
      <c r="C818" s="141"/>
      <c r="D818" s="141"/>
      <c r="E818" s="141"/>
      <c r="F818" s="141"/>
      <c r="G818" s="141"/>
      <c r="H818" s="141"/>
      <c r="I818" s="141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>
      <c r="A819" s="146"/>
      <c r="B819" s="141"/>
      <c r="C819" s="141"/>
      <c r="D819" s="141"/>
      <c r="E819" s="141"/>
      <c r="F819" s="141"/>
      <c r="G819" s="141"/>
      <c r="H819" s="141"/>
      <c r="I819" s="141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>
      <c r="A820" s="146"/>
      <c r="B820" s="141"/>
      <c r="C820" s="141"/>
      <c r="D820" s="141"/>
      <c r="E820" s="141"/>
      <c r="F820" s="141"/>
      <c r="G820" s="141"/>
      <c r="H820" s="141"/>
      <c r="I820" s="141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>
      <c r="A821" s="146"/>
      <c r="B821" s="141"/>
      <c r="C821" s="141"/>
      <c r="D821" s="141"/>
      <c r="E821" s="141"/>
      <c r="F821" s="141"/>
      <c r="G821" s="141"/>
      <c r="H821" s="141"/>
      <c r="I821" s="141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>
      <c r="A822" s="146"/>
      <c r="B822" s="141"/>
      <c r="C822" s="141"/>
      <c r="D822" s="141"/>
      <c r="E822" s="141"/>
      <c r="F822" s="141"/>
      <c r="G822" s="141"/>
      <c r="H822" s="141"/>
      <c r="I822" s="141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>
      <c r="A823" s="146"/>
      <c r="B823" s="141"/>
      <c r="C823" s="141"/>
      <c r="D823" s="141"/>
      <c r="E823" s="141"/>
      <c r="F823" s="141"/>
      <c r="G823" s="141"/>
      <c r="H823" s="141"/>
      <c r="I823" s="141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>
      <c r="A824" s="146"/>
      <c r="B824" s="141"/>
      <c r="C824" s="141"/>
      <c r="D824" s="141"/>
      <c r="E824" s="141"/>
      <c r="F824" s="141"/>
      <c r="G824" s="141"/>
      <c r="H824" s="141"/>
      <c r="I824" s="141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>
      <c r="A825" s="146"/>
      <c r="B825" s="141"/>
      <c r="C825" s="141"/>
      <c r="D825" s="141"/>
      <c r="E825" s="141"/>
      <c r="F825" s="141"/>
      <c r="G825" s="141"/>
      <c r="H825" s="141"/>
      <c r="I825" s="141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>
      <c r="A826" s="146"/>
      <c r="B826" s="141"/>
      <c r="C826" s="141"/>
      <c r="D826" s="141"/>
      <c r="E826" s="141"/>
      <c r="F826" s="141"/>
      <c r="G826" s="141"/>
      <c r="H826" s="141"/>
      <c r="I826" s="141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>
      <c r="A827" s="146"/>
      <c r="B827" s="141"/>
      <c r="C827" s="141"/>
      <c r="D827" s="141"/>
      <c r="E827" s="141"/>
      <c r="F827" s="141"/>
      <c r="G827" s="141"/>
      <c r="H827" s="141"/>
      <c r="I827" s="141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>
      <c r="A828" s="146"/>
      <c r="B828" s="141"/>
      <c r="C828" s="141"/>
      <c r="D828" s="141"/>
      <c r="E828" s="141"/>
      <c r="F828" s="141"/>
      <c r="G828" s="141"/>
      <c r="H828" s="141"/>
      <c r="I828" s="141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>
      <c r="A829" s="146"/>
      <c r="B829" s="141"/>
      <c r="C829" s="141"/>
      <c r="D829" s="141"/>
      <c r="E829" s="141"/>
      <c r="F829" s="141"/>
      <c r="G829" s="141"/>
      <c r="H829" s="141"/>
      <c r="I829" s="141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>
      <c r="A830" s="146"/>
      <c r="B830" s="141"/>
      <c r="C830" s="141"/>
      <c r="D830" s="141"/>
      <c r="E830" s="141"/>
      <c r="F830" s="141"/>
      <c r="G830" s="141"/>
      <c r="H830" s="141"/>
      <c r="I830" s="141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>
      <c r="A831" s="146"/>
      <c r="B831" s="141"/>
      <c r="C831" s="141"/>
      <c r="D831" s="141"/>
      <c r="E831" s="141"/>
      <c r="F831" s="141"/>
      <c r="G831" s="141"/>
      <c r="H831" s="141"/>
      <c r="I831" s="141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>
      <c r="A832" s="146"/>
      <c r="B832" s="141"/>
      <c r="C832" s="141"/>
      <c r="D832" s="141"/>
      <c r="E832" s="141"/>
      <c r="F832" s="141"/>
      <c r="G832" s="141"/>
      <c r="H832" s="141"/>
      <c r="I832" s="141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>
      <c r="A833" s="146"/>
      <c r="B833" s="141"/>
      <c r="C833" s="141"/>
      <c r="D833" s="141"/>
      <c r="E833" s="141"/>
      <c r="F833" s="141"/>
      <c r="G833" s="141"/>
      <c r="H833" s="141"/>
      <c r="I833" s="141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>
      <c r="A834" s="146"/>
      <c r="B834" s="141"/>
      <c r="C834" s="141"/>
      <c r="D834" s="141"/>
      <c r="E834" s="141"/>
      <c r="F834" s="141"/>
      <c r="G834" s="141"/>
      <c r="H834" s="141"/>
      <c r="I834" s="141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>
      <c r="A835" s="146"/>
      <c r="B835" s="141"/>
      <c r="C835" s="141"/>
      <c r="D835" s="141"/>
      <c r="E835" s="141"/>
      <c r="F835" s="141"/>
      <c r="G835" s="141"/>
      <c r="H835" s="141"/>
      <c r="I835" s="141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>
      <c r="A836" s="146"/>
      <c r="B836" s="141"/>
      <c r="C836" s="141"/>
      <c r="D836" s="141"/>
      <c r="E836" s="141"/>
      <c r="F836" s="141"/>
      <c r="G836" s="141"/>
      <c r="H836" s="141"/>
      <c r="I836" s="141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>
      <c r="A837" s="146"/>
      <c r="B837" s="141"/>
      <c r="C837" s="141"/>
      <c r="D837" s="141"/>
      <c r="E837" s="141"/>
      <c r="F837" s="141"/>
      <c r="G837" s="141"/>
      <c r="H837" s="141"/>
      <c r="I837" s="141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>
      <c r="A838" s="146"/>
      <c r="B838" s="141"/>
      <c r="C838" s="141"/>
      <c r="D838" s="141"/>
      <c r="E838" s="141"/>
      <c r="F838" s="141"/>
      <c r="G838" s="141"/>
      <c r="H838" s="141"/>
      <c r="I838" s="141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>
      <c r="A839" s="146"/>
      <c r="B839" s="141"/>
      <c r="C839" s="141"/>
      <c r="D839" s="141"/>
      <c r="E839" s="141"/>
      <c r="F839" s="141"/>
      <c r="G839" s="141"/>
      <c r="H839" s="141"/>
      <c r="I839" s="141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>
      <c r="A840" s="146"/>
      <c r="B840" s="141"/>
      <c r="C840" s="141"/>
      <c r="D840" s="141"/>
      <c r="E840" s="141"/>
      <c r="F840" s="141"/>
      <c r="G840" s="141"/>
      <c r="H840" s="141"/>
      <c r="I840" s="141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>
      <c r="A841" s="146"/>
      <c r="B841" s="141"/>
      <c r="C841" s="141"/>
      <c r="D841" s="141"/>
      <c r="E841" s="141"/>
      <c r="F841" s="141"/>
      <c r="G841" s="141"/>
      <c r="H841" s="141"/>
      <c r="I841" s="141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>
      <c r="A842" s="146"/>
      <c r="B842" s="141"/>
      <c r="C842" s="141"/>
      <c r="D842" s="141"/>
      <c r="E842" s="141"/>
      <c r="F842" s="141"/>
      <c r="G842" s="141"/>
      <c r="H842" s="141"/>
      <c r="I842" s="141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>
      <c r="A843" s="146"/>
      <c r="B843" s="141"/>
      <c r="C843" s="141"/>
      <c r="D843" s="141"/>
      <c r="E843" s="141"/>
      <c r="F843" s="141"/>
      <c r="G843" s="141"/>
      <c r="H843" s="141"/>
      <c r="I843" s="141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>
      <c r="A844" s="146"/>
      <c r="B844" s="141"/>
      <c r="C844" s="141"/>
      <c r="D844" s="141"/>
      <c r="E844" s="141"/>
      <c r="F844" s="141"/>
      <c r="G844" s="141"/>
      <c r="H844" s="141"/>
      <c r="I844" s="141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>
      <c r="A845" s="146"/>
      <c r="B845" s="141"/>
      <c r="C845" s="141"/>
      <c r="D845" s="141"/>
      <c r="E845" s="141"/>
      <c r="F845" s="141"/>
      <c r="G845" s="141"/>
      <c r="H845" s="141"/>
      <c r="I845" s="141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>
      <c r="A846" s="146"/>
      <c r="B846" s="141"/>
      <c r="C846" s="141"/>
      <c r="D846" s="141"/>
      <c r="E846" s="141"/>
      <c r="F846" s="141"/>
      <c r="G846" s="141"/>
      <c r="H846" s="141"/>
      <c r="I846" s="141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>
      <c r="A847" s="146"/>
      <c r="B847" s="141"/>
      <c r="C847" s="141"/>
      <c r="D847" s="141"/>
      <c r="E847" s="141"/>
      <c r="F847" s="141"/>
      <c r="G847" s="141"/>
      <c r="H847" s="141"/>
      <c r="I847" s="141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>
      <c r="A848" s="146"/>
      <c r="B848" s="141"/>
      <c r="C848" s="141"/>
      <c r="D848" s="141"/>
      <c r="E848" s="141"/>
      <c r="F848" s="141"/>
      <c r="G848" s="141"/>
      <c r="H848" s="141"/>
      <c r="I848" s="141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>
      <c r="A849" s="146"/>
      <c r="B849" s="141"/>
      <c r="C849" s="141"/>
      <c r="D849" s="141"/>
      <c r="E849" s="141"/>
      <c r="F849" s="141"/>
      <c r="G849" s="141"/>
      <c r="H849" s="141"/>
      <c r="I849" s="141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>
      <c r="A850" s="146"/>
      <c r="B850" s="141"/>
      <c r="C850" s="141"/>
      <c r="D850" s="141"/>
      <c r="E850" s="141"/>
      <c r="F850" s="141"/>
      <c r="G850" s="141"/>
      <c r="H850" s="141"/>
      <c r="I850" s="141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>
      <c r="A851" s="146"/>
      <c r="B851" s="141"/>
      <c r="C851" s="141"/>
      <c r="D851" s="141"/>
      <c r="E851" s="141"/>
      <c r="F851" s="141"/>
      <c r="G851" s="141"/>
      <c r="H851" s="141"/>
      <c r="I851" s="141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>
      <c r="A852" s="146"/>
      <c r="B852" s="141"/>
      <c r="C852" s="141"/>
      <c r="D852" s="141"/>
      <c r="E852" s="141"/>
      <c r="F852" s="141"/>
      <c r="G852" s="141"/>
      <c r="H852" s="141"/>
      <c r="I852" s="141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>
      <c r="A853" s="146"/>
      <c r="B853" s="141"/>
      <c r="C853" s="141"/>
      <c r="D853" s="141"/>
      <c r="E853" s="141"/>
      <c r="F853" s="141"/>
      <c r="G853" s="141"/>
      <c r="H853" s="141"/>
      <c r="I853" s="141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>
      <c r="A854" s="146"/>
      <c r="B854" s="141"/>
      <c r="C854" s="141"/>
      <c r="D854" s="141"/>
      <c r="E854" s="141"/>
      <c r="F854" s="141"/>
      <c r="G854" s="141"/>
      <c r="H854" s="141"/>
      <c r="I854" s="141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>
      <c r="A855" s="146"/>
      <c r="B855" s="141"/>
      <c r="C855" s="141"/>
      <c r="D855" s="141"/>
      <c r="E855" s="141"/>
      <c r="F855" s="141"/>
      <c r="G855" s="141"/>
      <c r="H855" s="141"/>
      <c r="I855" s="141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>
      <c r="A856" s="146"/>
      <c r="B856" s="141"/>
      <c r="C856" s="141"/>
      <c r="D856" s="141"/>
      <c r="E856" s="141"/>
      <c r="F856" s="141"/>
      <c r="G856" s="141"/>
      <c r="H856" s="141"/>
      <c r="I856" s="141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>
      <c r="A857" s="146"/>
      <c r="B857" s="141"/>
      <c r="C857" s="141"/>
      <c r="D857" s="141"/>
      <c r="E857" s="141"/>
      <c r="F857" s="141"/>
      <c r="G857" s="141"/>
      <c r="H857" s="141"/>
      <c r="I857" s="141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>
      <c r="A858" s="146"/>
      <c r="B858" s="141"/>
      <c r="C858" s="141"/>
      <c r="D858" s="141"/>
      <c r="E858" s="141"/>
      <c r="F858" s="141"/>
      <c r="G858" s="141"/>
      <c r="H858" s="141"/>
      <c r="I858" s="141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>
      <c r="A859" s="146"/>
      <c r="B859" s="141"/>
      <c r="C859" s="141"/>
      <c r="D859" s="141"/>
      <c r="E859" s="141"/>
      <c r="F859" s="141"/>
      <c r="G859" s="141"/>
      <c r="H859" s="141"/>
      <c r="I859" s="141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>
      <c r="A860" s="146"/>
      <c r="B860" s="141"/>
      <c r="C860" s="141"/>
      <c r="D860" s="141"/>
      <c r="E860" s="141"/>
      <c r="F860" s="141"/>
      <c r="G860" s="141"/>
      <c r="H860" s="141"/>
      <c r="I860" s="141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>
      <c r="A861" s="146"/>
      <c r="B861" s="141"/>
      <c r="C861" s="141"/>
      <c r="D861" s="141"/>
      <c r="E861" s="141"/>
      <c r="F861" s="141"/>
      <c r="G861" s="141"/>
      <c r="H861" s="141"/>
      <c r="I861" s="141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>
      <c r="A862" s="146"/>
      <c r="B862" s="141"/>
      <c r="C862" s="141"/>
      <c r="D862" s="141"/>
      <c r="E862" s="141"/>
      <c r="F862" s="141"/>
      <c r="G862" s="141"/>
      <c r="H862" s="141"/>
      <c r="I862" s="141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>
      <c r="A863" s="146"/>
      <c r="B863" s="141"/>
      <c r="C863" s="141"/>
      <c r="D863" s="141"/>
      <c r="E863" s="141"/>
      <c r="F863" s="141"/>
      <c r="G863" s="141"/>
      <c r="H863" s="141"/>
      <c r="I863" s="141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>
      <c r="A864" s="146"/>
      <c r="B864" s="141"/>
      <c r="C864" s="141"/>
      <c r="D864" s="141"/>
      <c r="E864" s="141"/>
      <c r="F864" s="141"/>
      <c r="G864" s="141"/>
      <c r="H864" s="141"/>
      <c r="I864" s="141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>
      <c r="A865" s="146"/>
      <c r="B865" s="141"/>
      <c r="C865" s="141"/>
      <c r="D865" s="141"/>
      <c r="E865" s="141"/>
      <c r="F865" s="141"/>
      <c r="G865" s="141"/>
      <c r="H865" s="141"/>
      <c r="I865" s="141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>
      <c r="A866" s="146"/>
      <c r="B866" s="141"/>
      <c r="C866" s="141"/>
      <c r="D866" s="141"/>
      <c r="E866" s="141"/>
      <c r="F866" s="141"/>
      <c r="G866" s="141"/>
      <c r="H866" s="141"/>
      <c r="I866" s="141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>
      <c r="A867" s="146"/>
      <c r="B867" s="141"/>
      <c r="C867" s="141"/>
      <c r="D867" s="141"/>
      <c r="E867" s="141"/>
      <c r="F867" s="141"/>
      <c r="G867" s="141"/>
      <c r="H867" s="141"/>
      <c r="I867" s="141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>
      <c r="A868" s="146"/>
      <c r="B868" s="141"/>
      <c r="C868" s="141"/>
      <c r="D868" s="141"/>
      <c r="E868" s="141"/>
      <c r="F868" s="141"/>
      <c r="G868" s="141"/>
      <c r="H868" s="141"/>
      <c r="I868" s="141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>
      <c r="A869" s="146"/>
      <c r="B869" s="141"/>
      <c r="C869" s="141"/>
      <c r="D869" s="141"/>
      <c r="E869" s="141"/>
      <c r="F869" s="141"/>
      <c r="G869" s="141"/>
      <c r="H869" s="141"/>
      <c r="I869" s="141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>
      <c r="A870" s="146"/>
      <c r="B870" s="141"/>
      <c r="C870" s="141"/>
      <c r="D870" s="141"/>
      <c r="E870" s="141"/>
      <c r="F870" s="141"/>
      <c r="G870" s="141"/>
      <c r="H870" s="141"/>
      <c r="I870" s="141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>
      <c r="A871" s="146"/>
      <c r="B871" s="141"/>
      <c r="C871" s="141"/>
      <c r="D871" s="141"/>
      <c r="E871" s="141"/>
      <c r="F871" s="141"/>
      <c r="G871" s="141"/>
      <c r="H871" s="141"/>
      <c r="I871" s="141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>
      <c r="A872" s="146"/>
      <c r="B872" s="141"/>
      <c r="C872" s="141"/>
      <c r="D872" s="141"/>
      <c r="E872" s="141"/>
      <c r="F872" s="141"/>
      <c r="G872" s="141"/>
      <c r="H872" s="141"/>
      <c r="I872" s="141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>
      <c r="A873" s="146"/>
      <c r="B873" s="141"/>
      <c r="C873" s="141"/>
      <c r="D873" s="141"/>
      <c r="E873" s="141"/>
      <c r="F873" s="141"/>
      <c r="G873" s="141"/>
      <c r="H873" s="141"/>
      <c r="I873" s="141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>
      <c r="A874" s="146"/>
      <c r="B874" s="141"/>
      <c r="C874" s="141"/>
      <c r="D874" s="141"/>
      <c r="E874" s="141"/>
      <c r="F874" s="141"/>
      <c r="G874" s="141"/>
      <c r="H874" s="141"/>
      <c r="I874" s="141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>
      <c r="A875" s="146"/>
      <c r="B875" s="141"/>
      <c r="C875" s="141"/>
      <c r="D875" s="141"/>
      <c r="E875" s="141"/>
      <c r="F875" s="141"/>
      <c r="G875" s="141"/>
      <c r="H875" s="141"/>
      <c r="I875" s="141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>
      <c r="A876" s="146"/>
      <c r="B876" s="141"/>
      <c r="C876" s="141"/>
      <c r="D876" s="141"/>
      <c r="E876" s="141"/>
      <c r="F876" s="141"/>
      <c r="G876" s="141"/>
      <c r="H876" s="141"/>
      <c r="I876" s="141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>
      <c r="A877" s="146"/>
      <c r="B877" s="141"/>
      <c r="C877" s="141"/>
      <c r="D877" s="141"/>
      <c r="E877" s="141"/>
      <c r="F877" s="141"/>
      <c r="G877" s="141"/>
      <c r="H877" s="141"/>
      <c r="I877" s="141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>
      <c r="A878" s="146"/>
      <c r="B878" s="141"/>
      <c r="C878" s="141"/>
      <c r="D878" s="141"/>
      <c r="E878" s="141"/>
      <c r="F878" s="141"/>
      <c r="G878" s="141"/>
      <c r="H878" s="141"/>
      <c r="I878" s="141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>
      <c r="A879" s="146"/>
      <c r="B879" s="141"/>
      <c r="C879" s="141"/>
      <c r="D879" s="141"/>
      <c r="E879" s="141"/>
      <c r="F879" s="141"/>
      <c r="G879" s="141"/>
      <c r="H879" s="141"/>
      <c r="I879" s="141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>
      <c r="A880" s="146"/>
      <c r="B880" s="141"/>
      <c r="C880" s="141"/>
      <c r="D880" s="141"/>
      <c r="E880" s="141"/>
      <c r="F880" s="141"/>
      <c r="G880" s="141"/>
      <c r="H880" s="141"/>
      <c r="I880" s="141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>
      <c r="A881" s="146"/>
      <c r="B881" s="141"/>
      <c r="C881" s="141"/>
      <c r="D881" s="141"/>
      <c r="E881" s="141"/>
      <c r="F881" s="141"/>
      <c r="G881" s="141"/>
      <c r="H881" s="141"/>
      <c r="I881" s="141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>
      <c r="A882" s="146"/>
      <c r="B882" s="141"/>
      <c r="C882" s="141"/>
      <c r="D882" s="141"/>
      <c r="E882" s="141"/>
      <c r="F882" s="141"/>
      <c r="G882" s="141"/>
      <c r="H882" s="141"/>
      <c r="I882" s="141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>
      <c r="A883" s="146"/>
      <c r="B883" s="141"/>
      <c r="C883" s="141"/>
      <c r="D883" s="141"/>
      <c r="E883" s="141"/>
      <c r="F883" s="141"/>
      <c r="G883" s="141"/>
      <c r="H883" s="141"/>
      <c r="I883" s="141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>
      <c r="A884" s="146"/>
      <c r="B884" s="141"/>
      <c r="C884" s="141"/>
      <c r="D884" s="141"/>
      <c r="E884" s="141"/>
      <c r="F884" s="141"/>
      <c r="G884" s="141"/>
      <c r="H884" s="141"/>
      <c r="I884" s="141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>
      <c r="A885" s="146"/>
      <c r="B885" s="141"/>
      <c r="C885" s="141"/>
      <c r="D885" s="141"/>
      <c r="E885" s="141"/>
      <c r="F885" s="141"/>
      <c r="G885" s="141"/>
      <c r="H885" s="141"/>
      <c r="I885" s="141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>
      <c r="A886" s="146"/>
      <c r="B886" s="141"/>
      <c r="C886" s="141"/>
      <c r="D886" s="141"/>
      <c r="E886" s="141"/>
      <c r="F886" s="141"/>
      <c r="G886" s="141"/>
      <c r="H886" s="141"/>
      <c r="I886" s="141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>
      <c r="A887" s="146"/>
      <c r="B887" s="141"/>
      <c r="C887" s="141"/>
      <c r="D887" s="141"/>
      <c r="E887" s="141"/>
      <c r="F887" s="141"/>
      <c r="G887" s="141"/>
      <c r="H887" s="141"/>
      <c r="I887" s="141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>
      <c r="A888" s="146"/>
      <c r="B888" s="141"/>
      <c r="C888" s="141"/>
      <c r="D888" s="141"/>
      <c r="E888" s="141"/>
      <c r="F888" s="141"/>
      <c r="G888" s="141"/>
      <c r="H888" s="141"/>
      <c r="I888" s="141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>
      <c r="A889" s="146"/>
      <c r="B889" s="141"/>
      <c r="C889" s="141"/>
      <c r="D889" s="141"/>
      <c r="E889" s="141"/>
      <c r="F889" s="141"/>
      <c r="G889" s="141"/>
      <c r="H889" s="141"/>
      <c r="I889" s="141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>
      <c r="A890" s="146"/>
      <c r="B890" s="141"/>
      <c r="C890" s="141"/>
      <c r="D890" s="141"/>
      <c r="E890" s="141"/>
      <c r="F890" s="141"/>
      <c r="G890" s="141"/>
      <c r="H890" s="141"/>
      <c r="I890" s="141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>
      <c r="A891" s="146"/>
      <c r="B891" s="141"/>
      <c r="C891" s="141"/>
      <c r="D891" s="141"/>
      <c r="E891" s="141"/>
      <c r="F891" s="141"/>
      <c r="G891" s="141"/>
      <c r="H891" s="141"/>
      <c r="I891" s="141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>
      <c r="A892" s="146"/>
      <c r="B892" s="141"/>
      <c r="C892" s="141"/>
      <c r="D892" s="141"/>
      <c r="E892" s="141"/>
      <c r="F892" s="141"/>
      <c r="G892" s="141"/>
      <c r="H892" s="141"/>
      <c r="I892" s="141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>
      <c r="A893" s="146"/>
      <c r="B893" s="141"/>
      <c r="C893" s="141"/>
      <c r="D893" s="141"/>
      <c r="E893" s="141"/>
      <c r="F893" s="141"/>
      <c r="G893" s="141"/>
      <c r="H893" s="141"/>
      <c r="I893" s="141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>
      <c r="A894" s="146"/>
      <c r="B894" s="141"/>
      <c r="C894" s="141"/>
      <c r="D894" s="141"/>
      <c r="E894" s="141"/>
      <c r="F894" s="141"/>
      <c r="G894" s="141"/>
      <c r="H894" s="141"/>
      <c r="I894" s="141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>
      <c r="A895" s="146"/>
      <c r="B895" s="141"/>
      <c r="C895" s="141"/>
      <c r="D895" s="141"/>
      <c r="E895" s="141"/>
      <c r="F895" s="141"/>
      <c r="G895" s="141"/>
      <c r="H895" s="141"/>
      <c r="I895" s="141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>
      <c r="A896" s="146"/>
      <c r="B896" s="141"/>
      <c r="C896" s="141"/>
      <c r="D896" s="141"/>
      <c r="E896" s="141"/>
      <c r="F896" s="141"/>
      <c r="G896" s="141"/>
      <c r="H896" s="141"/>
      <c r="I896" s="141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>
      <c r="A897" s="146"/>
      <c r="B897" s="141"/>
      <c r="C897" s="141"/>
      <c r="D897" s="141"/>
      <c r="E897" s="141"/>
      <c r="F897" s="141"/>
      <c r="G897" s="141"/>
      <c r="H897" s="141"/>
      <c r="I897" s="141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>
      <c r="A898" s="146"/>
      <c r="B898" s="141"/>
      <c r="C898" s="141"/>
      <c r="D898" s="141"/>
      <c r="E898" s="141"/>
      <c r="F898" s="141"/>
      <c r="G898" s="141"/>
      <c r="H898" s="141"/>
      <c r="I898" s="141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>
      <c r="A899" s="146"/>
      <c r="B899" s="141"/>
      <c r="C899" s="141"/>
      <c r="D899" s="141"/>
      <c r="E899" s="141"/>
      <c r="F899" s="141"/>
      <c r="G899" s="141"/>
      <c r="H899" s="141"/>
      <c r="I899" s="141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>
      <c r="A900" s="146"/>
      <c r="B900" s="141"/>
      <c r="C900" s="141"/>
      <c r="D900" s="141"/>
      <c r="E900" s="141"/>
      <c r="F900" s="141"/>
      <c r="G900" s="141"/>
      <c r="H900" s="141"/>
      <c r="I900" s="141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>
      <c r="A901" s="146"/>
      <c r="B901" s="141"/>
      <c r="C901" s="141"/>
      <c r="D901" s="141"/>
      <c r="E901" s="141"/>
      <c r="F901" s="141"/>
      <c r="G901" s="141"/>
      <c r="H901" s="141"/>
      <c r="I901" s="141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>
      <c r="A902" s="146"/>
      <c r="B902" s="141"/>
      <c r="C902" s="141"/>
      <c r="D902" s="141"/>
      <c r="E902" s="141"/>
      <c r="F902" s="141"/>
      <c r="G902" s="141"/>
      <c r="H902" s="141"/>
      <c r="I902" s="141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>
      <c r="A903" s="146"/>
      <c r="B903" s="141"/>
      <c r="C903" s="141"/>
      <c r="D903" s="141"/>
      <c r="E903" s="141"/>
      <c r="F903" s="141"/>
      <c r="G903" s="141"/>
      <c r="H903" s="141"/>
      <c r="I903" s="141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>
      <c r="A904" s="146"/>
      <c r="B904" s="141"/>
      <c r="C904" s="141"/>
      <c r="D904" s="141"/>
      <c r="E904" s="141"/>
      <c r="F904" s="141"/>
      <c r="G904" s="141"/>
      <c r="H904" s="141"/>
      <c r="I904" s="141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>
      <c r="A905" s="146"/>
      <c r="B905" s="141"/>
      <c r="C905" s="141"/>
      <c r="D905" s="141"/>
      <c r="E905" s="141"/>
      <c r="F905" s="141"/>
      <c r="G905" s="141"/>
      <c r="H905" s="141"/>
      <c r="I905" s="141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>
      <c r="A906" s="146"/>
      <c r="B906" s="141"/>
      <c r="C906" s="141"/>
      <c r="D906" s="141"/>
      <c r="E906" s="141"/>
      <c r="F906" s="141"/>
      <c r="G906" s="141"/>
      <c r="H906" s="141"/>
      <c r="I906" s="141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>
      <c r="A907" s="146"/>
      <c r="B907" s="141"/>
      <c r="C907" s="141"/>
      <c r="D907" s="141"/>
      <c r="E907" s="141"/>
      <c r="F907" s="141"/>
      <c r="G907" s="141"/>
      <c r="H907" s="141"/>
      <c r="I907" s="141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>
      <c r="A908" s="146"/>
      <c r="B908" s="141"/>
      <c r="C908" s="141"/>
      <c r="D908" s="141"/>
      <c r="E908" s="141"/>
      <c r="F908" s="141"/>
      <c r="G908" s="141"/>
      <c r="H908" s="141"/>
      <c r="I908" s="141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>
      <c r="A909" s="146"/>
      <c r="B909" s="141"/>
      <c r="C909" s="141"/>
      <c r="D909" s="141"/>
      <c r="E909" s="141"/>
      <c r="F909" s="141"/>
      <c r="G909" s="141"/>
      <c r="H909" s="141"/>
      <c r="I909" s="141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>
      <c r="A910" s="146"/>
      <c r="B910" s="141"/>
      <c r="C910" s="141"/>
      <c r="D910" s="141"/>
      <c r="E910" s="141"/>
      <c r="F910" s="141"/>
      <c r="G910" s="141"/>
      <c r="H910" s="141"/>
      <c r="I910" s="141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>
      <c r="A911" s="146"/>
      <c r="B911" s="141"/>
      <c r="C911" s="141"/>
      <c r="D911" s="141"/>
      <c r="E911" s="141"/>
      <c r="F911" s="141"/>
      <c r="G911" s="141"/>
      <c r="H911" s="141"/>
      <c r="I911" s="141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>
      <c r="A912" s="146"/>
      <c r="B912" s="141"/>
      <c r="C912" s="141"/>
      <c r="D912" s="141"/>
      <c r="E912" s="141"/>
      <c r="F912" s="141"/>
      <c r="G912" s="141"/>
      <c r="H912" s="141"/>
      <c r="I912" s="141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>
      <c r="A913" s="146"/>
      <c r="B913" s="141"/>
      <c r="C913" s="141"/>
      <c r="D913" s="141"/>
      <c r="E913" s="141"/>
      <c r="F913" s="141"/>
      <c r="G913" s="141"/>
      <c r="H913" s="141"/>
      <c r="I913" s="141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>
      <c r="A914" s="146"/>
      <c r="B914" s="141"/>
      <c r="C914" s="141"/>
      <c r="D914" s="141"/>
      <c r="E914" s="141"/>
      <c r="F914" s="141"/>
      <c r="G914" s="141"/>
      <c r="H914" s="141"/>
      <c r="I914" s="141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>
      <c r="A915" s="146"/>
      <c r="B915" s="141"/>
      <c r="C915" s="141"/>
      <c r="D915" s="141"/>
      <c r="E915" s="141"/>
      <c r="F915" s="141"/>
      <c r="G915" s="141"/>
      <c r="H915" s="141"/>
      <c r="I915" s="141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>
      <c r="A916" s="146"/>
      <c r="B916" s="141"/>
      <c r="C916" s="141"/>
      <c r="D916" s="141"/>
      <c r="E916" s="141"/>
      <c r="F916" s="141"/>
      <c r="G916" s="141"/>
      <c r="H916" s="141"/>
      <c r="I916" s="141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>
      <c r="A917" s="146"/>
      <c r="B917" s="141"/>
      <c r="C917" s="141"/>
      <c r="D917" s="141"/>
      <c r="E917" s="141"/>
      <c r="F917" s="141"/>
      <c r="G917" s="141"/>
      <c r="H917" s="141"/>
      <c r="I917" s="141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>
      <c r="A918" s="146"/>
      <c r="B918" s="141"/>
      <c r="C918" s="141"/>
      <c r="D918" s="141"/>
      <c r="E918" s="141"/>
      <c r="F918" s="141"/>
      <c r="G918" s="141"/>
      <c r="H918" s="141"/>
      <c r="I918" s="141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>
      <c r="A919" s="146"/>
      <c r="B919" s="141"/>
      <c r="C919" s="141"/>
      <c r="D919" s="141"/>
      <c r="E919" s="141"/>
      <c r="F919" s="141"/>
      <c r="G919" s="141"/>
      <c r="H919" s="141"/>
      <c r="I919" s="141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>
      <c r="A920" s="146"/>
      <c r="B920" s="141"/>
      <c r="C920" s="141"/>
      <c r="D920" s="141"/>
      <c r="E920" s="141"/>
      <c r="F920" s="141"/>
      <c r="G920" s="141"/>
      <c r="H920" s="141"/>
      <c r="I920" s="141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>
      <c r="A921" s="146"/>
      <c r="B921" s="141"/>
      <c r="C921" s="141"/>
      <c r="D921" s="141"/>
      <c r="E921" s="141"/>
      <c r="F921" s="141"/>
      <c r="G921" s="141"/>
      <c r="H921" s="141"/>
      <c r="I921" s="141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>
      <c r="A922" s="146"/>
      <c r="B922" s="141"/>
      <c r="C922" s="141"/>
      <c r="D922" s="141"/>
      <c r="E922" s="141"/>
      <c r="F922" s="141"/>
      <c r="G922" s="141"/>
      <c r="H922" s="141"/>
      <c r="I922" s="141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>
      <c r="A923" s="146"/>
      <c r="B923" s="141"/>
      <c r="C923" s="141"/>
      <c r="D923" s="141"/>
      <c r="E923" s="141"/>
      <c r="F923" s="141"/>
      <c r="G923" s="141"/>
      <c r="H923" s="141"/>
      <c r="I923" s="141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>
      <c r="A924" s="146"/>
      <c r="B924" s="141"/>
      <c r="C924" s="141"/>
      <c r="D924" s="141"/>
      <c r="E924" s="141"/>
      <c r="F924" s="141"/>
      <c r="G924" s="141"/>
      <c r="H924" s="141"/>
      <c r="I924" s="141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>
      <c r="A925" s="146"/>
      <c r="B925" s="141"/>
      <c r="C925" s="141"/>
      <c r="D925" s="141"/>
      <c r="E925" s="141"/>
      <c r="F925" s="141"/>
      <c r="G925" s="141"/>
      <c r="H925" s="141"/>
      <c r="I925" s="141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>
      <c r="A926" s="146"/>
      <c r="B926" s="141"/>
      <c r="C926" s="141"/>
      <c r="D926" s="141"/>
      <c r="E926" s="141"/>
      <c r="F926" s="141"/>
      <c r="G926" s="141"/>
      <c r="H926" s="141"/>
      <c r="I926" s="141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>
      <c r="A927" s="146"/>
      <c r="B927" s="141"/>
      <c r="C927" s="141"/>
      <c r="D927" s="141"/>
      <c r="E927" s="141"/>
      <c r="F927" s="141"/>
      <c r="G927" s="141"/>
      <c r="H927" s="141"/>
      <c r="I927" s="141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>
      <c r="A928" s="146"/>
      <c r="B928" s="141"/>
      <c r="C928" s="141"/>
      <c r="D928" s="141"/>
      <c r="E928" s="141"/>
      <c r="F928" s="141"/>
      <c r="G928" s="141"/>
      <c r="H928" s="141"/>
      <c r="I928" s="141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>
      <c r="A929" s="146"/>
      <c r="B929" s="141"/>
      <c r="C929" s="141"/>
      <c r="D929" s="141"/>
      <c r="E929" s="141"/>
      <c r="F929" s="141"/>
      <c r="G929" s="141"/>
      <c r="H929" s="141"/>
      <c r="I929" s="141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>
      <c r="A930" s="146"/>
      <c r="B930" s="141"/>
      <c r="C930" s="141"/>
      <c r="D930" s="141"/>
      <c r="E930" s="141"/>
      <c r="F930" s="141"/>
      <c r="G930" s="141"/>
      <c r="H930" s="141"/>
      <c r="I930" s="141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>
      <c r="A931" s="146"/>
      <c r="B931" s="141"/>
      <c r="C931" s="141"/>
      <c r="D931" s="141"/>
      <c r="E931" s="141"/>
      <c r="F931" s="141"/>
      <c r="G931" s="141"/>
      <c r="H931" s="141"/>
      <c r="I931" s="141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>
      <c r="A932" s="146"/>
      <c r="B932" s="141"/>
      <c r="C932" s="141"/>
      <c r="D932" s="141"/>
      <c r="E932" s="141"/>
      <c r="F932" s="141"/>
      <c r="G932" s="141"/>
      <c r="H932" s="141"/>
      <c r="I932" s="141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>
      <c r="A933" s="146"/>
      <c r="B933" s="141"/>
      <c r="C933" s="141"/>
      <c r="D933" s="141"/>
      <c r="E933" s="141"/>
      <c r="F933" s="141"/>
      <c r="G933" s="141"/>
      <c r="H933" s="141"/>
      <c r="I933" s="141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>
      <c r="A934" s="146"/>
      <c r="B934" s="141"/>
      <c r="C934" s="141"/>
      <c r="D934" s="141"/>
      <c r="E934" s="141"/>
      <c r="F934" s="141"/>
      <c r="G934" s="141"/>
      <c r="H934" s="141"/>
      <c r="I934" s="141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>
      <c r="A935" s="146"/>
      <c r="B935" s="141"/>
      <c r="C935" s="141"/>
      <c r="D935" s="141"/>
      <c r="E935" s="141"/>
      <c r="F935" s="141"/>
      <c r="G935" s="141"/>
      <c r="H935" s="141"/>
      <c r="I935" s="141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>
      <c r="A936" s="146"/>
      <c r="B936" s="141"/>
      <c r="C936" s="141"/>
      <c r="D936" s="141"/>
      <c r="E936" s="141"/>
      <c r="F936" s="141"/>
      <c r="G936" s="141"/>
      <c r="H936" s="141"/>
      <c r="I936" s="141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>
      <c r="A937" s="146"/>
      <c r="B937" s="141"/>
      <c r="C937" s="141"/>
      <c r="D937" s="141"/>
      <c r="E937" s="141"/>
      <c r="F937" s="141"/>
      <c r="G937" s="141"/>
      <c r="H937" s="141"/>
      <c r="I937" s="141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>
      <c r="A938" s="146"/>
      <c r="B938" s="141"/>
      <c r="C938" s="141"/>
      <c r="D938" s="141"/>
      <c r="E938" s="141"/>
      <c r="F938" s="141"/>
      <c r="G938" s="141"/>
      <c r="H938" s="141"/>
      <c r="I938" s="141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>
      <c r="A939" s="146"/>
      <c r="B939" s="141"/>
      <c r="C939" s="141"/>
      <c r="D939" s="141"/>
      <c r="E939" s="141"/>
      <c r="F939" s="141"/>
      <c r="G939" s="141"/>
      <c r="H939" s="141"/>
      <c r="I939" s="141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>
      <c r="A940" s="146"/>
      <c r="B940" s="141"/>
      <c r="C940" s="141"/>
      <c r="D940" s="141"/>
      <c r="E940" s="141"/>
      <c r="F940" s="141"/>
      <c r="G940" s="141"/>
      <c r="H940" s="141"/>
      <c r="I940" s="141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>
      <c r="A941" s="146"/>
      <c r="B941" s="141"/>
      <c r="C941" s="141"/>
      <c r="D941" s="141"/>
      <c r="E941" s="141"/>
      <c r="F941" s="141"/>
      <c r="G941" s="141"/>
      <c r="H941" s="141"/>
      <c r="I941" s="141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>
      <c r="A942" s="146"/>
      <c r="B942" s="141"/>
      <c r="C942" s="141"/>
      <c r="D942" s="141"/>
      <c r="E942" s="141"/>
      <c r="F942" s="141"/>
      <c r="G942" s="141"/>
      <c r="H942" s="141"/>
      <c r="I942" s="141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>
      <c r="A943" s="146"/>
      <c r="B943" s="141"/>
      <c r="C943" s="141"/>
      <c r="D943" s="141"/>
      <c r="E943" s="141"/>
      <c r="F943" s="141"/>
      <c r="G943" s="141"/>
      <c r="H943" s="141"/>
      <c r="I943" s="141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>
      <c r="A944" s="146"/>
      <c r="B944" s="141"/>
      <c r="C944" s="141"/>
      <c r="D944" s="141"/>
      <c r="E944" s="141"/>
      <c r="F944" s="141"/>
      <c r="G944" s="141"/>
      <c r="H944" s="141"/>
      <c r="I944" s="141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>
      <c r="A945" s="146"/>
      <c r="B945" s="141"/>
      <c r="C945" s="141"/>
      <c r="D945" s="141"/>
      <c r="E945" s="141"/>
      <c r="F945" s="141"/>
      <c r="G945" s="141"/>
      <c r="H945" s="141"/>
      <c r="I945" s="141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>
      <c r="A946" s="146"/>
      <c r="B946" s="141"/>
      <c r="C946" s="141"/>
      <c r="D946" s="141"/>
      <c r="E946" s="141"/>
      <c r="F946" s="141"/>
      <c r="G946" s="141"/>
      <c r="H946" s="141"/>
      <c r="I946" s="141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>
      <c r="A947" s="146"/>
      <c r="B947" s="141"/>
      <c r="C947" s="141"/>
      <c r="D947" s="141"/>
      <c r="E947" s="141"/>
      <c r="F947" s="141"/>
      <c r="G947" s="141"/>
      <c r="H947" s="141"/>
      <c r="I947" s="141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>
      <c r="A948" s="146"/>
      <c r="B948" s="141"/>
      <c r="C948" s="141"/>
      <c r="D948" s="141"/>
      <c r="E948" s="141"/>
      <c r="F948" s="141"/>
      <c r="G948" s="141"/>
      <c r="H948" s="141"/>
      <c r="I948" s="141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>
      <c r="A949" s="146"/>
      <c r="B949" s="141"/>
      <c r="C949" s="141"/>
      <c r="D949" s="141"/>
      <c r="E949" s="141"/>
      <c r="F949" s="141"/>
      <c r="G949" s="141"/>
      <c r="H949" s="141"/>
      <c r="I949" s="141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>
      <c r="A950" s="146"/>
      <c r="B950" s="141"/>
      <c r="C950" s="141"/>
      <c r="D950" s="141"/>
      <c r="E950" s="141"/>
      <c r="F950" s="141"/>
      <c r="G950" s="141"/>
      <c r="H950" s="141"/>
      <c r="I950" s="141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>
      <c r="A951" s="146"/>
      <c r="B951" s="141"/>
      <c r="C951" s="141"/>
      <c r="D951" s="141"/>
      <c r="E951" s="141"/>
      <c r="F951" s="141"/>
      <c r="G951" s="141"/>
      <c r="H951" s="141"/>
      <c r="I951" s="141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>
      <c r="A952" s="146"/>
      <c r="B952" s="141"/>
      <c r="C952" s="141"/>
      <c r="D952" s="141"/>
      <c r="E952" s="141"/>
      <c r="F952" s="141"/>
      <c r="G952" s="141"/>
      <c r="H952" s="141"/>
      <c r="I952" s="141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>
      <c r="A953" s="146"/>
      <c r="B953" s="141"/>
      <c r="C953" s="141"/>
      <c r="D953" s="141"/>
      <c r="E953" s="141"/>
      <c r="F953" s="141"/>
      <c r="G953" s="141"/>
      <c r="H953" s="141"/>
      <c r="I953" s="141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>
      <c r="A954" s="146"/>
      <c r="B954" s="141"/>
      <c r="C954" s="141"/>
      <c r="D954" s="141"/>
      <c r="E954" s="141"/>
      <c r="F954" s="141"/>
      <c r="G954" s="141"/>
      <c r="H954" s="141"/>
      <c r="I954" s="141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>
      <c r="A955" s="146"/>
      <c r="B955" s="141"/>
      <c r="C955" s="141"/>
      <c r="D955" s="141"/>
      <c r="E955" s="141"/>
      <c r="F955" s="141"/>
      <c r="G955" s="141"/>
      <c r="H955" s="141"/>
      <c r="I955" s="141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>
      <c r="A956" s="146"/>
      <c r="B956" s="141"/>
      <c r="C956" s="141"/>
      <c r="D956" s="141"/>
      <c r="E956" s="141"/>
      <c r="F956" s="141"/>
      <c r="G956" s="141"/>
      <c r="H956" s="141"/>
      <c r="I956" s="141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>
      <c r="A957" s="146"/>
      <c r="B957" s="141"/>
      <c r="C957" s="141"/>
      <c r="D957" s="141"/>
      <c r="E957" s="141"/>
      <c r="F957" s="141"/>
      <c r="G957" s="141"/>
      <c r="H957" s="141"/>
      <c r="I957" s="141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>
      <c r="A958" s="146"/>
      <c r="B958" s="141"/>
      <c r="C958" s="141"/>
      <c r="D958" s="141"/>
      <c r="E958" s="141"/>
      <c r="F958" s="141"/>
      <c r="G958" s="141"/>
      <c r="H958" s="141"/>
      <c r="I958" s="141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>
      <c r="A959" s="146"/>
      <c r="B959" s="141"/>
      <c r="C959" s="141"/>
      <c r="D959" s="141"/>
      <c r="E959" s="141"/>
      <c r="F959" s="141"/>
      <c r="G959" s="141"/>
      <c r="H959" s="141"/>
      <c r="I959" s="141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>
      <c r="A960" s="146"/>
      <c r="B960" s="141"/>
      <c r="C960" s="141"/>
      <c r="D960" s="141"/>
      <c r="E960" s="141"/>
      <c r="F960" s="141"/>
      <c r="G960" s="141"/>
      <c r="H960" s="141"/>
      <c r="I960" s="141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>
      <c r="A961" s="146"/>
      <c r="B961" s="141"/>
      <c r="C961" s="141"/>
      <c r="D961" s="141"/>
      <c r="E961" s="141"/>
      <c r="F961" s="141"/>
      <c r="G961" s="141"/>
      <c r="H961" s="141"/>
      <c r="I961" s="141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>
      <c r="A962" s="146"/>
      <c r="B962" s="141"/>
      <c r="C962" s="141"/>
      <c r="D962" s="141"/>
      <c r="E962" s="141"/>
      <c r="F962" s="141"/>
      <c r="G962" s="141"/>
      <c r="H962" s="141"/>
      <c r="I962" s="141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>
      <c r="A963" s="146"/>
      <c r="B963" s="141"/>
      <c r="C963" s="141"/>
      <c r="D963" s="141"/>
      <c r="E963" s="141"/>
      <c r="F963" s="141"/>
      <c r="G963" s="141"/>
      <c r="H963" s="141"/>
      <c r="I963" s="141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>
      <c r="A964" s="146"/>
      <c r="B964" s="141"/>
      <c r="C964" s="141"/>
      <c r="D964" s="141"/>
      <c r="E964" s="141"/>
      <c r="F964" s="141"/>
      <c r="G964" s="141"/>
      <c r="H964" s="141"/>
      <c r="I964" s="141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>
      <c r="A965" s="146"/>
      <c r="B965" s="141"/>
      <c r="C965" s="141"/>
      <c r="D965" s="141"/>
      <c r="E965" s="141"/>
      <c r="F965" s="141"/>
      <c r="G965" s="141"/>
      <c r="H965" s="141"/>
      <c r="I965" s="141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>
      <c r="A966" s="146"/>
      <c r="B966" s="141"/>
      <c r="C966" s="141"/>
      <c r="D966" s="141"/>
      <c r="E966" s="141"/>
      <c r="F966" s="141"/>
      <c r="G966" s="141"/>
      <c r="H966" s="141"/>
      <c r="I966" s="141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>
      <c r="A967" s="146"/>
      <c r="B967" s="141"/>
      <c r="C967" s="141"/>
      <c r="D967" s="141"/>
      <c r="E967" s="141"/>
      <c r="F967" s="141"/>
      <c r="G967" s="141"/>
      <c r="H967" s="141"/>
      <c r="I967" s="141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>
      <c r="A968" s="146"/>
      <c r="B968" s="141"/>
      <c r="C968" s="141"/>
      <c r="D968" s="141"/>
      <c r="E968" s="141"/>
      <c r="F968" s="141"/>
      <c r="G968" s="141"/>
      <c r="H968" s="141"/>
      <c r="I968" s="141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>
      <c r="A969" s="146"/>
      <c r="B969" s="141"/>
      <c r="C969" s="141"/>
      <c r="D969" s="141"/>
      <c r="E969" s="141"/>
      <c r="F969" s="141"/>
      <c r="G969" s="141"/>
      <c r="H969" s="141"/>
      <c r="I969" s="141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>
      <c r="A970" s="146"/>
      <c r="B970" s="141"/>
      <c r="C970" s="141"/>
      <c r="D970" s="141"/>
      <c r="E970" s="141"/>
      <c r="F970" s="141"/>
      <c r="G970" s="141"/>
      <c r="H970" s="141"/>
      <c r="I970" s="141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>
      <c r="A971" s="146"/>
      <c r="B971" s="141"/>
      <c r="C971" s="141"/>
      <c r="D971" s="141"/>
      <c r="E971" s="141"/>
      <c r="F971" s="141"/>
      <c r="G971" s="141"/>
      <c r="H971" s="141"/>
      <c r="I971" s="141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>
      <c r="A972" s="146"/>
      <c r="B972" s="141"/>
      <c r="C972" s="141"/>
      <c r="D972" s="141"/>
      <c r="E972" s="141"/>
      <c r="F972" s="141"/>
      <c r="G972" s="141"/>
      <c r="H972" s="141"/>
      <c r="I972" s="141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>
      <c r="A973" s="146"/>
      <c r="B973" s="141"/>
      <c r="C973" s="141"/>
      <c r="D973" s="141"/>
      <c r="E973" s="141"/>
      <c r="F973" s="141"/>
      <c r="G973" s="141"/>
      <c r="H973" s="141"/>
      <c r="I973" s="141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>
      <c r="A974" s="146"/>
      <c r="B974" s="141"/>
      <c r="C974" s="141"/>
      <c r="D974" s="141"/>
      <c r="E974" s="141"/>
      <c r="F974" s="141"/>
      <c r="G974" s="141"/>
      <c r="H974" s="141"/>
      <c r="I974" s="141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>
      <c r="A975" s="146"/>
      <c r="B975" s="141"/>
      <c r="C975" s="141"/>
      <c r="D975" s="141"/>
      <c r="E975" s="141"/>
      <c r="F975" s="141"/>
      <c r="G975" s="141"/>
      <c r="H975" s="141"/>
      <c r="I975" s="141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>
      <c r="A976" s="146"/>
      <c r="B976" s="141"/>
      <c r="C976" s="141"/>
      <c r="D976" s="141"/>
      <c r="E976" s="141"/>
      <c r="F976" s="141"/>
      <c r="G976" s="141"/>
      <c r="H976" s="141"/>
      <c r="I976" s="141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>
      <c r="A977" s="146"/>
      <c r="B977" s="141"/>
      <c r="C977" s="141"/>
      <c r="D977" s="141"/>
      <c r="E977" s="141"/>
      <c r="F977" s="141"/>
      <c r="G977" s="141"/>
      <c r="H977" s="141"/>
      <c r="I977" s="141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>
      <c r="A978" s="146"/>
      <c r="B978" s="141"/>
      <c r="C978" s="141"/>
      <c r="D978" s="141"/>
      <c r="E978" s="141"/>
      <c r="F978" s="141"/>
      <c r="G978" s="141"/>
      <c r="H978" s="141"/>
      <c r="I978" s="141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>
      <c r="A979" s="146"/>
      <c r="B979" s="141"/>
      <c r="C979" s="141"/>
      <c r="D979" s="141"/>
      <c r="E979" s="141"/>
      <c r="F979" s="141"/>
      <c r="G979" s="141"/>
      <c r="H979" s="141"/>
      <c r="I979" s="141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>
      <c r="A980" s="146"/>
      <c r="B980" s="141"/>
      <c r="C980" s="141"/>
      <c r="D980" s="141"/>
      <c r="E980" s="141"/>
      <c r="F980" s="141"/>
      <c r="G980" s="141"/>
      <c r="H980" s="141"/>
      <c r="I980" s="141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>
      <c r="A981" s="146"/>
      <c r="B981" s="141"/>
      <c r="C981" s="141"/>
      <c r="D981" s="141"/>
      <c r="E981" s="141"/>
      <c r="F981" s="141"/>
      <c r="G981" s="141"/>
      <c r="H981" s="141"/>
      <c r="I981" s="141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>
      <c r="A982" s="146"/>
      <c r="B982" s="141"/>
      <c r="C982" s="141"/>
      <c r="D982" s="141"/>
      <c r="E982" s="141"/>
      <c r="F982" s="141"/>
      <c r="G982" s="141"/>
      <c r="H982" s="141"/>
      <c r="I982" s="141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>
      <c r="A983" s="146"/>
      <c r="B983" s="141"/>
      <c r="C983" s="141"/>
      <c r="D983" s="141"/>
      <c r="E983" s="141"/>
      <c r="F983" s="141"/>
      <c r="G983" s="141"/>
      <c r="H983" s="141"/>
      <c r="I983" s="141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>
      <c r="A984" s="146"/>
      <c r="B984" s="141"/>
      <c r="C984" s="141"/>
      <c r="D984" s="141"/>
      <c r="E984" s="141"/>
      <c r="F984" s="141"/>
      <c r="G984" s="141"/>
      <c r="H984" s="141"/>
      <c r="I984" s="141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>
      <c r="A985" s="146"/>
      <c r="B985" s="141"/>
      <c r="C985" s="141"/>
      <c r="D985" s="141"/>
      <c r="E985" s="141"/>
      <c r="F985" s="141"/>
      <c r="G985" s="141"/>
      <c r="H985" s="141"/>
      <c r="I985" s="141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>
      <c r="A986" s="146"/>
      <c r="B986" s="141"/>
      <c r="C986" s="141"/>
      <c r="D986" s="141"/>
      <c r="E986" s="141"/>
      <c r="F986" s="141"/>
      <c r="G986" s="141"/>
      <c r="H986" s="141"/>
      <c r="I986" s="141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>
      <c r="A987" s="146"/>
      <c r="B987" s="141"/>
      <c r="C987" s="141"/>
      <c r="D987" s="141"/>
      <c r="E987" s="141"/>
      <c r="F987" s="141"/>
      <c r="G987" s="141"/>
      <c r="H987" s="141"/>
      <c r="I987" s="141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>
      <c r="A988" s="146"/>
      <c r="B988" s="141"/>
      <c r="C988" s="141"/>
      <c r="D988" s="141"/>
      <c r="E988" s="141"/>
      <c r="F988" s="141"/>
      <c r="G988" s="141"/>
      <c r="H988" s="141"/>
      <c r="I988" s="141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>
      <c r="A989" s="146"/>
      <c r="B989" s="141"/>
      <c r="C989" s="141"/>
      <c r="D989" s="141"/>
      <c r="E989" s="141"/>
      <c r="F989" s="141"/>
      <c r="G989" s="141"/>
      <c r="H989" s="141"/>
      <c r="I989" s="141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>
      <c r="A990" s="146"/>
      <c r="B990" s="141"/>
      <c r="C990" s="141"/>
      <c r="D990" s="141"/>
      <c r="E990" s="141"/>
      <c r="F990" s="141"/>
      <c r="G990" s="141"/>
      <c r="H990" s="141"/>
      <c r="I990" s="141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>
      <c r="A991" s="146"/>
      <c r="B991" s="141"/>
      <c r="C991" s="141"/>
      <c r="D991" s="141"/>
      <c r="E991" s="141"/>
      <c r="F991" s="141"/>
      <c r="G991" s="141"/>
      <c r="H991" s="141"/>
      <c r="I991" s="141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>
      <c r="A992" s="146"/>
      <c r="B992" s="141"/>
      <c r="C992" s="141"/>
      <c r="D992" s="141"/>
      <c r="E992" s="141"/>
      <c r="F992" s="141"/>
      <c r="G992" s="141"/>
      <c r="H992" s="141"/>
      <c r="I992" s="141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>
      <c r="A993" s="146"/>
      <c r="B993" s="141"/>
      <c r="C993" s="141"/>
      <c r="D993" s="141"/>
      <c r="E993" s="141"/>
      <c r="F993" s="141"/>
      <c r="G993" s="141"/>
      <c r="H993" s="141"/>
      <c r="I993" s="141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>
      <c r="A994" s="146"/>
      <c r="B994" s="141"/>
      <c r="C994" s="141"/>
      <c r="D994" s="141"/>
      <c r="E994" s="141"/>
      <c r="F994" s="141"/>
      <c r="G994" s="141"/>
      <c r="H994" s="141"/>
      <c r="I994" s="141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>
      <c r="A995" s="146"/>
      <c r="B995" s="141"/>
      <c r="C995" s="141"/>
      <c r="D995" s="141"/>
      <c r="E995" s="141"/>
      <c r="F995" s="141"/>
      <c r="G995" s="141"/>
      <c r="H995" s="141"/>
      <c r="I995" s="141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>
      <c r="A996" s="146"/>
      <c r="B996" s="141"/>
      <c r="C996" s="141"/>
      <c r="D996" s="141"/>
      <c r="E996" s="141"/>
      <c r="F996" s="141"/>
      <c r="G996" s="141"/>
      <c r="H996" s="141"/>
      <c r="I996" s="141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>
      <c r="A997" s="146"/>
      <c r="B997" s="141"/>
      <c r="C997" s="141"/>
      <c r="D997" s="141"/>
      <c r="E997" s="141"/>
      <c r="F997" s="141"/>
      <c r="G997" s="141"/>
      <c r="H997" s="141"/>
      <c r="I997" s="141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>
      <c r="A998" s="146"/>
      <c r="B998" s="141"/>
      <c r="C998" s="141"/>
      <c r="D998" s="141"/>
      <c r="E998" s="141"/>
      <c r="F998" s="141"/>
      <c r="G998" s="141"/>
      <c r="H998" s="141"/>
      <c r="I998" s="141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>
      <c r="A999" s="146"/>
      <c r="B999" s="141"/>
      <c r="C999" s="141"/>
      <c r="D999" s="141"/>
      <c r="E999" s="141"/>
      <c r="F999" s="141"/>
      <c r="G999" s="141"/>
      <c r="H999" s="141"/>
      <c r="I999" s="141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>
      <c r="A1000" s="146"/>
      <c r="B1000" s="141"/>
      <c r="C1000" s="141"/>
      <c r="D1000" s="141"/>
      <c r="E1000" s="141"/>
      <c r="F1000" s="141"/>
      <c r="G1000" s="141"/>
      <c r="H1000" s="141"/>
      <c r="I1000" s="141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  <row r="1001">
      <c r="A1001" s="146"/>
      <c r="B1001" s="141"/>
      <c r="C1001" s="141"/>
      <c r="D1001" s="141"/>
      <c r="E1001" s="141"/>
      <c r="F1001" s="141"/>
      <c r="G1001" s="141"/>
      <c r="H1001" s="141"/>
      <c r="I1001" s="141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</row>
    <row r="1002">
      <c r="A1002" s="146"/>
      <c r="B1002" s="141"/>
      <c r="C1002" s="141"/>
      <c r="D1002" s="141"/>
      <c r="E1002" s="141"/>
      <c r="F1002" s="141"/>
      <c r="G1002" s="141"/>
      <c r="H1002" s="141"/>
      <c r="I1002" s="141"/>
      <c r="J1002" s="142"/>
      <c r="K1002" s="142"/>
      <c r="L1002" s="142"/>
      <c r="M1002" s="142"/>
      <c r="N1002" s="142"/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</row>
    <row r="1003">
      <c r="A1003" s="146"/>
      <c r="B1003" s="141"/>
      <c r="C1003" s="141"/>
      <c r="D1003" s="141"/>
      <c r="E1003" s="141"/>
      <c r="F1003" s="141"/>
      <c r="G1003" s="141"/>
      <c r="H1003" s="141"/>
      <c r="I1003" s="141"/>
      <c r="J1003" s="142"/>
      <c r="K1003" s="142"/>
      <c r="L1003" s="142"/>
      <c r="M1003" s="142"/>
      <c r="N1003" s="142"/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</row>
    <row r="1004">
      <c r="A1004" s="146"/>
      <c r="B1004" s="141"/>
      <c r="C1004" s="141"/>
      <c r="D1004" s="141"/>
      <c r="E1004" s="141"/>
      <c r="F1004" s="141"/>
      <c r="G1004" s="141"/>
      <c r="H1004" s="141"/>
      <c r="I1004" s="141"/>
      <c r="J1004" s="142"/>
      <c r="K1004" s="142"/>
      <c r="L1004" s="142"/>
      <c r="M1004" s="142"/>
      <c r="N1004" s="142"/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</row>
    <row r="1005">
      <c r="A1005" s="146"/>
      <c r="B1005" s="141"/>
      <c r="C1005" s="141"/>
      <c r="D1005" s="141"/>
      <c r="E1005" s="141"/>
      <c r="F1005" s="141"/>
      <c r="G1005" s="141"/>
      <c r="H1005" s="141"/>
      <c r="I1005" s="141"/>
      <c r="J1005" s="142"/>
      <c r="K1005" s="142"/>
      <c r="L1005" s="142"/>
      <c r="M1005" s="142"/>
      <c r="N1005" s="142"/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</row>
    <row r="1006">
      <c r="A1006" s="146"/>
      <c r="B1006" s="141"/>
      <c r="C1006" s="141"/>
      <c r="D1006" s="141"/>
      <c r="E1006" s="141"/>
      <c r="F1006" s="141"/>
      <c r="G1006" s="141"/>
      <c r="H1006" s="141"/>
      <c r="I1006" s="141"/>
      <c r="J1006" s="142"/>
      <c r="K1006" s="142"/>
      <c r="L1006" s="142"/>
      <c r="M1006" s="142"/>
      <c r="N1006" s="142"/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</row>
    <row r="1007">
      <c r="A1007" s="146"/>
      <c r="B1007" s="141"/>
      <c r="C1007" s="141"/>
      <c r="D1007" s="141"/>
      <c r="E1007" s="141"/>
      <c r="F1007" s="141"/>
      <c r="G1007" s="141"/>
      <c r="H1007" s="141"/>
      <c r="I1007" s="141"/>
      <c r="J1007" s="142"/>
      <c r="K1007" s="142"/>
      <c r="L1007" s="142"/>
      <c r="M1007" s="142"/>
      <c r="N1007" s="142"/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</row>
    <row r="1008">
      <c r="A1008" s="146"/>
      <c r="B1008" s="141"/>
      <c r="C1008" s="141"/>
      <c r="D1008" s="141"/>
      <c r="E1008" s="141"/>
      <c r="F1008" s="141"/>
      <c r="G1008" s="141"/>
      <c r="H1008" s="141"/>
      <c r="I1008" s="141"/>
      <c r="J1008" s="142"/>
      <c r="K1008" s="142"/>
      <c r="L1008" s="142"/>
      <c r="M1008" s="142"/>
      <c r="N1008" s="142"/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</row>
    <row r="1009">
      <c r="A1009" s="146"/>
      <c r="B1009" s="141"/>
      <c r="C1009" s="141"/>
      <c r="D1009" s="141"/>
      <c r="E1009" s="141"/>
      <c r="F1009" s="141"/>
      <c r="G1009" s="141"/>
      <c r="H1009" s="141"/>
      <c r="I1009" s="141"/>
      <c r="J1009" s="142"/>
      <c r="K1009" s="142"/>
      <c r="L1009" s="142"/>
      <c r="M1009" s="142"/>
      <c r="N1009" s="142"/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</row>
    <row r="1010">
      <c r="A1010" s="146"/>
      <c r="B1010" s="141"/>
      <c r="C1010" s="141"/>
      <c r="D1010" s="141"/>
      <c r="E1010" s="141"/>
      <c r="F1010" s="141"/>
      <c r="G1010" s="141"/>
      <c r="H1010" s="141"/>
      <c r="I1010" s="141"/>
      <c r="J1010" s="142"/>
      <c r="K1010" s="142"/>
      <c r="L1010" s="142"/>
      <c r="M1010" s="142"/>
      <c r="N1010" s="142"/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</row>
  </sheetData>
  <conditionalFormatting sqref="B21:I21 L32:L37 N32:S37 M33:M37 B38:I39 L41:T51 B52:I53 A54:A60 K54:K60 B55:I64 L55:S60 K62:S64 A63:A64 B70:I74 B76:I76">
    <cfRule type="notContainsBlanks" dxfId="0" priority="1">
      <formula>LEN(TRIM(B21))&gt;0</formula>
    </cfRule>
  </conditionalFormatting>
  <conditionalFormatting sqref="A78:A80 A92:A93">
    <cfRule type="notContainsBlanks" dxfId="0" priority="2">
      <formula>LEN(TRIM(A78))&gt;0</formula>
    </cfRule>
  </conditionalFormatting>
  <drawing r:id="rId2"/>
  <legacyDrawing r:id="rId3"/>
  <tableParts count="11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8.0"/>
    <col customWidth="1" min="3" max="3" width="8.38"/>
    <col customWidth="1" min="4" max="4" width="7.38"/>
    <col customWidth="1" min="5" max="5" width="6.5"/>
    <col customWidth="1" min="6" max="7" width="5.13"/>
    <col customWidth="1" min="8" max="8" width="6.13"/>
    <col customWidth="1" min="9" max="9" width="6.75"/>
    <col customWidth="1" min="10" max="10" width="10.0"/>
    <col customWidth="1" min="11" max="11" width="7.5"/>
    <col customWidth="1" min="12" max="14" width="9.5"/>
  </cols>
  <sheetData>
    <row r="1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</row>
    <row r="2">
      <c r="A2" s="216" t="s">
        <v>22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</row>
    <row r="3">
      <c r="A3" s="217" t="s">
        <v>147</v>
      </c>
      <c r="B3" s="109">
        <v>2025.0</v>
      </c>
      <c r="C3" s="109">
        <v>2030.0</v>
      </c>
      <c r="D3" s="109">
        <v>2035.0</v>
      </c>
      <c r="E3" s="109">
        <v>2040.0</v>
      </c>
      <c r="F3" s="109">
        <v>2045.0</v>
      </c>
      <c r="G3" s="109">
        <v>2050.0</v>
      </c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</row>
    <row r="4">
      <c r="A4" s="218" t="s">
        <v>148</v>
      </c>
      <c r="B4" s="217">
        <v>36.5</v>
      </c>
      <c r="C4" s="217">
        <v>37.8</v>
      </c>
      <c r="D4" s="217">
        <v>39.5</v>
      </c>
      <c r="E4" s="217">
        <v>42.0</v>
      </c>
      <c r="F4" s="219">
        <v>42.5</v>
      </c>
      <c r="G4" s="219">
        <v>43.5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</row>
    <row r="5">
      <c r="A5" s="218" t="s">
        <v>149</v>
      </c>
      <c r="B5" s="217">
        <f t="shared" ref="B5:G5" si="1">SUM(B6:B9)</f>
        <v>30</v>
      </c>
      <c r="C5" s="217">
        <f t="shared" si="1"/>
        <v>26.8</v>
      </c>
      <c r="D5" s="217">
        <f t="shared" si="1"/>
        <v>23.5</v>
      </c>
      <c r="E5" s="217">
        <f t="shared" si="1"/>
        <v>27.5</v>
      </c>
      <c r="F5" s="217">
        <f t="shared" si="1"/>
        <v>32</v>
      </c>
      <c r="G5" s="217">
        <f t="shared" si="1"/>
        <v>35.3</v>
      </c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</row>
    <row r="6">
      <c r="A6" s="217" t="s">
        <v>121</v>
      </c>
      <c r="B6" s="217">
        <v>17.0</v>
      </c>
      <c r="C6" s="217">
        <v>17.3</v>
      </c>
      <c r="D6" s="217">
        <v>17.5</v>
      </c>
      <c r="E6" s="217">
        <v>18.5</v>
      </c>
      <c r="F6" s="219">
        <v>18.7</v>
      </c>
      <c r="G6" s="219">
        <v>19.0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</row>
    <row r="7">
      <c r="A7" s="217" t="s">
        <v>122</v>
      </c>
      <c r="B7" s="217">
        <v>10.0</v>
      </c>
      <c r="C7" s="217">
        <v>5.0</v>
      </c>
      <c r="D7" s="217">
        <v>0.0</v>
      </c>
      <c r="E7" s="217">
        <v>0.0</v>
      </c>
      <c r="F7" s="219">
        <v>0.0</v>
      </c>
      <c r="G7" s="219">
        <v>0.0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</row>
    <row r="8">
      <c r="A8" s="217" t="s">
        <v>123</v>
      </c>
      <c r="B8" s="217">
        <v>1.0</v>
      </c>
      <c r="C8" s="217">
        <v>1.0</v>
      </c>
      <c r="D8" s="217">
        <v>1.0</v>
      </c>
      <c r="E8" s="217">
        <v>0.5</v>
      </c>
      <c r="F8" s="219">
        <v>0.3</v>
      </c>
      <c r="G8" s="219">
        <v>0.3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</row>
    <row r="9">
      <c r="A9" s="217" t="s">
        <v>150</v>
      </c>
      <c r="B9" s="217">
        <v>2.0</v>
      </c>
      <c r="C9" s="217">
        <v>3.5</v>
      </c>
      <c r="D9" s="217">
        <v>5.0</v>
      </c>
      <c r="E9" s="217">
        <v>8.5</v>
      </c>
      <c r="F9" s="219">
        <v>13.0</v>
      </c>
      <c r="G9" s="219">
        <v>16.0</v>
      </c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</row>
    <row r="10">
      <c r="A10" s="217" t="s">
        <v>151</v>
      </c>
      <c r="B10" s="217">
        <v>6.5</v>
      </c>
      <c r="C10" s="217">
        <v>11.0</v>
      </c>
      <c r="D10" s="217">
        <v>16.0</v>
      </c>
      <c r="E10" s="217">
        <v>14.5</v>
      </c>
      <c r="F10" s="219">
        <v>10.5</v>
      </c>
      <c r="G10" s="219">
        <v>8.5</v>
      </c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</row>
    <row r="11">
      <c r="A11" s="215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</row>
    <row r="12">
      <c r="A12" s="215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</row>
    <row r="13">
      <c r="A13" s="215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</row>
    <row r="14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</row>
    <row r="15">
      <c r="A15" s="215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</row>
    <row r="16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</row>
    <row r="17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</row>
    <row r="18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</row>
    <row r="19">
      <c r="A19" s="216" t="s">
        <v>22</v>
      </c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</row>
    <row r="20">
      <c r="A20" s="217" t="s">
        <v>147</v>
      </c>
      <c r="B20" s="109">
        <v>2025.0</v>
      </c>
      <c r="C20" s="109">
        <v>2030.0</v>
      </c>
      <c r="D20" s="109">
        <v>2035.0</v>
      </c>
      <c r="E20" s="109">
        <v>2040.0</v>
      </c>
      <c r="F20" s="109">
        <v>2045.0</v>
      </c>
      <c r="G20" s="109">
        <v>2050.0</v>
      </c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</row>
    <row r="21">
      <c r="A21" s="218" t="s">
        <v>152</v>
      </c>
      <c r="B21" s="217">
        <v>31.0</v>
      </c>
      <c r="C21" s="217">
        <v>32.5</v>
      </c>
      <c r="D21" s="217">
        <v>34.8</v>
      </c>
      <c r="E21" s="217">
        <v>38.5</v>
      </c>
      <c r="F21" s="219">
        <v>39.5</v>
      </c>
      <c r="G21" s="219">
        <v>40.0</v>
      </c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</row>
    <row r="22">
      <c r="A22" s="217" t="s">
        <v>121</v>
      </c>
      <c r="B22" s="217">
        <v>23.0</v>
      </c>
      <c r="C22" s="217">
        <v>24.0</v>
      </c>
      <c r="D22" s="217">
        <v>24.5</v>
      </c>
      <c r="E22" s="217">
        <v>26.0</v>
      </c>
      <c r="F22" s="219">
        <v>26.0</v>
      </c>
      <c r="G22" s="219">
        <v>25.0</v>
      </c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</row>
    <row r="23">
      <c r="A23" s="217" t="s">
        <v>122</v>
      </c>
      <c r="B23" s="217">
        <v>7.0</v>
      </c>
      <c r="C23" s="217">
        <v>4.0</v>
      </c>
      <c r="D23" s="217">
        <v>0.0</v>
      </c>
      <c r="E23" s="217">
        <v>0.0</v>
      </c>
      <c r="F23" s="219">
        <v>0.0</v>
      </c>
      <c r="G23" s="219">
        <v>0.0</v>
      </c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</row>
    <row r="24">
      <c r="A24" s="217" t="s">
        <v>123</v>
      </c>
      <c r="B24" s="217">
        <v>1.0</v>
      </c>
      <c r="C24" s="217">
        <v>1.0</v>
      </c>
      <c r="D24" s="217">
        <v>1.0</v>
      </c>
      <c r="E24" s="217">
        <v>0.5</v>
      </c>
      <c r="F24" s="219">
        <v>0.5</v>
      </c>
      <c r="G24" s="219">
        <v>0.3</v>
      </c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</row>
    <row r="25">
      <c r="A25" s="217" t="s">
        <v>150</v>
      </c>
      <c r="B25" s="217">
        <v>6.0</v>
      </c>
      <c r="C25" s="217">
        <v>7.5</v>
      </c>
      <c r="D25" s="217">
        <v>12.0</v>
      </c>
      <c r="E25" s="217">
        <v>17.0</v>
      </c>
      <c r="F25" s="219">
        <v>20.0</v>
      </c>
      <c r="G25" s="219">
        <v>24.0</v>
      </c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</row>
    <row r="26">
      <c r="A26" s="217" t="s">
        <v>151</v>
      </c>
      <c r="B26" s="217">
        <v>0.0</v>
      </c>
      <c r="C26" s="217">
        <v>0.0</v>
      </c>
      <c r="D26" s="217">
        <v>0.0</v>
      </c>
      <c r="E26" s="217">
        <v>0.0</v>
      </c>
      <c r="F26" s="219">
        <v>0.0</v>
      </c>
      <c r="G26" s="219">
        <v>0.0</v>
      </c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</row>
    <row r="27">
      <c r="A27" s="218" t="s">
        <v>153</v>
      </c>
      <c r="B27" s="217">
        <f t="shared" ref="B27:G27" si="2">SUM(B22:B26)</f>
        <v>37</v>
      </c>
      <c r="C27" s="217">
        <f t="shared" si="2"/>
        <v>36.5</v>
      </c>
      <c r="D27" s="217">
        <f t="shared" si="2"/>
        <v>37.5</v>
      </c>
      <c r="E27" s="217">
        <f t="shared" si="2"/>
        <v>43.5</v>
      </c>
      <c r="F27" s="217">
        <f t="shared" si="2"/>
        <v>46.5</v>
      </c>
      <c r="G27" s="217">
        <f t="shared" si="2"/>
        <v>49.3</v>
      </c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</row>
    <row r="28"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</row>
    <row r="29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</row>
    <row r="30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</row>
    <row r="31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</row>
    <row r="3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</row>
    <row r="33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</row>
    <row r="34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</row>
    <row r="35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</row>
    <row r="36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</row>
    <row r="37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</row>
    <row r="38"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</row>
    <row r="39">
      <c r="A39" s="220" t="s">
        <v>154</v>
      </c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</row>
    <row r="40">
      <c r="A40" s="221" t="s">
        <v>155</v>
      </c>
      <c r="B40" s="160" t="s">
        <v>156</v>
      </c>
      <c r="C40" s="160" t="s">
        <v>157</v>
      </c>
      <c r="D40" s="160" t="s">
        <v>158</v>
      </c>
      <c r="E40" s="160" t="s">
        <v>159</v>
      </c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</row>
    <row r="41">
      <c r="A41" s="160" t="s">
        <v>160</v>
      </c>
      <c r="B41" s="222">
        <v>4366.0</v>
      </c>
      <c r="C41" s="222">
        <v>4414.0</v>
      </c>
      <c r="D41" s="222">
        <v>4463.0</v>
      </c>
      <c r="E41" s="222">
        <v>4463.0</v>
      </c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</row>
    <row r="42">
      <c r="A42" s="160" t="s">
        <v>161</v>
      </c>
      <c r="B42" s="222">
        <v>692.0</v>
      </c>
      <c r="C42" s="222">
        <v>2848.0</v>
      </c>
      <c r="D42" s="222">
        <v>2896.0</v>
      </c>
      <c r="E42" s="222">
        <v>205.0</v>
      </c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</row>
    <row r="43">
      <c r="A43" s="160" t="s">
        <v>162</v>
      </c>
      <c r="B43" s="222">
        <v>2432.0</v>
      </c>
      <c r="C43" s="222">
        <v>308.0</v>
      </c>
      <c r="D43" s="222">
        <v>296.0</v>
      </c>
      <c r="E43" s="222">
        <v>4354.0</v>
      </c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</row>
    <row r="44">
      <c r="A44" s="160" t="s">
        <v>163</v>
      </c>
      <c r="B44" s="222">
        <v>30162.0</v>
      </c>
      <c r="C44" s="222">
        <v>5410.0</v>
      </c>
      <c r="D44" s="222">
        <v>4326.0</v>
      </c>
      <c r="E44" s="222">
        <v>27238.0</v>
      </c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</row>
    <row r="45">
      <c r="A45" s="160" t="s">
        <v>164</v>
      </c>
      <c r="B45" s="222">
        <v>5650.0</v>
      </c>
      <c r="C45" s="222">
        <v>0.0</v>
      </c>
      <c r="D45" s="222">
        <v>0.0</v>
      </c>
      <c r="E45" s="222">
        <v>3420.0</v>
      </c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</row>
    <row r="46">
      <c r="A46" s="160" t="s">
        <v>165</v>
      </c>
      <c r="B46" s="222">
        <v>20449.0</v>
      </c>
      <c r="C46" s="222">
        <v>17661.0</v>
      </c>
      <c r="D46" s="222">
        <v>19418.0</v>
      </c>
      <c r="E46" s="222">
        <v>21781.0</v>
      </c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</row>
    <row r="47">
      <c r="A47" s="163" t="s">
        <v>166</v>
      </c>
      <c r="B47" s="223">
        <f t="shared" ref="B47:E47" si="3">SUM(B41:B46)</f>
        <v>63751</v>
      </c>
      <c r="C47" s="223">
        <f t="shared" si="3"/>
        <v>30641</v>
      </c>
      <c r="D47" s="223">
        <f t="shared" si="3"/>
        <v>31399</v>
      </c>
      <c r="E47" s="223">
        <f t="shared" si="3"/>
        <v>61461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</row>
    <row r="48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</row>
    <row r="49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</row>
    <row r="50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</row>
    <row r="5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</row>
    <row r="52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</row>
    <row r="53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</row>
    <row r="54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</row>
    <row r="5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</row>
    <row r="56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</row>
    <row r="57"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</row>
    <row r="58">
      <c r="A58" s="220" t="s">
        <v>167</v>
      </c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</row>
    <row r="59">
      <c r="A59" s="224" t="s">
        <v>168</v>
      </c>
      <c r="B59" s="136" t="s">
        <v>156</v>
      </c>
      <c r="C59" s="136" t="s">
        <v>157</v>
      </c>
      <c r="D59" s="136" t="s">
        <v>158</v>
      </c>
      <c r="E59" s="136" t="s">
        <v>159</v>
      </c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</row>
    <row r="60">
      <c r="A60" s="225" t="s">
        <v>169</v>
      </c>
      <c r="B60" s="136">
        <v>1107.0</v>
      </c>
      <c r="C60" s="136">
        <v>0.0</v>
      </c>
      <c r="D60" s="136">
        <v>0.0</v>
      </c>
      <c r="E60" s="136">
        <v>1319.0</v>
      </c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</row>
    <row r="61">
      <c r="A61" s="225" t="s">
        <v>170</v>
      </c>
      <c r="B61" s="136">
        <v>6056.0</v>
      </c>
      <c r="C61" s="136">
        <v>2971.0</v>
      </c>
      <c r="D61" s="136">
        <v>5631.0</v>
      </c>
      <c r="E61" s="136">
        <v>6190.0</v>
      </c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</row>
    <row r="62">
      <c r="A62" s="225" t="s">
        <v>171</v>
      </c>
      <c r="B62" s="136">
        <v>560.0</v>
      </c>
      <c r="C62" s="136">
        <v>137.0</v>
      </c>
      <c r="D62" s="136">
        <v>131.0</v>
      </c>
      <c r="E62" s="136">
        <v>608.0</v>
      </c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</row>
    <row r="63">
      <c r="A63" s="225" t="s">
        <v>172</v>
      </c>
      <c r="B63" s="136">
        <v>6138.0</v>
      </c>
      <c r="C63" s="136">
        <v>10856.0</v>
      </c>
      <c r="D63" s="136">
        <v>10567.0</v>
      </c>
      <c r="E63" s="136">
        <v>4150.0</v>
      </c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</row>
    <row r="64">
      <c r="A64" s="225" t="s">
        <v>173</v>
      </c>
      <c r="B64" s="136">
        <v>2043.0</v>
      </c>
      <c r="C64" s="136">
        <v>1160.0</v>
      </c>
      <c r="D64" s="136">
        <v>1048.0</v>
      </c>
      <c r="E64" s="136">
        <v>2192.0</v>
      </c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</row>
    <row r="65">
      <c r="A65" s="225" t="s">
        <v>174</v>
      </c>
      <c r="B65" s="136">
        <v>4071.0</v>
      </c>
      <c r="C65" s="136">
        <v>3884.0</v>
      </c>
      <c r="D65" s="136">
        <v>4915.0</v>
      </c>
      <c r="E65" s="136">
        <v>3952.0</v>
      </c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</row>
    <row r="66">
      <c r="A66" s="225" t="s">
        <v>175</v>
      </c>
      <c r="B66" s="136">
        <v>2716.0</v>
      </c>
      <c r="C66" s="136">
        <v>5709.0</v>
      </c>
      <c r="D66" s="136">
        <v>6440.0</v>
      </c>
      <c r="E66" s="136">
        <v>3373.0</v>
      </c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</row>
    <row r="67">
      <c r="A67" s="225" t="s">
        <v>176</v>
      </c>
      <c r="B67" s="136">
        <v>473.0</v>
      </c>
      <c r="C67" s="136">
        <v>373.0</v>
      </c>
      <c r="D67" s="136">
        <v>321.0</v>
      </c>
      <c r="E67" s="136">
        <v>484.0</v>
      </c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</row>
    <row r="68">
      <c r="A68" s="157" t="s">
        <v>177</v>
      </c>
      <c r="B68" s="226">
        <f t="shared" ref="B68:E68" si="4">SUM(B59:B67)</f>
        <v>23164</v>
      </c>
      <c r="C68" s="226">
        <f t="shared" si="4"/>
        <v>25090</v>
      </c>
      <c r="D68" s="226">
        <f t="shared" si="4"/>
        <v>29053</v>
      </c>
      <c r="E68" s="226">
        <f t="shared" si="4"/>
        <v>22268</v>
      </c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</row>
    <row r="69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</row>
    <row r="70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</row>
    <row r="71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</row>
    <row r="72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</row>
    <row r="7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</row>
    <row r="74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</row>
    <row r="75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</row>
    <row r="76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</row>
    <row r="77"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4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</row>
    <row r="78">
      <c r="A78" s="227" t="s">
        <v>178</v>
      </c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28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</row>
    <row r="79">
      <c r="A79" s="173" t="s">
        <v>155</v>
      </c>
      <c r="B79" s="176" t="s">
        <v>51</v>
      </c>
      <c r="C79" s="176" t="s">
        <v>2</v>
      </c>
      <c r="D79" s="176" t="s">
        <v>3</v>
      </c>
      <c r="E79" s="176" t="s">
        <v>4</v>
      </c>
      <c r="F79" s="229" t="s">
        <v>5</v>
      </c>
      <c r="G79" s="176" t="s">
        <v>6</v>
      </c>
      <c r="H79" s="176" t="s">
        <v>7</v>
      </c>
      <c r="I79" s="176" t="s">
        <v>8</v>
      </c>
      <c r="J79" s="176" t="s">
        <v>9</v>
      </c>
      <c r="K79" s="176" t="s">
        <v>10</v>
      </c>
      <c r="L79" s="176" t="s">
        <v>11</v>
      </c>
      <c r="M79" s="176" t="s">
        <v>12</v>
      </c>
      <c r="N79" s="230" t="s">
        <v>13</v>
      </c>
      <c r="O79" s="228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</row>
    <row r="80">
      <c r="A80" s="176" t="s">
        <v>160</v>
      </c>
      <c r="B80" s="176">
        <v>1504.0</v>
      </c>
      <c r="C80" s="176">
        <v>1358.0</v>
      </c>
      <c r="D80" s="176">
        <v>1504.0</v>
      </c>
      <c r="E80" s="176">
        <v>1455.0</v>
      </c>
      <c r="F80" s="176">
        <v>1504.0</v>
      </c>
      <c r="G80" s="176">
        <v>1455.0</v>
      </c>
      <c r="H80" s="176">
        <v>1504.0</v>
      </c>
      <c r="I80" s="176">
        <v>1504.0</v>
      </c>
      <c r="J80" s="176">
        <v>1455.0</v>
      </c>
      <c r="K80" s="176">
        <v>1504.0</v>
      </c>
      <c r="L80" s="176">
        <v>1455.0</v>
      </c>
      <c r="M80" s="176">
        <v>1504.0</v>
      </c>
      <c r="N80" s="231">
        <f t="shared" ref="N80:N86" si="5">SUM(B80:M80)</f>
        <v>17706</v>
      </c>
      <c r="O80" s="228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</row>
    <row r="81">
      <c r="A81" s="176" t="s">
        <v>161</v>
      </c>
      <c r="B81" s="176">
        <v>0.0</v>
      </c>
      <c r="C81" s="176">
        <v>0.0</v>
      </c>
      <c r="D81" s="176">
        <v>692.0</v>
      </c>
      <c r="E81" s="176">
        <v>928.0</v>
      </c>
      <c r="F81" s="176">
        <v>976.0</v>
      </c>
      <c r="G81" s="176">
        <v>944.0</v>
      </c>
      <c r="H81" s="176">
        <v>976.0</v>
      </c>
      <c r="I81" s="176">
        <v>976.0</v>
      </c>
      <c r="J81" s="176">
        <v>944.0</v>
      </c>
      <c r="K81" s="176">
        <v>205.0</v>
      </c>
      <c r="L81" s="176">
        <v>0.0</v>
      </c>
      <c r="M81" s="176">
        <v>0.0</v>
      </c>
      <c r="N81" s="231">
        <f t="shared" si="5"/>
        <v>6641</v>
      </c>
      <c r="O81" s="228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</row>
    <row r="82">
      <c r="A82" s="176" t="s">
        <v>162</v>
      </c>
      <c r="B82" s="176">
        <v>1076.0</v>
      </c>
      <c r="C82" s="176">
        <v>972.0</v>
      </c>
      <c r="D82" s="176">
        <v>384.0</v>
      </c>
      <c r="E82" s="176">
        <v>112.0</v>
      </c>
      <c r="F82" s="176">
        <v>100.0</v>
      </c>
      <c r="G82" s="176">
        <v>96.0</v>
      </c>
      <c r="H82" s="176">
        <v>100.0</v>
      </c>
      <c r="I82" s="176">
        <v>100.0</v>
      </c>
      <c r="J82" s="176">
        <v>96.0</v>
      </c>
      <c r="K82" s="176">
        <v>870.0</v>
      </c>
      <c r="L82" s="176">
        <v>1041.0</v>
      </c>
      <c r="M82" s="176">
        <v>2443.0</v>
      </c>
      <c r="N82" s="231">
        <f t="shared" si="5"/>
        <v>7390</v>
      </c>
      <c r="O82" s="228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</row>
    <row r="83">
      <c r="A83" s="136" t="s">
        <v>163</v>
      </c>
      <c r="B83" s="176">
        <v>10389.0</v>
      </c>
      <c r="C83" s="176">
        <v>9384.0</v>
      </c>
      <c r="D83" s="176">
        <v>10389.0</v>
      </c>
      <c r="E83" s="176">
        <v>3176.0</v>
      </c>
      <c r="F83" s="176">
        <v>1135.0</v>
      </c>
      <c r="G83" s="176">
        <v>1099.0</v>
      </c>
      <c r="H83" s="176">
        <v>1135.0</v>
      </c>
      <c r="I83" s="176">
        <v>1135.0</v>
      </c>
      <c r="J83" s="176">
        <v>2056.0</v>
      </c>
      <c r="K83" s="176">
        <v>6983.0</v>
      </c>
      <c r="L83" s="176">
        <v>9866.0</v>
      </c>
      <c r="M83" s="176">
        <v>10389.0</v>
      </c>
      <c r="N83" s="231">
        <f t="shared" si="5"/>
        <v>67136</v>
      </c>
      <c r="O83" s="228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</row>
    <row r="84">
      <c r="A84" s="176" t="s">
        <v>164</v>
      </c>
      <c r="B84" s="176">
        <v>3420.0</v>
      </c>
      <c r="C84" s="176">
        <v>2230.0</v>
      </c>
      <c r="D84" s="176">
        <v>0.0</v>
      </c>
      <c r="E84" s="176">
        <v>0.0</v>
      </c>
      <c r="F84" s="176">
        <v>0.0</v>
      </c>
      <c r="G84" s="176">
        <v>0.0</v>
      </c>
      <c r="H84" s="176">
        <v>0.0</v>
      </c>
      <c r="I84" s="176">
        <v>0.0</v>
      </c>
      <c r="J84" s="176">
        <v>0.0</v>
      </c>
      <c r="K84" s="176">
        <v>0.0</v>
      </c>
      <c r="L84" s="176">
        <v>0.0</v>
      </c>
      <c r="M84" s="176">
        <v>3420.0</v>
      </c>
      <c r="N84" s="231">
        <f t="shared" si="5"/>
        <v>9070</v>
      </c>
      <c r="O84" s="228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</row>
    <row r="85">
      <c r="A85" s="176" t="s">
        <v>165</v>
      </c>
      <c r="B85" s="176">
        <v>7499.0</v>
      </c>
      <c r="C85" s="176">
        <v>6560.0</v>
      </c>
      <c r="D85" s="176">
        <v>6390.0</v>
      </c>
      <c r="E85" s="176">
        <v>6006.0</v>
      </c>
      <c r="F85" s="176">
        <v>5877.0</v>
      </c>
      <c r="G85" s="176">
        <v>5778.0</v>
      </c>
      <c r="H85" s="176">
        <v>6741.0</v>
      </c>
      <c r="I85" s="176">
        <v>6385.0</v>
      </c>
      <c r="J85" s="176">
        <v>6292.0</v>
      </c>
      <c r="K85" s="176">
        <v>6713.0</v>
      </c>
      <c r="L85" s="176">
        <v>7293.0</v>
      </c>
      <c r="M85" s="176">
        <v>7775.0</v>
      </c>
      <c r="N85" s="231">
        <f t="shared" si="5"/>
        <v>79309</v>
      </c>
      <c r="O85" s="228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</row>
    <row r="86">
      <c r="A86" s="232" t="s">
        <v>179</v>
      </c>
      <c r="B86" s="233">
        <f t="shared" ref="B86:M86" si="6">SUM(B80:B85)</f>
        <v>23888</v>
      </c>
      <c r="C86" s="233">
        <f t="shared" si="6"/>
        <v>20504</v>
      </c>
      <c r="D86" s="233">
        <f t="shared" si="6"/>
        <v>19359</v>
      </c>
      <c r="E86" s="233">
        <f t="shared" si="6"/>
        <v>11677</v>
      </c>
      <c r="F86" s="233">
        <f t="shared" si="6"/>
        <v>9592</v>
      </c>
      <c r="G86" s="233">
        <f t="shared" si="6"/>
        <v>9372</v>
      </c>
      <c r="H86" s="233">
        <f t="shared" si="6"/>
        <v>10456</v>
      </c>
      <c r="I86" s="233">
        <f t="shared" si="6"/>
        <v>10100</v>
      </c>
      <c r="J86" s="233">
        <f t="shared" si="6"/>
        <v>10843</v>
      </c>
      <c r="K86" s="233">
        <f t="shared" si="6"/>
        <v>16275</v>
      </c>
      <c r="L86" s="233">
        <f t="shared" si="6"/>
        <v>19655</v>
      </c>
      <c r="M86" s="233">
        <f t="shared" si="6"/>
        <v>25531</v>
      </c>
      <c r="N86" s="231">
        <f t="shared" si="5"/>
        <v>187252</v>
      </c>
      <c r="O86" s="216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</row>
    <row r="87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</row>
    <row r="88">
      <c r="A88" s="234" t="s">
        <v>180</v>
      </c>
      <c r="B88" s="229" t="s">
        <v>51</v>
      </c>
      <c r="C88" s="229" t="s">
        <v>2</v>
      </c>
      <c r="D88" s="229" t="s">
        <v>3</v>
      </c>
      <c r="E88" s="229" t="s">
        <v>4</v>
      </c>
      <c r="F88" s="229" t="s">
        <v>5</v>
      </c>
      <c r="G88" s="229" t="s">
        <v>6</v>
      </c>
      <c r="H88" s="229" t="s">
        <v>7</v>
      </c>
      <c r="I88" s="229" t="s">
        <v>8</v>
      </c>
      <c r="J88" s="229" t="s">
        <v>9</v>
      </c>
      <c r="K88" s="229" t="s">
        <v>10</v>
      </c>
      <c r="L88" s="229" t="s">
        <v>11</v>
      </c>
      <c r="M88" s="229" t="s">
        <v>12</v>
      </c>
      <c r="N88" s="235" t="s">
        <v>13</v>
      </c>
      <c r="O88" s="216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</row>
    <row r="89">
      <c r="A89" s="229" t="s">
        <v>160</v>
      </c>
      <c r="B89" s="229">
        <f t="shared" ref="B89:M89" si="7">B80*0.0036</f>
        <v>5.4144</v>
      </c>
      <c r="C89" s="229">
        <f t="shared" si="7"/>
        <v>4.8888</v>
      </c>
      <c r="D89" s="229">
        <f t="shared" si="7"/>
        <v>5.4144</v>
      </c>
      <c r="E89" s="229">
        <f t="shared" si="7"/>
        <v>5.238</v>
      </c>
      <c r="F89" s="229">
        <f t="shared" si="7"/>
        <v>5.4144</v>
      </c>
      <c r="G89" s="229">
        <f t="shared" si="7"/>
        <v>5.238</v>
      </c>
      <c r="H89" s="229">
        <f t="shared" si="7"/>
        <v>5.4144</v>
      </c>
      <c r="I89" s="229">
        <f t="shared" si="7"/>
        <v>5.4144</v>
      </c>
      <c r="J89" s="229">
        <f t="shared" si="7"/>
        <v>5.238</v>
      </c>
      <c r="K89" s="229">
        <f t="shared" si="7"/>
        <v>5.4144</v>
      </c>
      <c r="L89" s="229">
        <f t="shared" si="7"/>
        <v>5.238</v>
      </c>
      <c r="M89" s="229">
        <f t="shared" si="7"/>
        <v>5.4144</v>
      </c>
      <c r="N89" s="236">
        <f t="shared" ref="N89:N95" si="9">SUM(B89:M89)</f>
        <v>63.7416</v>
      </c>
      <c r="O89" s="228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</row>
    <row r="90">
      <c r="A90" s="229" t="s">
        <v>161</v>
      </c>
      <c r="B90" s="229">
        <f t="shared" ref="B90:M90" si="8">B81*0.0036</f>
        <v>0</v>
      </c>
      <c r="C90" s="229">
        <f t="shared" si="8"/>
        <v>0</v>
      </c>
      <c r="D90" s="229">
        <f t="shared" si="8"/>
        <v>2.4912</v>
      </c>
      <c r="E90" s="229">
        <f t="shared" si="8"/>
        <v>3.3408</v>
      </c>
      <c r="F90" s="229">
        <f t="shared" si="8"/>
        <v>3.5136</v>
      </c>
      <c r="G90" s="229">
        <f t="shared" si="8"/>
        <v>3.3984</v>
      </c>
      <c r="H90" s="229">
        <f t="shared" si="8"/>
        <v>3.5136</v>
      </c>
      <c r="I90" s="229">
        <f t="shared" si="8"/>
        <v>3.5136</v>
      </c>
      <c r="J90" s="229">
        <f t="shared" si="8"/>
        <v>3.3984</v>
      </c>
      <c r="K90" s="229">
        <f t="shared" si="8"/>
        <v>0.738</v>
      </c>
      <c r="L90" s="229">
        <f t="shared" si="8"/>
        <v>0</v>
      </c>
      <c r="M90" s="229">
        <f t="shared" si="8"/>
        <v>0</v>
      </c>
      <c r="N90" s="236">
        <f t="shared" si="9"/>
        <v>23.9076</v>
      </c>
      <c r="O90" s="228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</row>
    <row r="91">
      <c r="A91" s="229" t="s">
        <v>162</v>
      </c>
      <c r="B91" s="229">
        <f t="shared" ref="B91:M91" si="10">B82*0.0036</f>
        <v>3.8736</v>
      </c>
      <c r="C91" s="229">
        <f t="shared" si="10"/>
        <v>3.4992</v>
      </c>
      <c r="D91" s="229">
        <f t="shared" si="10"/>
        <v>1.3824</v>
      </c>
      <c r="E91" s="229">
        <f t="shared" si="10"/>
        <v>0.4032</v>
      </c>
      <c r="F91" s="229">
        <f t="shared" si="10"/>
        <v>0.36</v>
      </c>
      <c r="G91" s="229">
        <f t="shared" si="10"/>
        <v>0.3456</v>
      </c>
      <c r="H91" s="229">
        <f t="shared" si="10"/>
        <v>0.36</v>
      </c>
      <c r="I91" s="229">
        <f t="shared" si="10"/>
        <v>0.36</v>
      </c>
      <c r="J91" s="229">
        <f t="shared" si="10"/>
        <v>0.3456</v>
      </c>
      <c r="K91" s="229">
        <f t="shared" si="10"/>
        <v>3.132</v>
      </c>
      <c r="L91" s="229">
        <f t="shared" si="10"/>
        <v>3.7476</v>
      </c>
      <c r="M91" s="229">
        <f t="shared" si="10"/>
        <v>8.7948</v>
      </c>
      <c r="N91" s="236">
        <f t="shared" si="9"/>
        <v>26.604</v>
      </c>
      <c r="O91" s="228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</row>
    <row r="92">
      <c r="A92" s="237" t="s">
        <v>163</v>
      </c>
      <c r="B92" s="229">
        <f t="shared" ref="B92:M92" si="11">B83*0.0036</f>
        <v>37.4004</v>
      </c>
      <c r="C92" s="229">
        <f t="shared" si="11"/>
        <v>33.7824</v>
      </c>
      <c r="D92" s="229">
        <f t="shared" si="11"/>
        <v>37.4004</v>
      </c>
      <c r="E92" s="229">
        <f t="shared" si="11"/>
        <v>11.4336</v>
      </c>
      <c r="F92" s="229">
        <f t="shared" si="11"/>
        <v>4.086</v>
      </c>
      <c r="G92" s="229">
        <f t="shared" si="11"/>
        <v>3.9564</v>
      </c>
      <c r="H92" s="229">
        <f t="shared" si="11"/>
        <v>4.086</v>
      </c>
      <c r="I92" s="229">
        <f t="shared" si="11"/>
        <v>4.086</v>
      </c>
      <c r="J92" s="229">
        <f t="shared" si="11"/>
        <v>7.4016</v>
      </c>
      <c r="K92" s="229">
        <f t="shared" si="11"/>
        <v>25.1388</v>
      </c>
      <c r="L92" s="229">
        <f t="shared" si="11"/>
        <v>35.5176</v>
      </c>
      <c r="M92" s="229">
        <f t="shared" si="11"/>
        <v>37.4004</v>
      </c>
      <c r="N92" s="236">
        <f t="shared" si="9"/>
        <v>241.6896</v>
      </c>
      <c r="O92" s="228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</row>
    <row r="93">
      <c r="A93" s="229" t="s">
        <v>164</v>
      </c>
      <c r="B93" s="229">
        <f t="shared" ref="B93:M93" si="12">B84*0.0036</f>
        <v>12.312</v>
      </c>
      <c r="C93" s="229">
        <f t="shared" si="12"/>
        <v>8.028</v>
      </c>
      <c r="D93" s="229">
        <f t="shared" si="12"/>
        <v>0</v>
      </c>
      <c r="E93" s="229">
        <f t="shared" si="12"/>
        <v>0</v>
      </c>
      <c r="F93" s="229">
        <f t="shared" si="12"/>
        <v>0</v>
      </c>
      <c r="G93" s="229">
        <f t="shared" si="12"/>
        <v>0</v>
      </c>
      <c r="H93" s="229">
        <f t="shared" si="12"/>
        <v>0</v>
      </c>
      <c r="I93" s="229">
        <f t="shared" si="12"/>
        <v>0</v>
      </c>
      <c r="J93" s="229">
        <f t="shared" si="12"/>
        <v>0</v>
      </c>
      <c r="K93" s="229">
        <f t="shared" si="12"/>
        <v>0</v>
      </c>
      <c r="L93" s="229">
        <f t="shared" si="12"/>
        <v>0</v>
      </c>
      <c r="M93" s="229">
        <f t="shared" si="12"/>
        <v>12.312</v>
      </c>
      <c r="N93" s="236">
        <f t="shared" si="9"/>
        <v>32.652</v>
      </c>
      <c r="O93" s="228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</row>
    <row r="94">
      <c r="A94" s="229" t="s">
        <v>165</v>
      </c>
      <c r="B94" s="229">
        <f t="shared" ref="B94:M94" si="13">B85*0.0036</f>
        <v>26.9964</v>
      </c>
      <c r="C94" s="229">
        <f t="shared" si="13"/>
        <v>23.616</v>
      </c>
      <c r="D94" s="229">
        <f t="shared" si="13"/>
        <v>23.004</v>
      </c>
      <c r="E94" s="229">
        <f t="shared" si="13"/>
        <v>21.6216</v>
      </c>
      <c r="F94" s="229">
        <f t="shared" si="13"/>
        <v>21.1572</v>
      </c>
      <c r="G94" s="229">
        <f t="shared" si="13"/>
        <v>20.8008</v>
      </c>
      <c r="H94" s="229">
        <f t="shared" si="13"/>
        <v>24.2676</v>
      </c>
      <c r="I94" s="229">
        <f t="shared" si="13"/>
        <v>22.986</v>
      </c>
      <c r="J94" s="229">
        <f t="shared" si="13"/>
        <v>22.6512</v>
      </c>
      <c r="K94" s="229">
        <f t="shared" si="13"/>
        <v>24.1668</v>
      </c>
      <c r="L94" s="229">
        <f t="shared" si="13"/>
        <v>26.2548</v>
      </c>
      <c r="M94" s="229">
        <f t="shared" si="13"/>
        <v>27.99</v>
      </c>
      <c r="N94" s="236">
        <f t="shared" si="9"/>
        <v>285.5124</v>
      </c>
      <c r="O94" s="228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</row>
    <row r="95">
      <c r="A95" s="235" t="s">
        <v>179</v>
      </c>
      <c r="B95" s="235">
        <f t="shared" ref="B95:M95" si="14">B86*0.0036</f>
        <v>85.9968</v>
      </c>
      <c r="C95" s="235">
        <f t="shared" si="14"/>
        <v>73.8144</v>
      </c>
      <c r="D95" s="235">
        <f t="shared" si="14"/>
        <v>69.6924</v>
      </c>
      <c r="E95" s="235">
        <f t="shared" si="14"/>
        <v>42.0372</v>
      </c>
      <c r="F95" s="235">
        <f t="shared" si="14"/>
        <v>34.5312</v>
      </c>
      <c r="G95" s="235">
        <f t="shared" si="14"/>
        <v>33.7392</v>
      </c>
      <c r="H95" s="235">
        <f t="shared" si="14"/>
        <v>37.6416</v>
      </c>
      <c r="I95" s="235">
        <f t="shared" si="14"/>
        <v>36.36</v>
      </c>
      <c r="J95" s="235">
        <f t="shared" si="14"/>
        <v>39.0348</v>
      </c>
      <c r="K95" s="235">
        <f t="shared" si="14"/>
        <v>58.59</v>
      </c>
      <c r="L95" s="235">
        <f t="shared" si="14"/>
        <v>70.758</v>
      </c>
      <c r="M95" s="235">
        <f t="shared" si="14"/>
        <v>91.9116</v>
      </c>
      <c r="N95" s="236">
        <f t="shared" si="9"/>
        <v>674.1072</v>
      </c>
      <c r="O95" s="228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</row>
    <row r="96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28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</row>
    <row r="97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6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</row>
    <row r="98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</row>
    <row r="99"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</row>
    <row r="100">
      <c r="A100" s="125" t="s">
        <v>181</v>
      </c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38" t="s">
        <v>182</v>
      </c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</row>
    <row r="101">
      <c r="A101" s="239" t="s">
        <v>155</v>
      </c>
      <c r="B101" s="240" t="s">
        <v>51</v>
      </c>
      <c r="C101" s="240" t="s">
        <v>2</v>
      </c>
      <c r="D101" s="240" t="s">
        <v>3</v>
      </c>
      <c r="E101" s="240" t="s">
        <v>4</v>
      </c>
      <c r="F101" s="229" t="s">
        <v>5</v>
      </c>
      <c r="G101" s="240" t="s">
        <v>6</v>
      </c>
      <c r="H101" s="240" t="s">
        <v>7</v>
      </c>
      <c r="I101" s="240" t="s">
        <v>8</v>
      </c>
      <c r="J101" s="240" t="s">
        <v>9</v>
      </c>
      <c r="K101" s="240" t="s">
        <v>10</v>
      </c>
      <c r="L101" s="240" t="s">
        <v>11</v>
      </c>
      <c r="M101" s="240" t="s">
        <v>12</v>
      </c>
      <c r="N101" s="241" t="s">
        <v>183</v>
      </c>
      <c r="O101" s="215"/>
      <c r="P101" s="242" t="s">
        <v>184</v>
      </c>
      <c r="Q101" s="243" t="s">
        <v>51</v>
      </c>
      <c r="R101" s="243" t="s">
        <v>2</v>
      </c>
      <c r="S101" s="243" t="s">
        <v>3</v>
      </c>
      <c r="T101" s="243" t="s">
        <v>4</v>
      </c>
      <c r="U101" s="229" t="s">
        <v>5</v>
      </c>
      <c r="V101" s="243" t="s">
        <v>6</v>
      </c>
      <c r="W101" s="243" t="s">
        <v>7</v>
      </c>
      <c r="X101" s="243" t="s">
        <v>8</v>
      </c>
      <c r="Y101" s="243" t="s">
        <v>9</v>
      </c>
      <c r="Z101" s="243" t="s">
        <v>10</v>
      </c>
      <c r="AA101" s="243" t="s">
        <v>11</v>
      </c>
      <c r="AB101" s="215"/>
      <c r="AC101" s="215"/>
    </row>
    <row r="102">
      <c r="A102" s="136" t="s">
        <v>185</v>
      </c>
      <c r="B102" s="244">
        <v>0.0</v>
      </c>
      <c r="C102" s="244">
        <v>0.0</v>
      </c>
      <c r="D102" s="244">
        <v>0.0</v>
      </c>
      <c r="E102" s="244">
        <v>0.0</v>
      </c>
      <c r="F102" s="244">
        <v>0.0</v>
      </c>
      <c r="G102" s="244">
        <v>0.0</v>
      </c>
      <c r="H102" s="244">
        <v>0.0</v>
      </c>
      <c r="I102" s="244">
        <v>0.0</v>
      </c>
      <c r="J102" s="244">
        <v>0.0</v>
      </c>
      <c r="K102" s="244">
        <v>0.0</v>
      </c>
      <c r="L102" s="244">
        <v>0.0</v>
      </c>
      <c r="M102" s="244">
        <v>0.0</v>
      </c>
      <c r="N102" s="245">
        <f t="shared" ref="N102:N110" si="15">SUM(B102:M102)</f>
        <v>0</v>
      </c>
      <c r="O102" s="215"/>
      <c r="P102" s="160" t="s">
        <v>186</v>
      </c>
      <c r="Q102" s="158">
        <v>1504.0</v>
      </c>
      <c r="R102" s="158">
        <v>1358.0</v>
      </c>
      <c r="S102" s="158">
        <v>1504.0</v>
      </c>
      <c r="T102" s="158">
        <v>1455.0</v>
      </c>
      <c r="U102" s="158">
        <v>1504.0</v>
      </c>
      <c r="V102" s="158">
        <v>1455.0</v>
      </c>
      <c r="W102" s="158">
        <v>1504.0</v>
      </c>
      <c r="X102" s="158">
        <v>1504.0</v>
      </c>
      <c r="Y102" s="158">
        <v>1455.0</v>
      </c>
      <c r="Z102" s="158">
        <v>1504.0</v>
      </c>
      <c r="AA102" s="158">
        <v>1455.0</v>
      </c>
      <c r="AB102" s="215"/>
      <c r="AC102" s="215"/>
    </row>
    <row r="103">
      <c r="A103" s="136" t="s">
        <v>160</v>
      </c>
      <c r="B103" s="244">
        <v>1504.0</v>
      </c>
      <c r="C103" s="244">
        <v>1358.0</v>
      </c>
      <c r="D103" s="244">
        <v>1504.0</v>
      </c>
      <c r="E103" s="244">
        <v>1455.0</v>
      </c>
      <c r="F103" s="244">
        <v>1504.0</v>
      </c>
      <c r="G103" s="244">
        <v>1455.0</v>
      </c>
      <c r="H103" s="244">
        <v>1504.0</v>
      </c>
      <c r="I103" s="244">
        <v>1504.0</v>
      </c>
      <c r="J103" s="244">
        <v>1455.0</v>
      </c>
      <c r="K103" s="244">
        <v>1504.0</v>
      </c>
      <c r="L103" s="244">
        <v>1455.0</v>
      </c>
      <c r="M103" s="244">
        <v>1504.0</v>
      </c>
      <c r="N103" s="245">
        <f t="shared" si="15"/>
        <v>17706</v>
      </c>
      <c r="O103" s="215"/>
      <c r="P103" s="160" t="s">
        <v>187</v>
      </c>
      <c r="Q103" s="158">
        <v>0.0</v>
      </c>
      <c r="R103" s="158">
        <v>0.0</v>
      </c>
      <c r="S103" s="158">
        <v>475.0</v>
      </c>
      <c r="T103" s="158">
        <v>1041.0</v>
      </c>
      <c r="U103" s="158">
        <v>1076.0</v>
      </c>
      <c r="V103" s="158">
        <v>1041.0</v>
      </c>
      <c r="W103" s="158">
        <v>1076.0</v>
      </c>
      <c r="X103" s="158">
        <v>1076.0</v>
      </c>
      <c r="Y103" s="158">
        <v>1041.0</v>
      </c>
      <c r="Z103" s="158">
        <v>687.0</v>
      </c>
      <c r="AA103" s="158">
        <v>0.0</v>
      </c>
      <c r="AB103" s="215"/>
      <c r="AC103" s="215"/>
    </row>
    <row r="104">
      <c r="A104" s="136" t="s">
        <v>161</v>
      </c>
      <c r="B104" s="244">
        <v>0.0</v>
      </c>
      <c r="C104" s="244">
        <v>0.0</v>
      </c>
      <c r="D104" s="244">
        <v>692.0</v>
      </c>
      <c r="E104" s="244">
        <v>928.0</v>
      </c>
      <c r="F104" s="244">
        <v>976.0</v>
      </c>
      <c r="G104" s="244">
        <v>944.0</v>
      </c>
      <c r="H104" s="244">
        <v>976.0</v>
      </c>
      <c r="I104" s="244">
        <v>976.0</v>
      </c>
      <c r="J104" s="244">
        <v>944.0</v>
      </c>
      <c r="K104" s="244">
        <v>205.0</v>
      </c>
      <c r="L104" s="244">
        <v>0.0</v>
      </c>
      <c r="M104" s="244">
        <v>0.0</v>
      </c>
      <c r="N104" s="245">
        <f t="shared" si="15"/>
        <v>6641</v>
      </c>
      <c r="O104" s="215"/>
      <c r="P104" s="160" t="s">
        <v>188</v>
      </c>
      <c r="Q104" s="158">
        <v>1076.0</v>
      </c>
      <c r="R104" s="158">
        <v>972.0</v>
      </c>
      <c r="S104" s="158">
        <v>601.0</v>
      </c>
      <c r="T104" s="158">
        <v>0.0</v>
      </c>
      <c r="U104" s="158">
        <v>0.0</v>
      </c>
      <c r="V104" s="158">
        <v>0.0</v>
      </c>
      <c r="W104" s="158">
        <v>0.0</v>
      </c>
      <c r="X104" s="158">
        <v>0.0</v>
      </c>
      <c r="Y104" s="158">
        <v>0.0</v>
      </c>
      <c r="Z104" s="158">
        <v>388.0</v>
      </c>
      <c r="AA104" s="158">
        <v>1041.0</v>
      </c>
      <c r="AB104" s="215"/>
      <c r="AC104" s="215"/>
    </row>
    <row r="105">
      <c r="A105" s="136" t="s">
        <v>162</v>
      </c>
      <c r="B105" s="244">
        <v>1076.0</v>
      </c>
      <c r="C105" s="244">
        <v>972.0</v>
      </c>
      <c r="D105" s="244">
        <v>384.0</v>
      </c>
      <c r="E105" s="244">
        <v>112.0</v>
      </c>
      <c r="F105" s="244">
        <v>100.0</v>
      </c>
      <c r="G105" s="244">
        <v>96.0</v>
      </c>
      <c r="H105" s="244">
        <v>100.0</v>
      </c>
      <c r="I105" s="244">
        <v>100.0</v>
      </c>
      <c r="J105" s="244">
        <v>96.0</v>
      </c>
      <c r="K105" s="244">
        <v>870.0</v>
      </c>
      <c r="L105" s="244">
        <v>1041.0</v>
      </c>
      <c r="M105" s="244">
        <v>2443.0</v>
      </c>
      <c r="N105" s="245">
        <f t="shared" si="15"/>
        <v>7390</v>
      </c>
      <c r="O105" s="215"/>
      <c r="P105" s="160" t="s">
        <v>189</v>
      </c>
      <c r="Q105" s="158">
        <v>13354.0</v>
      </c>
      <c r="R105" s="158">
        <v>11208.0</v>
      </c>
      <c r="S105" s="158">
        <v>9870.0</v>
      </c>
      <c r="T105" s="158">
        <v>3017.0</v>
      </c>
      <c r="U105" s="158">
        <v>1078.0</v>
      </c>
      <c r="V105" s="158">
        <v>1044.0</v>
      </c>
      <c r="W105" s="158">
        <v>1078.0</v>
      </c>
      <c r="X105" s="158">
        <v>1078.0</v>
      </c>
      <c r="Y105" s="158">
        <v>1953.0</v>
      </c>
      <c r="Z105" s="158">
        <v>6635.0</v>
      </c>
      <c r="AA105" s="158">
        <v>9601.0</v>
      </c>
      <c r="AB105" s="215"/>
      <c r="AC105" s="215"/>
    </row>
    <row r="106">
      <c r="A106" s="136" t="s">
        <v>190</v>
      </c>
      <c r="B106" s="244">
        <v>0.0</v>
      </c>
      <c r="C106" s="244">
        <v>0.0</v>
      </c>
      <c r="D106" s="244">
        <v>0.0</v>
      </c>
      <c r="E106" s="244">
        <v>0.0</v>
      </c>
      <c r="F106" s="244">
        <v>0.0</v>
      </c>
      <c r="G106" s="244">
        <v>0.0</v>
      </c>
      <c r="H106" s="244">
        <v>0.0</v>
      </c>
      <c r="I106" s="244">
        <v>0.0</v>
      </c>
      <c r="J106" s="244">
        <v>0.0</v>
      </c>
      <c r="K106" s="244">
        <v>0.0</v>
      </c>
      <c r="L106" s="244">
        <v>0.0</v>
      </c>
      <c r="M106" s="244">
        <v>0.0</v>
      </c>
      <c r="N106" s="245">
        <f t="shared" si="15"/>
        <v>0</v>
      </c>
      <c r="O106" s="215"/>
      <c r="P106" s="160" t="s">
        <v>191</v>
      </c>
      <c r="Q106" s="158">
        <v>11928.0</v>
      </c>
      <c r="R106" s="158">
        <v>10459.0</v>
      </c>
      <c r="S106" s="158">
        <v>10177.0</v>
      </c>
      <c r="T106" s="158">
        <v>6784.0</v>
      </c>
      <c r="U106" s="158">
        <v>6141.0</v>
      </c>
      <c r="V106" s="158">
        <v>5683.0</v>
      </c>
      <c r="W106" s="158">
        <v>7516.0</v>
      </c>
      <c r="X106" s="158">
        <v>6789.0</v>
      </c>
      <c r="Y106" s="158">
        <v>6898.0</v>
      </c>
      <c r="Z106" s="158">
        <v>9902.0</v>
      </c>
      <c r="AA106" s="158">
        <v>10792.0</v>
      </c>
      <c r="AB106" s="215"/>
      <c r="AC106" s="215"/>
    </row>
    <row r="107">
      <c r="A107" s="136" t="s">
        <v>163</v>
      </c>
      <c r="B107" s="244">
        <v>10389.0</v>
      </c>
      <c r="C107" s="244">
        <v>9384.0</v>
      </c>
      <c r="D107" s="244">
        <v>10389.0</v>
      </c>
      <c r="E107" s="244">
        <v>3176.0</v>
      </c>
      <c r="F107" s="244">
        <v>1135.0</v>
      </c>
      <c r="G107" s="244">
        <v>1099.0</v>
      </c>
      <c r="H107" s="244">
        <v>1135.0</v>
      </c>
      <c r="I107" s="244">
        <v>1135.0</v>
      </c>
      <c r="J107" s="244">
        <v>2056.0</v>
      </c>
      <c r="K107" s="244">
        <v>6983.0</v>
      </c>
      <c r="L107" s="244">
        <v>9866.0</v>
      </c>
      <c r="M107" s="244">
        <v>10389.0</v>
      </c>
      <c r="N107" s="245">
        <f t="shared" si="15"/>
        <v>67136</v>
      </c>
      <c r="O107" s="215"/>
      <c r="P107" s="183" t="s">
        <v>192</v>
      </c>
      <c r="Q107" s="180">
        <f t="shared" ref="Q107:AA107" si="16">SUM(Q102:Q106)</f>
        <v>27862</v>
      </c>
      <c r="R107" s="180">
        <f t="shared" si="16"/>
        <v>23997</v>
      </c>
      <c r="S107" s="180">
        <f t="shared" si="16"/>
        <v>22627</v>
      </c>
      <c r="T107" s="180">
        <f t="shared" si="16"/>
        <v>12297</v>
      </c>
      <c r="U107" s="180">
        <f t="shared" si="16"/>
        <v>9799</v>
      </c>
      <c r="V107" s="180">
        <f t="shared" si="16"/>
        <v>9223</v>
      </c>
      <c r="W107" s="180">
        <f t="shared" si="16"/>
        <v>11174</v>
      </c>
      <c r="X107" s="180">
        <f t="shared" si="16"/>
        <v>10447</v>
      </c>
      <c r="Y107" s="180">
        <f t="shared" si="16"/>
        <v>11347</v>
      </c>
      <c r="Z107" s="180">
        <f t="shared" si="16"/>
        <v>19116</v>
      </c>
      <c r="AA107" s="180">
        <f t="shared" si="16"/>
        <v>22889</v>
      </c>
      <c r="AB107" s="215"/>
      <c r="AC107" s="215"/>
    </row>
    <row r="108">
      <c r="A108" s="136" t="s">
        <v>193</v>
      </c>
      <c r="B108" s="244">
        <v>3420.0</v>
      </c>
      <c r="C108" s="244">
        <v>2230.0</v>
      </c>
      <c r="D108" s="244">
        <v>0.0</v>
      </c>
      <c r="E108" s="244">
        <v>0.0</v>
      </c>
      <c r="F108" s="244">
        <v>0.0</v>
      </c>
      <c r="G108" s="244">
        <v>0.0</v>
      </c>
      <c r="H108" s="244">
        <v>0.0</v>
      </c>
      <c r="I108" s="244">
        <v>0.0</v>
      </c>
      <c r="J108" s="244">
        <v>0.0</v>
      </c>
      <c r="K108" s="244">
        <v>0.0</v>
      </c>
      <c r="L108" s="244">
        <v>0.0</v>
      </c>
      <c r="M108" s="244">
        <v>3420.0</v>
      </c>
      <c r="N108" s="245">
        <f t="shared" si="15"/>
        <v>9070</v>
      </c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</row>
    <row r="109">
      <c r="A109" s="136" t="s">
        <v>165</v>
      </c>
      <c r="B109" s="244">
        <v>7499.0</v>
      </c>
      <c r="C109" s="244">
        <v>6560.0</v>
      </c>
      <c r="D109" s="244">
        <v>6390.0</v>
      </c>
      <c r="E109" s="244">
        <v>6006.0</v>
      </c>
      <c r="F109" s="244">
        <v>5877.0</v>
      </c>
      <c r="G109" s="244">
        <v>5778.0</v>
      </c>
      <c r="H109" s="244">
        <v>6741.0</v>
      </c>
      <c r="I109" s="244">
        <v>6385.0</v>
      </c>
      <c r="J109" s="244">
        <v>6292.0</v>
      </c>
      <c r="K109" s="244">
        <v>6713.0</v>
      </c>
      <c r="L109" s="244">
        <v>7293.0</v>
      </c>
      <c r="M109" s="244">
        <v>7775.0</v>
      </c>
      <c r="N109" s="245">
        <f t="shared" si="15"/>
        <v>79309</v>
      </c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</row>
    <row r="110">
      <c r="A110" s="176" t="s">
        <v>75</v>
      </c>
      <c r="B110" s="246">
        <f t="shared" ref="B110:M110" si="17">SUM(B102:B109)</f>
        <v>23888</v>
      </c>
      <c r="C110" s="246">
        <f t="shared" si="17"/>
        <v>20504</v>
      </c>
      <c r="D110" s="246">
        <f t="shared" si="17"/>
        <v>19359</v>
      </c>
      <c r="E110" s="246">
        <f t="shared" si="17"/>
        <v>11677</v>
      </c>
      <c r="F110" s="246">
        <f t="shared" si="17"/>
        <v>9592</v>
      </c>
      <c r="G110" s="246">
        <f t="shared" si="17"/>
        <v>9372</v>
      </c>
      <c r="H110" s="246">
        <f t="shared" si="17"/>
        <v>10456</v>
      </c>
      <c r="I110" s="246">
        <f t="shared" si="17"/>
        <v>10100</v>
      </c>
      <c r="J110" s="246">
        <f t="shared" si="17"/>
        <v>10843</v>
      </c>
      <c r="K110" s="246">
        <f t="shared" si="17"/>
        <v>16275</v>
      </c>
      <c r="L110" s="246">
        <f t="shared" si="17"/>
        <v>19655</v>
      </c>
      <c r="M110" s="246">
        <f t="shared" si="17"/>
        <v>25531</v>
      </c>
      <c r="N110" s="245">
        <f t="shared" si="15"/>
        <v>187252</v>
      </c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</row>
    <row r="111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38" t="s">
        <v>182</v>
      </c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</row>
    <row r="112">
      <c r="A112" s="247" t="s">
        <v>194</v>
      </c>
      <c r="B112" s="136" t="s">
        <v>51</v>
      </c>
      <c r="C112" s="136" t="s">
        <v>2</v>
      </c>
      <c r="D112" s="136" t="s">
        <v>3</v>
      </c>
      <c r="E112" s="136" t="s">
        <v>4</v>
      </c>
      <c r="F112" s="229" t="s">
        <v>5</v>
      </c>
      <c r="G112" s="136" t="s">
        <v>6</v>
      </c>
      <c r="H112" s="136" t="s">
        <v>7</v>
      </c>
      <c r="I112" s="136" t="s">
        <v>8</v>
      </c>
      <c r="J112" s="136" t="s">
        <v>9</v>
      </c>
      <c r="K112" s="136" t="s">
        <v>10</v>
      </c>
      <c r="L112" s="136" t="s">
        <v>11</v>
      </c>
      <c r="M112" s="136" t="s">
        <v>12</v>
      </c>
      <c r="N112" s="173" t="s">
        <v>13</v>
      </c>
      <c r="O112" s="173" t="s">
        <v>195</v>
      </c>
      <c r="P112" s="248" t="s">
        <v>196</v>
      </c>
      <c r="Q112" s="240" t="s">
        <v>51</v>
      </c>
      <c r="R112" s="240" t="s">
        <v>2</v>
      </c>
      <c r="S112" s="240" t="s">
        <v>3</v>
      </c>
      <c r="T112" s="240" t="s">
        <v>4</v>
      </c>
      <c r="U112" s="229" t="s">
        <v>5</v>
      </c>
      <c r="V112" s="240" t="s">
        <v>6</v>
      </c>
      <c r="W112" s="240" t="s">
        <v>7</v>
      </c>
      <c r="X112" s="240" t="s">
        <v>8</v>
      </c>
      <c r="Y112" s="240" t="s">
        <v>9</v>
      </c>
      <c r="Z112" s="240" t="s">
        <v>10</v>
      </c>
      <c r="AA112" s="240" t="s">
        <v>11</v>
      </c>
      <c r="AB112" s="215"/>
      <c r="AC112" s="215"/>
    </row>
    <row r="113">
      <c r="A113" s="249" t="s">
        <v>160</v>
      </c>
      <c r="B113" s="237">
        <f t="shared" ref="B113:M113" si="18">B103*0.0036</f>
        <v>5.4144</v>
      </c>
      <c r="C113" s="237">
        <f t="shared" si="18"/>
        <v>4.8888</v>
      </c>
      <c r="D113" s="237">
        <f t="shared" si="18"/>
        <v>5.4144</v>
      </c>
      <c r="E113" s="237">
        <f t="shared" si="18"/>
        <v>5.238</v>
      </c>
      <c r="F113" s="237">
        <f t="shared" si="18"/>
        <v>5.4144</v>
      </c>
      <c r="G113" s="237">
        <f t="shared" si="18"/>
        <v>5.238</v>
      </c>
      <c r="H113" s="237">
        <f t="shared" si="18"/>
        <v>5.4144</v>
      </c>
      <c r="I113" s="237">
        <f t="shared" si="18"/>
        <v>5.4144</v>
      </c>
      <c r="J113" s="237">
        <f t="shared" si="18"/>
        <v>5.238</v>
      </c>
      <c r="K113" s="237">
        <f t="shared" si="18"/>
        <v>5.4144</v>
      </c>
      <c r="L113" s="237">
        <f t="shared" si="18"/>
        <v>5.238</v>
      </c>
      <c r="M113" s="237">
        <f t="shared" si="18"/>
        <v>5.4144</v>
      </c>
      <c r="N113" s="250">
        <f t="shared" ref="N113:N115" si="21">SUM(B113:M113)</f>
        <v>63.7416</v>
      </c>
      <c r="O113" s="251">
        <f t="shared" ref="O113:O114" si="22">N113/$N$121</f>
        <v>0.1570711282</v>
      </c>
      <c r="P113" s="136" t="s">
        <v>160</v>
      </c>
      <c r="Q113" s="252">
        <f t="shared" ref="Q113:AA113" si="19">Q102*0.0036</f>
        <v>5.4144</v>
      </c>
      <c r="R113" s="252">
        <f t="shared" si="19"/>
        <v>4.8888</v>
      </c>
      <c r="S113" s="252">
        <f t="shared" si="19"/>
        <v>5.4144</v>
      </c>
      <c r="T113" s="252">
        <f t="shared" si="19"/>
        <v>5.238</v>
      </c>
      <c r="U113" s="252">
        <f t="shared" si="19"/>
        <v>5.4144</v>
      </c>
      <c r="V113" s="252">
        <f t="shared" si="19"/>
        <v>5.238</v>
      </c>
      <c r="W113" s="252">
        <f t="shared" si="19"/>
        <v>5.4144</v>
      </c>
      <c r="X113" s="252">
        <f t="shared" si="19"/>
        <v>5.4144</v>
      </c>
      <c r="Y113" s="252">
        <f t="shared" si="19"/>
        <v>5.238</v>
      </c>
      <c r="Z113" s="252">
        <f t="shared" si="19"/>
        <v>5.4144</v>
      </c>
      <c r="AA113" s="252">
        <f t="shared" si="19"/>
        <v>5.238</v>
      </c>
      <c r="AB113" s="215"/>
      <c r="AC113" s="215"/>
    </row>
    <row r="114">
      <c r="A114" s="249" t="s">
        <v>197</v>
      </c>
      <c r="B114" s="237">
        <f t="shared" ref="B114:M114" si="20">0.0036*B104</f>
        <v>0</v>
      </c>
      <c r="C114" s="237">
        <f t="shared" si="20"/>
        <v>0</v>
      </c>
      <c r="D114" s="237">
        <f t="shared" si="20"/>
        <v>2.4912</v>
      </c>
      <c r="E114" s="237">
        <f t="shared" si="20"/>
        <v>3.3408</v>
      </c>
      <c r="F114" s="237">
        <f t="shared" si="20"/>
        <v>3.5136</v>
      </c>
      <c r="G114" s="237">
        <f t="shared" si="20"/>
        <v>3.3984</v>
      </c>
      <c r="H114" s="237">
        <f t="shared" si="20"/>
        <v>3.5136</v>
      </c>
      <c r="I114" s="237">
        <f t="shared" si="20"/>
        <v>3.5136</v>
      </c>
      <c r="J114" s="237">
        <f t="shared" si="20"/>
        <v>3.3984</v>
      </c>
      <c r="K114" s="237">
        <f t="shared" si="20"/>
        <v>0.738</v>
      </c>
      <c r="L114" s="237">
        <f t="shared" si="20"/>
        <v>0</v>
      </c>
      <c r="M114" s="237">
        <f t="shared" si="20"/>
        <v>0</v>
      </c>
      <c r="N114" s="250">
        <f t="shared" si="21"/>
        <v>23.9076</v>
      </c>
      <c r="O114" s="251">
        <f t="shared" si="22"/>
        <v>0.05891276192</v>
      </c>
      <c r="P114" s="136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15"/>
      <c r="AC114" s="215"/>
    </row>
    <row r="115">
      <c r="A115" s="253" t="s">
        <v>162</v>
      </c>
      <c r="B115" s="237">
        <f t="shared" ref="B115:M115" si="23">0.0036*B105</f>
        <v>3.8736</v>
      </c>
      <c r="C115" s="237">
        <f t="shared" si="23"/>
        <v>3.4992</v>
      </c>
      <c r="D115" s="237">
        <f t="shared" si="23"/>
        <v>1.3824</v>
      </c>
      <c r="E115" s="237">
        <f t="shared" si="23"/>
        <v>0.4032</v>
      </c>
      <c r="F115" s="237">
        <f t="shared" si="23"/>
        <v>0.36</v>
      </c>
      <c r="G115" s="237">
        <f t="shared" si="23"/>
        <v>0.3456</v>
      </c>
      <c r="H115" s="237">
        <f t="shared" si="23"/>
        <v>0.36</v>
      </c>
      <c r="I115" s="237">
        <f t="shared" si="23"/>
        <v>0.36</v>
      </c>
      <c r="J115" s="237">
        <f t="shared" si="23"/>
        <v>0.3456</v>
      </c>
      <c r="K115" s="237">
        <f t="shared" si="23"/>
        <v>3.132</v>
      </c>
      <c r="L115" s="237">
        <f t="shared" si="23"/>
        <v>3.7476</v>
      </c>
      <c r="M115" s="237">
        <f t="shared" si="23"/>
        <v>8.7948</v>
      </c>
      <c r="N115" s="254">
        <f t="shared" si="21"/>
        <v>26.604</v>
      </c>
      <c r="O115" s="255"/>
      <c r="P115" s="136" t="s">
        <v>198</v>
      </c>
      <c r="Q115" s="252">
        <f t="shared" ref="Q115:AA115" si="24">(Q103+Q104)*0.0036</f>
        <v>3.8736</v>
      </c>
      <c r="R115" s="252">
        <f t="shared" si="24"/>
        <v>3.4992</v>
      </c>
      <c r="S115" s="252">
        <f t="shared" si="24"/>
        <v>3.8736</v>
      </c>
      <c r="T115" s="252">
        <f t="shared" si="24"/>
        <v>3.7476</v>
      </c>
      <c r="U115" s="252">
        <f t="shared" si="24"/>
        <v>3.8736</v>
      </c>
      <c r="V115" s="252">
        <f t="shared" si="24"/>
        <v>3.7476</v>
      </c>
      <c r="W115" s="252">
        <f t="shared" si="24"/>
        <v>3.8736</v>
      </c>
      <c r="X115" s="252">
        <f t="shared" si="24"/>
        <v>3.8736</v>
      </c>
      <c r="Y115" s="252">
        <f t="shared" si="24"/>
        <v>3.7476</v>
      </c>
      <c r="Z115" s="252">
        <f t="shared" si="24"/>
        <v>3.87</v>
      </c>
      <c r="AA115" s="252">
        <f t="shared" si="24"/>
        <v>3.7476</v>
      </c>
      <c r="AB115" s="215"/>
      <c r="AC115" s="215"/>
    </row>
    <row r="116">
      <c r="A116" s="253" t="s">
        <v>199</v>
      </c>
      <c r="B116" s="237">
        <f t="shared" ref="B116:N116" si="25">SUM(B114:B115)</f>
        <v>3.8736</v>
      </c>
      <c r="C116" s="237">
        <f t="shared" si="25"/>
        <v>3.4992</v>
      </c>
      <c r="D116" s="237">
        <f t="shared" si="25"/>
        <v>3.8736</v>
      </c>
      <c r="E116" s="237">
        <f t="shared" si="25"/>
        <v>3.744</v>
      </c>
      <c r="F116" s="237">
        <f t="shared" si="25"/>
        <v>3.8736</v>
      </c>
      <c r="G116" s="237">
        <f t="shared" si="25"/>
        <v>3.744</v>
      </c>
      <c r="H116" s="237">
        <f t="shared" si="25"/>
        <v>3.8736</v>
      </c>
      <c r="I116" s="237">
        <f t="shared" si="25"/>
        <v>3.8736</v>
      </c>
      <c r="J116" s="237">
        <f t="shared" si="25"/>
        <v>3.744</v>
      </c>
      <c r="K116" s="237">
        <f t="shared" si="25"/>
        <v>3.87</v>
      </c>
      <c r="L116" s="237">
        <f t="shared" si="25"/>
        <v>3.7476</v>
      </c>
      <c r="M116" s="237">
        <f t="shared" si="25"/>
        <v>8.7948</v>
      </c>
      <c r="N116" s="234">
        <f t="shared" si="25"/>
        <v>50.5116</v>
      </c>
      <c r="O116" s="256"/>
      <c r="P116" s="136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15"/>
      <c r="AC116" s="215"/>
    </row>
    <row r="117">
      <c r="A117" s="253" t="s">
        <v>163</v>
      </c>
      <c r="B117" s="237">
        <f t="shared" ref="B117:M117" si="26">B107*0.0036</f>
        <v>37.4004</v>
      </c>
      <c r="C117" s="237">
        <f t="shared" si="26"/>
        <v>33.7824</v>
      </c>
      <c r="D117" s="237">
        <f t="shared" si="26"/>
        <v>37.4004</v>
      </c>
      <c r="E117" s="237">
        <f t="shared" si="26"/>
        <v>11.4336</v>
      </c>
      <c r="F117" s="237">
        <f t="shared" si="26"/>
        <v>4.086</v>
      </c>
      <c r="G117" s="237">
        <f t="shared" si="26"/>
        <v>3.9564</v>
      </c>
      <c r="H117" s="237">
        <f t="shared" si="26"/>
        <v>4.086</v>
      </c>
      <c r="I117" s="237">
        <f t="shared" si="26"/>
        <v>4.086</v>
      </c>
      <c r="J117" s="237">
        <f t="shared" si="26"/>
        <v>7.4016</v>
      </c>
      <c r="K117" s="237">
        <f t="shared" si="26"/>
        <v>25.1388</v>
      </c>
      <c r="L117" s="237">
        <f t="shared" si="26"/>
        <v>35.5176</v>
      </c>
      <c r="M117" s="237">
        <f t="shared" si="26"/>
        <v>37.4004</v>
      </c>
      <c r="N117" s="254">
        <f t="shared" ref="N117:N120" si="29">SUM(B117:M117)</f>
        <v>241.6896</v>
      </c>
      <c r="O117" s="255"/>
      <c r="P117" s="136" t="s">
        <v>193</v>
      </c>
      <c r="Q117" s="252">
        <f t="shared" ref="Q117:AA117" si="27">Q105*0.0036</f>
        <v>48.0744</v>
      </c>
      <c r="R117" s="252">
        <f t="shared" si="27"/>
        <v>40.3488</v>
      </c>
      <c r="S117" s="252">
        <f t="shared" si="27"/>
        <v>35.532</v>
      </c>
      <c r="T117" s="252">
        <f t="shared" si="27"/>
        <v>10.8612</v>
      </c>
      <c r="U117" s="252">
        <f t="shared" si="27"/>
        <v>3.8808</v>
      </c>
      <c r="V117" s="252">
        <f t="shared" si="27"/>
        <v>3.7584</v>
      </c>
      <c r="W117" s="252">
        <f t="shared" si="27"/>
        <v>3.8808</v>
      </c>
      <c r="X117" s="252">
        <f t="shared" si="27"/>
        <v>3.8808</v>
      </c>
      <c r="Y117" s="252">
        <f t="shared" si="27"/>
        <v>7.0308</v>
      </c>
      <c r="Z117" s="252">
        <f t="shared" si="27"/>
        <v>23.886</v>
      </c>
      <c r="AA117" s="252">
        <f t="shared" si="27"/>
        <v>34.5636</v>
      </c>
      <c r="AB117" s="215"/>
      <c r="AC117" s="215"/>
    </row>
    <row r="118">
      <c r="A118" s="249" t="s">
        <v>193</v>
      </c>
      <c r="B118" s="237">
        <f t="shared" ref="B118:M118" si="28">B108*0.0036</f>
        <v>12.312</v>
      </c>
      <c r="C118" s="237">
        <f t="shared" si="28"/>
        <v>8.028</v>
      </c>
      <c r="D118" s="237">
        <f t="shared" si="28"/>
        <v>0</v>
      </c>
      <c r="E118" s="237">
        <f t="shared" si="28"/>
        <v>0</v>
      </c>
      <c r="F118" s="237">
        <f t="shared" si="28"/>
        <v>0</v>
      </c>
      <c r="G118" s="237">
        <f t="shared" si="28"/>
        <v>0</v>
      </c>
      <c r="H118" s="237">
        <f t="shared" si="28"/>
        <v>0</v>
      </c>
      <c r="I118" s="237">
        <f t="shared" si="28"/>
        <v>0</v>
      </c>
      <c r="J118" s="237">
        <f t="shared" si="28"/>
        <v>0</v>
      </c>
      <c r="K118" s="237">
        <f t="shared" si="28"/>
        <v>0</v>
      </c>
      <c r="L118" s="237">
        <f t="shared" si="28"/>
        <v>0</v>
      </c>
      <c r="M118" s="237">
        <f t="shared" si="28"/>
        <v>12.312</v>
      </c>
      <c r="N118" s="250">
        <f t="shared" si="29"/>
        <v>32.652</v>
      </c>
      <c r="O118" s="251">
        <f t="shared" ref="O118:O119" si="32">N118/$N$121</f>
        <v>0.08046058585</v>
      </c>
      <c r="P118" s="136" t="s">
        <v>165</v>
      </c>
      <c r="Q118" s="252">
        <f t="shared" ref="Q118:AA118" si="30">Q106*0.0036</f>
        <v>42.9408</v>
      </c>
      <c r="R118" s="252">
        <f t="shared" si="30"/>
        <v>37.6524</v>
      </c>
      <c r="S118" s="252">
        <f t="shared" si="30"/>
        <v>36.6372</v>
      </c>
      <c r="T118" s="252">
        <f t="shared" si="30"/>
        <v>24.4224</v>
      </c>
      <c r="U118" s="252">
        <f t="shared" si="30"/>
        <v>22.1076</v>
      </c>
      <c r="V118" s="252">
        <f t="shared" si="30"/>
        <v>20.4588</v>
      </c>
      <c r="W118" s="252">
        <f t="shared" si="30"/>
        <v>27.0576</v>
      </c>
      <c r="X118" s="252">
        <f t="shared" si="30"/>
        <v>24.4404</v>
      </c>
      <c r="Y118" s="252">
        <f t="shared" si="30"/>
        <v>24.8328</v>
      </c>
      <c r="Z118" s="252">
        <f t="shared" si="30"/>
        <v>35.6472</v>
      </c>
      <c r="AA118" s="252">
        <f t="shared" si="30"/>
        <v>38.8512</v>
      </c>
      <c r="AB118" s="215"/>
      <c r="AC118" s="215"/>
    </row>
    <row r="119">
      <c r="A119" s="257" t="s">
        <v>165</v>
      </c>
      <c r="B119" s="237">
        <f t="shared" ref="B119:M119" si="31">B109*0.0036</f>
        <v>26.9964</v>
      </c>
      <c r="C119" s="237">
        <f t="shared" si="31"/>
        <v>23.616</v>
      </c>
      <c r="D119" s="237">
        <f t="shared" si="31"/>
        <v>23.004</v>
      </c>
      <c r="E119" s="237">
        <f t="shared" si="31"/>
        <v>21.6216</v>
      </c>
      <c r="F119" s="237">
        <f t="shared" si="31"/>
        <v>21.1572</v>
      </c>
      <c r="G119" s="237">
        <f t="shared" si="31"/>
        <v>20.8008</v>
      </c>
      <c r="H119" s="237">
        <f t="shared" si="31"/>
        <v>24.2676</v>
      </c>
      <c r="I119" s="237">
        <f t="shared" si="31"/>
        <v>22.986</v>
      </c>
      <c r="J119" s="237">
        <f t="shared" si="31"/>
        <v>22.6512</v>
      </c>
      <c r="K119" s="237">
        <f t="shared" si="31"/>
        <v>24.1668</v>
      </c>
      <c r="L119" s="237">
        <f t="shared" si="31"/>
        <v>26.2548</v>
      </c>
      <c r="M119" s="237">
        <f t="shared" si="31"/>
        <v>27.99</v>
      </c>
      <c r="N119" s="250">
        <f t="shared" si="29"/>
        <v>285.5124</v>
      </c>
      <c r="O119" s="251">
        <f t="shared" si="32"/>
        <v>0.703555524</v>
      </c>
      <c r="P119" s="136" t="s">
        <v>192</v>
      </c>
      <c r="Q119" s="236">
        <f t="shared" ref="Q119:AA119" si="33">Q107*0.0036</f>
        <v>100.3032</v>
      </c>
      <c r="R119" s="236">
        <f t="shared" si="33"/>
        <v>86.3892</v>
      </c>
      <c r="S119" s="236">
        <f t="shared" si="33"/>
        <v>81.4572</v>
      </c>
      <c r="T119" s="236">
        <f t="shared" si="33"/>
        <v>44.2692</v>
      </c>
      <c r="U119" s="236">
        <f t="shared" si="33"/>
        <v>35.2764</v>
      </c>
      <c r="V119" s="236">
        <f t="shared" si="33"/>
        <v>33.2028</v>
      </c>
      <c r="W119" s="236">
        <f t="shared" si="33"/>
        <v>40.2264</v>
      </c>
      <c r="X119" s="236">
        <f t="shared" si="33"/>
        <v>37.6092</v>
      </c>
      <c r="Y119" s="236">
        <f t="shared" si="33"/>
        <v>40.8492</v>
      </c>
      <c r="Z119" s="236">
        <f t="shared" si="33"/>
        <v>68.8176</v>
      </c>
      <c r="AA119" s="236">
        <f t="shared" si="33"/>
        <v>82.4004</v>
      </c>
      <c r="AB119" s="215"/>
      <c r="AC119" s="215"/>
    </row>
    <row r="120">
      <c r="A120" s="173" t="s">
        <v>192</v>
      </c>
      <c r="B120" s="234">
        <f t="shared" ref="B120:M120" si="34">B110*0.0036</f>
        <v>85.9968</v>
      </c>
      <c r="C120" s="234">
        <f t="shared" si="34"/>
        <v>73.8144</v>
      </c>
      <c r="D120" s="234">
        <f t="shared" si="34"/>
        <v>69.6924</v>
      </c>
      <c r="E120" s="234">
        <f t="shared" si="34"/>
        <v>42.0372</v>
      </c>
      <c r="F120" s="234">
        <f t="shared" si="34"/>
        <v>34.5312</v>
      </c>
      <c r="G120" s="234">
        <f t="shared" si="34"/>
        <v>33.7392</v>
      </c>
      <c r="H120" s="234">
        <f t="shared" si="34"/>
        <v>37.6416</v>
      </c>
      <c r="I120" s="234">
        <f t="shared" si="34"/>
        <v>36.36</v>
      </c>
      <c r="J120" s="234">
        <f t="shared" si="34"/>
        <v>39.0348</v>
      </c>
      <c r="K120" s="234">
        <f t="shared" si="34"/>
        <v>58.59</v>
      </c>
      <c r="L120" s="234">
        <f t="shared" si="34"/>
        <v>70.758</v>
      </c>
      <c r="M120" s="234">
        <f t="shared" si="34"/>
        <v>91.9116</v>
      </c>
      <c r="N120" s="258">
        <f t="shared" si="29"/>
        <v>674.1072</v>
      </c>
      <c r="O120" s="259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</row>
    <row r="121">
      <c r="A121" s="260" t="s">
        <v>200</v>
      </c>
      <c r="B121" s="261">
        <f t="shared" ref="B121:N121" si="35">sum(B113,B114,B118,B119)</f>
        <v>44.7228</v>
      </c>
      <c r="C121" s="261">
        <f t="shared" si="35"/>
        <v>36.5328</v>
      </c>
      <c r="D121" s="261">
        <f t="shared" si="35"/>
        <v>30.9096</v>
      </c>
      <c r="E121" s="261">
        <f t="shared" si="35"/>
        <v>30.2004</v>
      </c>
      <c r="F121" s="261">
        <f t="shared" si="35"/>
        <v>30.0852</v>
      </c>
      <c r="G121" s="261">
        <f t="shared" si="35"/>
        <v>29.4372</v>
      </c>
      <c r="H121" s="261">
        <f t="shared" si="35"/>
        <v>33.1956</v>
      </c>
      <c r="I121" s="261">
        <f t="shared" si="35"/>
        <v>31.914</v>
      </c>
      <c r="J121" s="261">
        <f t="shared" si="35"/>
        <v>31.2876</v>
      </c>
      <c r="K121" s="261">
        <f t="shared" si="35"/>
        <v>30.3192</v>
      </c>
      <c r="L121" s="261">
        <f t="shared" si="35"/>
        <v>31.4928</v>
      </c>
      <c r="M121" s="261">
        <f t="shared" si="35"/>
        <v>45.7164</v>
      </c>
      <c r="N121" s="262">
        <f t="shared" si="35"/>
        <v>405.8136</v>
      </c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</row>
    <row r="122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</row>
    <row r="123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</row>
    <row r="124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</row>
    <row r="1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</row>
    <row r="126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</row>
    <row r="127">
      <c r="A127" s="238" t="s">
        <v>201</v>
      </c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</row>
    <row r="128">
      <c r="A128" s="263" t="s">
        <v>202</v>
      </c>
      <c r="B128" s="176" t="s">
        <v>51</v>
      </c>
      <c r="C128" s="176" t="s">
        <v>2</v>
      </c>
      <c r="D128" s="176" t="s">
        <v>3</v>
      </c>
      <c r="E128" s="176" t="s">
        <v>4</v>
      </c>
      <c r="F128" s="229" t="s">
        <v>5</v>
      </c>
      <c r="G128" s="176" t="s">
        <v>6</v>
      </c>
      <c r="H128" s="176" t="s">
        <v>7</v>
      </c>
      <c r="I128" s="176" t="s">
        <v>8</v>
      </c>
      <c r="J128" s="176" t="s">
        <v>9</v>
      </c>
      <c r="K128" s="176" t="s">
        <v>10</v>
      </c>
      <c r="L128" s="176" t="s">
        <v>11</v>
      </c>
      <c r="M128" s="176" t="s">
        <v>12</v>
      </c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</row>
    <row r="129">
      <c r="A129" s="176" t="s">
        <v>169</v>
      </c>
      <c r="B129" s="176">
        <v>1107.0</v>
      </c>
      <c r="C129" s="176">
        <v>0.0</v>
      </c>
      <c r="D129" s="176">
        <v>0.0</v>
      </c>
      <c r="E129" s="176">
        <v>0.0</v>
      </c>
      <c r="F129" s="176">
        <v>0.0</v>
      </c>
      <c r="G129" s="176">
        <v>0.0</v>
      </c>
      <c r="H129" s="176">
        <v>0.0</v>
      </c>
      <c r="I129" s="176">
        <v>0.0</v>
      </c>
      <c r="J129" s="176">
        <v>0.0</v>
      </c>
      <c r="K129" s="176">
        <v>0.0</v>
      </c>
      <c r="L129" s="176">
        <v>0.0</v>
      </c>
      <c r="M129" s="176">
        <v>1319.0</v>
      </c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</row>
    <row r="130">
      <c r="A130" s="176" t="s">
        <v>170</v>
      </c>
      <c r="B130" s="176">
        <v>2086.0</v>
      </c>
      <c r="C130" s="176">
        <v>1884.0</v>
      </c>
      <c r="D130" s="176">
        <v>2086.0</v>
      </c>
      <c r="E130" s="176">
        <v>2018.0</v>
      </c>
      <c r="F130" s="176">
        <v>914.0</v>
      </c>
      <c r="G130" s="176">
        <v>39.0</v>
      </c>
      <c r="H130" s="176">
        <v>2086.0</v>
      </c>
      <c r="I130" s="176">
        <v>1527.0</v>
      </c>
      <c r="J130" s="176">
        <v>2018.0</v>
      </c>
      <c r="K130" s="176">
        <v>2086.0</v>
      </c>
      <c r="L130" s="176">
        <v>2018.0</v>
      </c>
      <c r="M130" s="176">
        <v>2086.0</v>
      </c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</row>
    <row r="131">
      <c r="A131" s="176" t="s">
        <v>171</v>
      </c>
      <c r="B131" s="176">
        <v>205.0</v>
      </c>
      <c r="C131" s="176">
        <v>185.0</v>
      </c>
      <c r="D131" s="176">
        <v>170.0</v>
      </c>
      <c r="E131" s="176">
        <v>50.0</v>
      </c>
      <c r="F131" s="176">
        <v>44.0</v>
      </c>
      <c r="G131" s="176">
        <v>43.0</v>
      </c>
      <c r="H131" s="176">
        <v>44.0</v>
      </c>
      <c r="I131" s="176">
        <v>44.0</v>
      </c>
      <c r="J131" s="176">
        <v>43.0</v>
      </c>
      <c r="K131" s="176">
        <v>205.0</v>
      </c>
      <c r="L131" s="176">
        <v>198.0</v>
      </c>
      <c r="M131" s="176">
        <v>205.0</v>
      </c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</row>
    <row r="132">
      <c r="A132" s="176" t="s">
        <v>172</v>
      </c>
      <c r="B132" s="176">
        <v>1261.0</v>
      </c>
      <c r="C132" s="176">
        <v>2021.0</v>
      </c>
      <c r="D132" s="176">
        <v>2856.0</v>
      </c>
      <c r="E132" s="176">
        <v>3525.0</v>
      </c>
      <c r="F132" s="176">
        <v>3714.0</v>
      </c>
      <c r="G132" s="176">
        <v>3617.0</v>
      </c>
      <c r="H132" s="176">
        <v>3904.0</v>
      </c>
      <c r="I132" s="176">
        <v>3714.0</v>
      </c>
      <c r="J132" s="176">
        <v>2949.0</v>
      </c>
      <c r="K132" s="176">
        <v>2095.0</v>
      </c>
      <c r="L132" s="176">
        <v>1198.0</v>
      </c>
      <c r="M132" s="176">
        <v>857.0</v>
      </c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</row>
    <row r="133">
      <c r="A133" s="176" t="s">
        <v>173</v>
      </c>
      <c r="B133" s="176">
        <v>773.0</v>
      </c>
      <c r="C133" s="176">
        <v>599.0</v>
      </c>
      <c r="D133" s="176">
        <v>671.0</v>
      </c>
      <c r="E133" s="176">
        <v>419.0</v>
      </c>
      <c r="F133" s="176">
        <v>419.0</v>
      </c>
      <c r="G133" s="176">
        <v>322.0</v>
      </c>
      <c r="H133" s="176">
        <v>354.0</v>
      </c>
      <c r="I133" s="176">
        <v>321.0</v>
      </c>
      <c r="J133" s="176">
        <v>373.0</v>
      </c>
      <c r="K133" s="176">
        <v>664.0</v>
      </c>
      <c r="L133" s="176">
        <v>721.0</v>
      </c>
      <c r="M133" s="176">
        <v>807.0</v>
      </c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</row>
    <row r="134">
      <c r="A134" s="176" t="s">
        <v>174</v>
      </c>
      <c r="B134" s="176">
        <v>1531.0</v>
      </c>
      <c r="C134" s="176">
        <v>1394.0</v>
      </c>
      <c r="D134" s="176">
        <v>1146.0</v>
      </c>
      <c r="E134" s="176">
        <v>944.0</v>
      </c>
      <c r="F134" s="176">
        <v>1293.0</v>
      </c>
      <c r="G134" s="176">
        <v>1647.0</v>
      </c>
      <c r="H134" s="176">
        <v>1635.0</v>
      </c>
      <c r="I134" s="176">
        <v>1580.0</v>
      </c>
      <c r="J134" s="176">
        <v>1700.0</v>
      </c>
      <c r="K134" s="176">
        <v>1293.0</v>
      </c>
      <c r="L134" s="176">
        <v>1281.0</v>
      </c>
      <c r="M134" s="176">
        <v>1378.0</v>
      </c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</row>
    <row r="135">
      <c r="A135" s="176" t="s">
        <v>175</v>
      </c>
      <c r="B135" s="176">
        <v>966.0</v>
      </c>
      <c r="C135" s="176">
        <v>765.0</v>
      </c>
      <c r="D135" s="176">
        <v>985.0</v>
      </c>
      <c r="E135" s="176">
        <v>1349.0</v>
      </c>
      <c r="F135" s="176">
        <v>1989.0</v>
      </c>
      <c r="G135" s="176">
        <v>2371.0</v>
      </c>
      <c r="H135" s="176">
        <v>2463.0</v>
      </c>
      <c r="I135" s="176">
        <v>2281.0</v>
      </c>
      <c r="J135" s="176">
        <v>1696.0</v>
      </c>
      <c r="K135" s="176">
        <v>1202.0</v>
      </c>
      <c r="L135" s="176">
        <v>1077.0</v>
      </c>
      <c r="M135" s="176">
        <v>1094.0</v>
      </c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</row>
    <row r="136">
      <c r="A136" s="176" t="s">
        <v>176</v>
      </c>
      <c r="B136" s="176">
        <v>163.0</v>
      </c>
      <c r="C136" s="176">
        <v>147.0</v>
      </c>
      <c r="D136" s="176">
        <v>163.0</v>
      </c>
      <c r="E136" s="176">
        <v>158.0</v>
      </c>
      <c r="F136" s="176">
        <v>57.0</v>
      </c>
      <c r="G136" s="176">
        <v>158.0</v>
      </c>
      <c r="H136" s="176">
        <v>0.0</v>
      </c>
      <c r="I136" s="176">
        <v>163.0</v>
      </c>
      <c r="J136" s="176">
        <v>158.0</v>
      </c>
      <c r="K136" s="176">
        <v>163.0</v>
      </c>
      <c r="L136" s="176">
        <v>158.0</v>
      </c>
      <c r="M136" s="176">
        <v>163.0</v>
      </c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43"/>
      <c r="AC136" s="51"/>
    </row>
    <row r="137">
      <c r="A137" s="232" t="s">
        <v>203</v>
      </c>
      <c r="B137" s="246">
        <f t="shared" ref="B137:M137" si="36">SUM(B129:B136)</f>
        <v>8092</v>
      </c>
      <c r="C137" s="246">
        <f t="shared" si="36"/>
        <v>6995</v>
      </c>
      <c r="D137" s="246">
        <f t="shared" si="36"/>
        <v>8077</v>
      </c>
      <c r="E137" s="246">
        <f t="shared" si="36"/>
        <v>8463</v>
      </c>
      <c r="F137" s="246">
        <f t="shared" si="36"/>
        <v>8430</v>
      </c>
      <c r="G137" s="246">
        <f t="shared" si="36"/>
        <v>8197</v>
      </c>
      <c r="H137" s="246">
        <f t="shared" si="36"/>
        <v>10486</v>
      </c>
      <c r="I137" s="246">
        <f t="shared" si="36"/>
        <v>9630</v>
      </c>
      <c r="J137" s="246">
        <f t="shared" si="36"/>
        <v>8937</v>
      </c>
      <c r="K137" s="246">
        <f t="shared" si="36"/>
        <v>7708</v>
      </c>
      <c r="L137" s="246">
        <f t="shared" si="36"/>
        <v>6651</v>
      </c>
      <c r="M137" s="246">
        <f t="shared" si="36"/>
        <v>7909</v>
      </c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158"/>
      <c r="AC137" s="180"/>
    </row>
    <row r="138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158"/>
      <c r="AC138" s="180"/>
    </row>
    <row r="139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158"/>
      <c r="AC139" s="180"/>
    </row>
    <row r="140">
      <c r="A140" s="264" t="s">
        <v>204</v>
      </c>
      <c r="B140" s="229" t="s">
        <v>51</v>
      </c>
      <c r="C140" s="229" t="s">
        <v>2</v>
      </c>
      <c r="D140" s="229" t="s">
        <v>3</v>
      </c>
      <c r="E140" s="229" t="s">
        <v>4</v>
      </c>
      <c r="F140" s="229" t="s">
        <v>5</v>
      </c>
      <c r="G140" s="229" t="s">
        <v>6</v>
      </c>
      <c r="H140" s="229" t="s">
        <v>7</v>
      </c>
      <c r="I140" s="229" t="s">
        <v>8</v>
      </c>
      <c r="J140" s="229" t="s">
        <v>9</v>
      </c>
      <c r="K140" s="229" t="s">
        <v>10</v>
      </c>
      <c r="L140" s="229" t="s">
        <v>11</v>
      </c>
      <c r="M140" s="229" t="s">
        <v>12</v>
      </c>
      <c r="N140" s="235" t="s">
        <v>13</v>
      </c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158"/>
      <c r="AC140" s="180"/>
    </row>
    <row r="141">
      <c r="A141" s="229" t="s">
        <v>169</v>
      </c>
      <c r="B141" s="229">
        <f t="shared" ref="B141:M141" si="37">B129*0.0036</f>
        <v>3.9852</v>
      </c>
      <c r="C141" s="229">
        <f t="shared" si="37"/>
        <v>0</v>
      </c>
      <c r="D141" s="229">
        <f t="shared" si="37"/>
        <v>0</v>
      </c>
      <c r="E141" s="229">
        <f t="shared" si="37"/>
        <v>0</v>
      </c>
      <c r="F141" s="229">
        <f t="shared" si="37"/>
        <v>0</v>
      </c>
      <c r="G141" s="229">
        <f t="shared" si="37"/>
        <v>0</v>
      </c>
      <c r="H141" s="229">
        <f t="shared" si="37"/>
        <v>0</v>
      </c>
      <c r="I141" s="229">
        <f t="shared" si="37"/>
        <v>0</v>
      </c>
      <c r="J141" s="229">
        <f t="shared" si="37"/>
        <v>0</v>
      </c>
      <c r="K141" s="229">
        <f t="shared" si="37"/>
        <v>0</v>
      </c>
      <c r="L141" s="229">
        <f t="shared" si="37"/>
        <v>0</v>
      </c>
      <c r="M141" s="229">
        <f t="shared" si="37"/>
        <v>4.7484</v>
      </c>
      <c r="N141" s="236">
        <f t="shared" ref="N141:N149" si="39">SUM(B141:M141)</f>
        <v>8.7336</v>
      </c>
      <c r="O141" s="215"/>
      <c r="AC141" s="180"/>
    </row>
    <row r="142">
      <c r="A142" s="229" t="s">
        <v>170</v>
      </c>
      <c r="B142" s="229">
        <f t="shared" ref="B142:M142" si="38">B130*0.0036</f>
        <v>7.5096</v>
      </c>
      <c r="C142" s="229">
        <f t="shared" si="38"/>
        <v>6.7824</v>
      </c>
      <c r="D142" s="229">
        <f t="shared" si="38"/>
        <v>7.5096</v>
      </c>
      <c r="E142" s="229">
        <f t="shared" si="38"/>
        <v>7.2648</v>
      </c>
      <c r="F142" s="229">
        <f t="shared" si="38"/>
        <v>3.2904</v>
      </c>
      <c r="G142" s="229">
        <f t="shared" si="38"/>
        <v>0.1404</v>
      </c>
      <c r="H142" s="229">
        <f t="shared" si="38"/>
        <v>7.5096</v>
      </c>
      <c r="I142" s="229">
        <f t="shared" si="38"/>
        <v>5.4972</v>
      </c>
      <c r="J142" s="229">
        <f t="shared" si="38"/>
        <v>7.2648</v>
      </c>
      <c r="K142" s="229">
        <f t="shared" si="38"/>
        <v>7.5096</v>
      </c>
      <c r="L142" s="229">
        <f t="shared" si="38"/>
        <v>7.2648</v>
      </c>
      <c r="M142" s="229">
        <f t="shared" si="38"/>
        <v>7.5096</v>
      </c>
      <c r="N142" s="236">
        <f t="shared" si="39"/>
        <v>75.0528</v>
      </c>
      <c r="O142" s="215"/>
      <c r="AC142" s="180"/>
    </row>
    <row r="143">
      <c r="A143" s="229" t="s">
        <v>171</v>
      </c>
      <c r="B143" s="229">
        <f t="shared" ref="B143:M143" si="40">B131*0.0036</f>
        <v>0.738</v>
      </c>
      <c r="C143" s="229">
        <f t="shared" si="40"/>
        <v>0.666</v>
      </c>
      <c r="D143" s="229">
        <f t="shared" si="40"/>
        <v>0.612</v>
      </c>
      <c r="E143" s="229">
        <f t="shared" si="40"/>
        <v>0.18</v>
      </c>
      <c r="F143" s="229">
        <f t="shared" si="40"/>
        <v>0.1584</v>
      </c>
      <c r="G143" s="229">
        <f t="shared" si="40"/>
        <v>0.1548</v>
      </c>
      <c r="H143" s="229">
        <f t="shared" si="40"/>
        <v>0.1584</v>
      </c>
      <c r="I143" s="229">
        <f t="shared" si="40"/>
        <v>0.1584</v>
      </c>
      <c r="J143" s="229">
        <f t="shared" si="40"/>
        <v>0.1548</v>
      </c>
      <c r="K143" s="229">
        <f t="shared" si="40"/>
        <v>0.738</v>
      </c>
      <c r="L143" s="229">
        <f t="shared" si="40"/>
        <v>0.7128</v>
      </c>
      <c r="M143" s="229">
        <f t="shared" si="40"/>
        <v>0.738</v>
      </c>
      <c r="N143" s="236">
        <f t="shared" si="39"/>
        <v>5.1696</v>
      </c>
      <c r="O143" s="215"/>
      <c r="AC143" s="215"/>
    </row>
    <row r="144">
      <c r="A144" s="229" t="s">
        <v>172</v>
      </c>
      <c r="B144" s="229">
        <f t="shared" ref="B144:M144" si="41">B132*0.0036</f>
        <v>4.5396</v>
      </c>
      <c r="C144" s="229">
        <f t="shared" si="41"/>
        <v>7.2756</v>
      </c>
      <c r="D144" s="229">
        <f t="shared" si="41"/>
        <v>10.2816</v>
      </c>
      <c r="E144" s="229">
        <f t="shared" si="41"/>
        <v>12.69</v>
      </c>
      <c r="F144" s="229">
        <f t="shared" si="41"/>
        <v>13.3704</v>
      </c>
      <c r="G144" s="229">
        <f t="shared" si="41"/>
        <v>13.0212</v>
      </c>
      <c r="H144" s="229">
        <f t="shared" si="41"/>
        <v>14.0544</v>
      </c>
      <c r="I144" s="229">
        <f t="shared" si="41"/>
        <v>13.3704</v>
      </c>
      <c r="J144" s="229">
        <f t="shared" si="41"/>
        <v>10.6164</v>
      </c>
      <c r="K144" s="229">
        <f t="shared" si="41"/>
        <v>7.542</v>
      </c>
      <c r="L144" s="229">
        <f t="shared" si="41"/>
        <v>4.3128</v>
      </c>
      <c r="M144" s="229">
        <f t="shared" si="41"/>
        <v>3.0852</v>
      </c>
      <c r="N144" s="236">
        <f t="shared" si="39"/>
        <v>114.1596</v>
      </c>
      <c r="O144" s="215"/>
      <c r="AC144" s="215"/>
    </row>
    <row r="145">
      <c r="A145" s="229" t="s">
        <v>173</v>
      </c>
      <c r="B145" s="229">
        <f t="shared" ref="B145:M145" si="42">B133*0.0036</f>
        <v>2.7828</v>
      </c>
      <c r="C145" s="229">
        <f t="shared" si="42"/>
        <v>2.1564</v>
      </c>
      <c r="D145" s="229">
        <f t="shared" si="42"/>
        <v>2.4156</v>
      </c>
      <c r="E145" s="229">
        <f t="shared" si="42"/>
        <v>1.5084</v>
      </c>
      <c r="F145" s="229">
        <f t="shared" si="42"/>
        <v>1.5084</v>
      </c>
      <c r="G145" s="229">
        <f t="shared" si="42"/>
        <v>1.1592</v>
      </c>
      <c r="H145" s="229">
        <f t="shared" si="42"/>
        <v>1.2744</v>
      </c>
      <c r="I145" s="229">
        <f t="shared" si="42"/>
        <v>1.1556</v>
      </c>
      <c r="J145" s="229">
        <f t="shared" si="42"/>
        <v>1.3428</v>
      </c>
      <c r="K145" s="229">
        <f t="shared" si="42"/>
        <v>2.3904</v>
      </c>
      <c r="L145" s="229">
        <f t="shared" si="42"/>
        <v>2.5956</v>
      </c>
      <c r="M145" s="229">
        <f t="shared" si="42"/>
        <v>2.9052</v>
      </c>
      <c r="N145" s="236">
        <f t="shared" si="39"/>
        <v>23.1948</v>
      </c>
      <c r="O145" s="215"/>
      <c r="AA145" s="265"/>
      <c r="AC145" s="215"/>
    </row>
    <row r="146">
      <c r="A146" s="229" t="s">
        <v>174</v>
      </c>
      <c r="B146" s="229">
        <f t="shared" ref="B146:M146" si="43">B134*0.0036</f>
        <v>5.5116</v>
      </c>
      <c r="C146" s="229">
        <f t="shared" si="43"/>
        <v>5.0184</v>
      </c>
      <c r="D146" s="229">
        <f t="shared" si="43"/>
        <v>4.1256</v>
      </c>
      <c r="E146" s="229">
        <f t="shared" si="43"/>
        <v>3.3984</v>
      </c>
      <c r="F146" s="229">
        <f t="shared" si="43"/>
        <v>4.6548</v>
      </c>
      <c r="G146" s="229">
        <f t="shared" si="43"/>
        <v>5.9292</v>
      </c>
      <c r="H146" s="229">
        <f t="shared" si="43"/>
        <v>5.886</v>
      </c>
      <c r="I146" s="229">
        <f t="shared" si="43"/>
        <v>5.688</v>
      </c>
      <c r="J146" s="229">
        <f t="shared" si="43"/>
        <v>6.12</v>
      </c>
      <c r="K146" s="229">
        <f t="shared" si="43"/>
        <v>4.6548</v>
      </c>
      <c r="L146" s="229">
        <f t="shared" si="43"/>
        <v>4.6116</v>
      </c>
      <c r="M146" s="229">
        <f t="shared" si="43"/>
        <v>4.9608</v>
      </c>
      <c r="N146" s="236">
        <f t="shared" si="39"/>
        <v>60.5592</v>
      </c>
      <c r="O146" s="215"/>
      <c r="AA146" s="265"/>
      <c r="AC146" s="215"/>
    </row>
    <row r="147">
      <c r="A147" s="229" t="s">
        <v>175</v>
      </c>
      <c r="B147" s="229">
        <f t="shared" ref="B147:M147" si="44">B135*0.0036</f>
        <v>3.4776</v>
      </c>
      <c r="C147" s="229">
        <f t="shared" si="44"/>
        <v>2.754</v>
      </c>
      <c r="D147" s="229">
        <f t="shared" si="44"/>
        <v>3.546</v>
      </c>
      <c r="E147" s="229">
        <f t="shared" si="44"/>
        <v>4.8564</v>
      </c>
      <c r="F147" s="229">
        <f t="shared" si="44"/>
        <v>7.1604</v>
      </c>
      <c r="G147" s="229">
        <f t="shared" si="44"/>
        <v>8.5356</v>
      </c>
      <c r="H147" s="229">
        <f t="shared" si="44"/>
        <v>8.8668</v>
      </c>
      <c r="I147" s="229">
        <f t="shared" si="44"/>
        <v>8.2116</v>
      </c>
      <c r="J147" s="229">
        <f t="shared" si="44"/>
        <v>6.1056</v>
      </c>
      <c r="K147" s="229">
        <f t="shared" si="44"/>
        <v>4.3272</v>
      </c>
      <c r="L147" s="229">
        <f t="shared" si="44"/>
        <v>3.8772</v>
      </c>
      <c r="M147" s="229">
        <f t="shared" si="44"/>
        <v>3.9384</v>
      </c>
      <c r="N147" s="236">
        <f t="shared" si="39"/>
        <v>65.6568</v>
      </c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66"/>
    </row>
    <row r="148">
      <c r="A148" s="229" t="s">
        <v>176</v>
      </c>
      <c r="B148" s="229">
        <f t="shared" ref="B148:M148" si="45">B136*0.0036</f>
        <v>0.5868</v>
      </c>
      <c r="C148" s="229">
        <f t="shared" si="45"/>
        <v>0.5292</v>
      </c>
      <c r="D148" s="229">
        <f t="shared" si="45"/>
        <v>0.5868</v>
      </c>
      <c r="E148" s="229">
        <f t="shared" si="45"/>
        <v>0.5688</v>
      </c>
      <c r="F148" s="229">
        <f t="shared" si="45"/>
        <v>0.2052</v>
      </c>
      <c r="G148" s="229">
        <f t="shared" si="45"/>
        <v>0.5688</v>
      </c>
      <c r="H148" s="229">
        <f t="shared" si="45"/>
        <v>0</v>
      </c>
      <c r="I148" s="229">
        <f t="shared" si="45"/>
        <v>0.5868</v>
      </c>
      <c r="J148" s="229">
        <f t="shared" si="45"/>
        <v>0.5688</v>
      </c>
      <c r="K148" s="229">
        <f t="shared" si="45"/>
        <v>0.5868</v>
      </c>
      <c r="L148" s="229">
        <f t="shared" si="45"/>
        <v>0.5688</v>
      </c>
      <c r="M148" s="229">
        <f t="shared" si="45"/>
        <v>0.5868</v>
      </c>
      <c r="N148" s="236">
        <f t="shared" si="39"/>
        <v>5.9436</v>
      </c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36"/>
    </row>
    <row r="149">
      <c r="A149" s="235" t="s">
        <v>203</v>
      </c>
      <c r="B149" s="235">
        <f t="shared" ref="B149:M149" si="46">B137*0.0036</f>
        <v>29.1312</v>
      </c>
      <c r="C149" s="235">
        <f t="shared" si="46"/>
        <v>25.182</v>
      </c>
      <c r="D149" s="235">
        <f t="shared" si="46"/>
        <v>29.0772</v>
      </c>
      <c r="E149" s="235">
        <f t="shared" si="46"/>
        <v>30.4668</v>
      </c>
      <c r="F149" s="235">
        <f t="shared" si="46"/>
        <v>30.348</v>
      </c>
      <c r="G149" s="235">
        <f t="shared" si="46"/>
        <v>29.5092</v>
      </c>
      <c r="H149" s="235">
        <f t="shared" si="46"/>
        <v>37.7496</v>
      </c>
      <c r="I149" s="235">
        <f t="shared" si="46"/>
        <v>34.668</v>
      </c>
      <c r="J149" s="235">
        <f t="shared" si="46"/>
        <v>32.1732</v>
      </c>
      <c r="K149" s="235">
        <f t="shared" si="46"/>
        <v>27.7488</v>
      </c>
      <c r="L149" s="235">
        <f t="shared" si="46"/>
        <v>23.9436</v>
      </c>
      <c r="M149" s="235">
        <f t="shared" si="46"/>
        <v>28.4724</v>
      </c>
      <c r="N149" s="236">
        <f t="shared" si="39"/>
        <v>358.47</v>
      </c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36"/>
    </row>
    <row r="150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36"/>
    </row>
    <row r="151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36"/>
    </row>
    <row r="152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36"/>
    </row>
    <row r="153">
      <c r="A153" s="157" t="s">
        <v>205</v>
      </c>
      <c r="B153" s="229" t="s">
        <v>51</v>
      </c>
      <c r="C153" s="229" t="s">
        <v>2</v>
      </c>
      <c r="D153" s="229" t="s">
        <v>3</v>
      </c>
      <c r="E153" s="229" t="s">
        <v>4</v>
      </c>
      <c r="F153" s="229" t="s">
        <v>5</v>
      </c>
      <c r="G153" s="229" t="s">
        <v>6</v>
      </c>
      <c r="H153" s="229" t="s">
        <v>7</v>
      </c>
      <c r="I153" s="229" t="s">
        <v>8</v>
      </c>
      <c r="J153" s="229" t="s">
        <v>9</v>
      </c>
      <c r="K153" s="229" t="s">
        <v>10</v>
      </c>
      <c r="L153" s="229" t="s">
        <v>11</v>
      </c>
      <c r="M153" s="229" t="s">
        <v>12</v>
      </c>
      <c r="N153" s="235" t="s">
        <v>13</v>
      </c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52">
        <f>SUM(AB147:AB152)</f>
        <v>0</v>
      </c>
      <c r="AC153" s="236"/>
    </row>
    <row r="154">
      <c r="A154" s="229" t="s">
        <v>206</v>
      </c>
      <c r="B154" s="229">
        <f t="shared" ref="B154:N154" si="47">B149</f>
        <v>29.1312</v>
      </c>
      <c r="C154" s="229">
        <f t="shared" si="47"/>
        <v>25.182</v>
      </c>
      <c r="D154" s="229">
        <f t="shared" si="47"/>
        <v>29.0772</v>
      </c>
      <c r="E154" s="229">
        <f t="shared" si="47"/>
        <v>30.4668</v>
      </c>
      <c r="F154" s="229">
        <f t="shared" si="47"/>
        <v>30.348</v>
      </c>
      <c r="G154" s="229">
        <f t="shared" si="47"/>
        <v>29.5092</v>
      </c>
      <c r="H154" s="229">
        <f t="shared" si="47"/>
        <v>37.7496</v>
      </c>
      <c r="I154" s="229">
        <f t="shared" si="47"/>
        <v>34.668</v>
      </c>
      <c r="J154" s="229">
        <f t="shared" si="47"/>
        <v>32.1732</v>
      </c>
      <c r="K154" s="229">
        <f t="shared" si="47"/>
        <v>27.7488</v>
      </c>
      <c r="L154" s="229">
        <f t="shared" si="47"/>
        <v>23.9436</v>
      </c>
      <c r="M154" s="229">
        <f t="shared" si="47"/>
        <v>28.4724</v>
      </c>
      <c r="N154" s="229">
        <f t="shared" si="47"/>
        <v>358.47</v>
      </c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36"/>
      <c r="AC154" s="267"/>
    </row>
    <row r="155">
      <c r="A155" s="158" t="s">
        <v>203</v>
      </c>
      <c r="B155" s="179">
        <f t="shared" ref="B155:N155" si="48">B121</f>
        <v>44.7228</v>
      </c>
      <c r="C155" s="179">
        <f t="shared" si="48"/>
        <v>36.5328</v>
      </c>
      <c r="D155" s="179">
        <f t="shared" si="48"/>
        <v>30.9096</v>
      </c>
      <c r="E155" s="179">
        <f t="shared" si="48"/>
        <v>30.2004</v>
      </c>
      <c r="F155" s="179">
        <f t="shared" si="48"/>
        <v>30.0852</v>
      </c>
      <c r="G155" s="179">
        <f t="shared" si="48"/>
        <v>29.4372</v>
      </c>
      <c r="H155" s="179">
        <f t="shared" si="48"/>
        <v>33.1956</v>
      </c>
      <c r="I155" s="179">
        <f t="shared" si="48"/>
        <v>31.914</v>
      </c>
      <c r="J155" s="179">
        <f t="shared" si="48"/>
        <v>31.2876</v>
      </c>
      <c r="K155" s="179">
        <f t="shared" si="48"/>
        <v>30.3192</v>
      </c>
      <c r="L155" s="179">
        <f t="shared" si="48"/>
        <v>31.4928</v>
      </c>
      <c r="M155" s="179">
        <f t="shared" si="48"/>
        <v>45.7164</v>
      </c>
      <c r="N155" s="179">
        <f t="shared" si="48"/>
        <v>405.8136</v>
      </c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</row>
    <row r="156">
      <c r="A156" s="158" t="s">
        <v>207</v>
      </c>
      <c r="B156" s="181">
        <f t="shared" ref="B156:N156" si="49">B155-B154</f>
        <v>15.5916</v>
      </c>
      <c r="C156" s="181">
        <f t="shared" si="49"/>
        <v>11.3508</v>
      </c>
      <c r="D156" s="181">
        <f t="shared" si="49"/>
        <v>1.8324</v>
      </c>
      <c r="E156" s="181">
        <f t="shared" si="49"/>
        <v>-0.2664</v>
      </c>
      <c r="F156" s="181">
        <f t="shared" si="49"/>
        <v>-0.2628</v>
      </c>
      <c r="G156" s="181">
        <f t="shared" si="49"/>
        <v>-0.072</v>
      </c>
      <c r="H156" s="181">
        <f t="shared" si="49"/>
        <v>-4.554</v>
      </c>
      <c r="I156" s="181">
        <f t="shared" si="49"/>
        <v>-2.754</v>
      </c>
      <c r="J156" s="181">
        <f t="shared" si="49"/>
        <v>-0.8856</v>
      </c>
      <c r="K156" s="181">
        <f t="shared" si="49"/>
        <v>2.5704</v>
      </c>
      <c r="L156" s="181">
        <f t="shared" si="49"/>
        <v>7.5492</v>
      </c>
      <c r="M156" s="181">
        <f t="shared" si="49"/>
        <v>17.244</v>
      </c>
      <c r="N156" s="181">
        <f t="shared" si="49"/>
        <v>47.3436</v>
      </c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</row>
    <row r="157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</row>
    <row r="158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</row>
    <row r="159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</row>
    <row r="160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</row>
    <row r="161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</row>
    <row r="16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</row>
    <row r="163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</row>
    <row r="164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</row>
    <row r="16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</row>
    <row r="166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</row>
    <row r="167">
      <c r="AB167" s="215"/>
      <c r="AC167" s="215"/>
    </row>
    <row r="168">
      <c r="AB168" s="215"/>
      <c r="AC168" s="215"/>
    </row>
    <row r="169">
      <c r="AB169" s="215"/>
      <c r="AC169" s="215"/>
    </row>
    <row r="170">
      <c r="AB170" s="215"/>
      <c r="AC170" s="215"/>
    </row>
    <row r="171">
      <c r="AB171" s="215"/>
      <c r="AC171" s="215"/>
    </row>
    <row r="172">
      <c r="AB172" s="215"/>
      <c r="AC172" s="215"/>
    </row>
    <row r="173">
      <c r="AB173" s="215"/>
      <c r="AC173" s="215"/>
    </row>
    <row r="174">
      <c r="AB174" s="215"/>
      <c r="AC174" s="215"/>
    </row>
    <row r="175">
      <c r="AB175" s="215"/>
      <c r="AC175" s="215"/>
    </row>
    <row r="176">
      <c r="AB176" s="215"/>
      <c r="AC176" s="215"/>
    </row>
    <row r="177">
      <c r="AB177" s="215"/>
      <c r="AC177" s="215"/>
    </row>
    <row r="178">
      <c r="AB178" s="215"/>
      <c r="AC178" s="215"/>
    </row>
    <row r="179">
      <c r="AB179" s="215"/>
      <c r="AC179" s="215"/>
    </row>
    <row r="180">
      <c r="AB180" s="215"/>
      <c r="AC180" s="215"/>
    </row>
    <row r="181">
      <c r="AB181" s="215"/>
      <c r="AC181" s="215"/>
    </row>
    <row r="182">
      <c r="AB182" s="215"/>
      <c r="AC182" s="215"/>
    </row>
    <row r="183">
      <c r="AB183" s="215"/>
      <c r="AC183" s="215"/>
    </row>
    <row r="184">
      <c r="AB184" s="215"/>
      <c r="AC184" s="215"/>
    </row>
    <row r="185">
      <c r="AB185" s="215"/>
      <c r="AC185" s="215"/>
    </row>
    <row r="186">
      <c r="AB186" s="215"/>
      <c r="AC186" s="215"/>
    </row>
    <row r="187">
      <c r="AB187" s="215"/>
      <c r="AC187" s="215"/>
    </row>
    <row r="188">
      <c r="AB188" s="215"/>
      <c r="AC188" s="215"/>
    </row>
    <row r="189">
      <c r="AB189" s="215"/>
      <c r="AC189" s="215"/>
    </row>
    <row r="190">
      <c r="AB190" s="215"/>
      <c r="AC190" s="215"/>
    </row>
    <row r="191">
      <c r="AB191" s="215"/>
      <c r="AC191" s="215"/>
    </row>
    <row r="192">
      <c r="AB192" s="215"/>
      <c r="AC192" s="215"/>
    </row>
    <row r="193">
      <c r="AB193" s="215"/>
      <c r="AC193" s="215"/>
    </row>
    <row r="194">
      <c r="AB194" s="215"/>
      <c r="AC194" s="215"/>
    </row>
    <row r="195">
      <c r="AB195" s="215"/>
      <c r="AC195" s="215"/>
    </row>
    <row r="196">
      <c r="AB196" s="215"/>
      <c r="AC196" s="215"/>
    </row>
    <row r="197">
      <c r="AB197" s="215"/>
      <c r="AC197" s="215"/>
    </row>
    <row r="198">
      <c r="AB198" s="215"/>
      <c r="AC198" s="215"/>
    </row>
    <row r="199">
      <c r="AB199" s="215"/>
      <c r="AC199" s="215"/>
    </row>
    <row r="200">
      <c r="AB200" s="215"/>
      <c r="AC200" s="215"/>
    </row>
    <row r="201">
      <c r="AB201" s="215"/>
      <c r="AC201" s="215"/>
    </row>
    <row r="202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</row>
    <row r="203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</row>
    <row r="204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</row>
    <row r="20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</row>
    <row r="206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</row>
    <row r="207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</row>
    <row r="208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</row>
    <row r="209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</row>
    <row r="210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</row>
    <row r="21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</row>
    <row r="21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</row>
    <row r="213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</row>
    <row r="214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</row>
    <row r="21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</row>
    <row r="216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</row>
    <row r="217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</row>
    <row r="218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</row>
    <row r="219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</row>
    <row r="22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</row>
    <row r="22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</row>
    <row r="22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</row>
    <row r="223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</row>
    <row r="224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</row>
    <row r="2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</row>
    <row r="226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</row>
    <row r="227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</row>
    <row r="228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</row>
    <row r="229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</row>
    <row r="23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</row>
    <row r="23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</row>
    <row r="232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</row>
    <row r="233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</row>
    <row r="234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</row>
    <row r="23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</row>
    <row r="236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</row>
    <row r="237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</row>
    <row r="238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</row>
    <row r="239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</row>
    <row r="24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</row>
    <row r="24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</row>
    <row r="24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</row>
    <row r="243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</row>
    <row r="244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</row>
    <row r="24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</row>
    <row r="246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</row>
    <row r="247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</row>
    <row r="248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</row>
    <row r="249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</row>
    <row r="25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</row>
    <row r="25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</row>
    <row r="25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</row>
    <row r="253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</row>
    <row r="254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</row>
    <row r="25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</row>
    <row r="256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</row>
    <row r="257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</row>
    <row r="258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</row>
    <row r="259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</row>
    <row r="26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</row>
    <row r="26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</row>
    <row r="262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</row>
    <row r="263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</row>
    <row r="264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</row>
    <row r="26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</row>
    <row r="266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</row>
    <row r="267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</row>
    <row r="268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</row>
    <row r="269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</row>
    <row r="27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</row>
    <row r="27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</row>
    <row r="272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</row>
    <row r="273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</row>
    <row r="274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</row>
    <row r="27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</row>
    <row r="276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</row>
    <row r="277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</row>
    <row r="278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</row>
    <row r="279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</row>
    <row r="28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</row>
    <row r="28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</row>
    <row r="28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</row>
    <row r="283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</row>
    <row r="284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</row>
    <row r="28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</row>
    <row r="286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</row>
    <row r="287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</row>
    <row r="288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</row>
    <row r="289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</row>
    <row r="2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</row>
    <row r="29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</row>
    <row r="292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</row>
    <row r="293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</row>
    <row r="294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</row>
    <row r="29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</row>
    <row r="296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</row>
    <row r="297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</row>
    <row r="298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</row>
    <row r="299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</row>
    <row r="30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</row>
    <row r="30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</row>
    <row r="30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</row>
    <row r="303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</row>
    <row r="304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</row>
    <row r="30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</row>
    <row r="306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</row>
    <row r="307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</row>
    <row r="308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</row>
    <row r="309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</row>
    <row r="31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</row>
    <row r="31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</row>
    <row r="312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</row>
    <row r="313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</row>
    <row r="314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</row>
    <row r="31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</row>
    <row r="316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</row>
    <row r="317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</row>
    <row r="318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</row>
    <row r="319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</row>
    <row r="32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</row>
    <row r="32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</row>
    <row r="322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</row>
    <row r="323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</row>
    <row r="324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</row>
    <row r="3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</row>
    <row r="326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</row>
    <row r="327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</row>
    <row r="328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</row>
    <row r="329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</row>
    <row r="33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</row>
    <row r="33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</row>
    <row r="332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</row>
    <row r="333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</row>
    <row r="334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</row>
    <row r="33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</row>
    <row r="336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</row>
    <row r="337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</row>
    <row r="338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</row>
    <row r="339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</row>
    <row r="34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</row>
    <row r="34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</row>
    <row r="342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</row>
    <row r="343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</row>
    <row r="344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</row>
    <row r="34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</row>
    <row r="346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</row>
    <row r="347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</row>
    <row r="348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</row>
    <row r="349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</row>
    <row r="35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</row>
    <row r="35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</row>
    <row r="352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</row>
    <row r="353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</row>
    <row r="354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</row>
    <row r="35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</row>
    <row r="356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</row>
    <row r="357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</row>
    <row r="358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</row>
    <row r="359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</row>
    <row r="36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</row>
    <row r="36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</row>
    <row r="362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</row>
    <row r="363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</row>
    <row r="364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</row>
    <row r="36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</row>
    <row r="366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</row>
    <row r="367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</row>
    <row r="368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</row>
    <row r="369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</row>
    <row r="37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</row>
    <row r="37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</row>
    <row r="372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</row>
    <row r="373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</row>
    <row r="374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</row>
    <row r="37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</row>
    <row r="376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</row>
    <row r="377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</row>
    <row r="378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</row>
    <row r="379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</row>
    <row r="38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</row>
    <row r="38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</row>
    <row r="382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</row>
    <row r="383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</row>
    <row r="384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</row>
    <row r="38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</row>
    <row r="386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</row>
    <row r="387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</row>
    <row r="388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</row>
    <row r="389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</row>
    <row r="390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</row>
    <row r="39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</row>
    <row r="392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</row>
    <row r="393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</row>
    <row r="394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</row>
    <row r="39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</row>
    <row r="396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</row>
    <row r="397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</row>
    <row r="398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</row>
    <row r="399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</row>
    <row r="400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</row>
    <row r="40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</row>
    <row r="402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</row>
    <row r="403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</row>
    <row r="404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</row>
    <row r="40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</row>
    <row r="406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</row>
    <row r="407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</row>
    <row r="408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</row>
    <row r="409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</row>
    <row r="410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</row>
    <row r="41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</row>
    <row r="412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</row>
    <row r="413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</row>
    <row r="414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</row>
    <row r="41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</row>
    <row r="416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</row>
    <row r="417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</row>
    <row r="418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</row>
    <row r="419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</row>
    <row r="420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</row>
    <row r="42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</row>
    <row r="422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</row>
    <row r="423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</row>
    <row r="424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</row>
    <row r="4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</row>
    <row r="426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</row>
    <row r="427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</row>
    <row r="428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</row>
    <row r="429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</row>
    <row r="430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</row>
    <row r="43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</row>
    <row r="432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</row>
    <row r="433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</row>
    <row r="434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</row>
    <row r="43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</row>
    <row r="436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</row>
    <row r="437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</row>
    <row r="438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</row>
    <row r="439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</row>
    <row r="440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</row>
    <row r="44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</row>
    <row r="442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</row>
    <row r="443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</row>
    <row r="444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</row>
    <row r="44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</row>
    <row r="446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</row>
    <row r="447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</row>
    <row r="448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</row>
    <row r="449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</row>
    <row r="450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</row>
    <row r="45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</row>
    <row r="452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</row>
    <row r="453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</row>
    <row r="454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</row>
    <row r="45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</row>
    <row r="456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</row>
    <row r="457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</row>
    <row r="458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</row>
    <row r="459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</row>
    <row r="460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</row>
    <row r="46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</row>
    <row r="462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</row>
    <row r="463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</row>
    <row r="464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</row>
    <row r="46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</row>
    <row r="466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</row>
    <row r="467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</row>
    <row r="468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</row>
    <row r="469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</row>
    <row r="470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</row>
    <row r="47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</row>
    <row r="472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</row>
    <row r="473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</row>
    <row r="474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</row>
    <row r="47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</row>
    <row r="476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</row>
    <row r="477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</row>
    <row r="478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</row>
    <row r="479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</row>
    <row r="480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</row>
    <row r="48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</row>
    <row r="482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</row>
    <row r="483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</row>
    <row r="484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</row>
    <row r="48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</row>
    <row r="486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</row>
    <row r="487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</row>
    <row r="488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</row>
    <row r="489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</row>
    <row r="490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</row>
    <row r="49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</row>
    <row r="492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</row>
    <row r="493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</row>
    <row r="494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</row>
    <row r="49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</row>
    <row r="496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</row>
    <row r="497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</row>
    <row r="498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</row>
    <row r="499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</row>
    <row r="500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</row>
    <row r="50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</row>
    <row r="502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</row>
    <row r="503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</row>
    <row r="504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</row>
    <row r="50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</row>
    <row r="506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</row>
    <row r="507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</row>
    <row r="508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</row>
    <row r="509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</row>
    <row r="510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</row>
    <row r="51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</row>
    <row r="512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</row>
    <row r="513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</row>
    <row r="514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</row>
    <row r="51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</row>
    <row r="516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</row>
    <row r="517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</row>
    <row r="518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</row>
    <row r="519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</row>
    <row r="520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</row>
    <row r="52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</row>
    <row r="522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</row>
    <row r="523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</row>
    <row r="524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</row>
    <row r="5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</row>
    <row r="526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</row>
    <row r="527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</row>
    <row r="528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</row>
    <row r="529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</row>
    <row r="530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</row>
    <row r="53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</row>
    <row r="532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</row>
    <row r="533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</row>
    <row r="534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</row>
    <row r="53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</row>
    <row r="536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</row>
    <row r="537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</row>
    <row r="538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</row>
    <row r="539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</row>
    <row r="540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</row>
    <row r="54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</row>
    <row r="542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</row>
    <row r="543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</row>
    <row r="544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</row>
    <row r="54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</row>
    <row r="546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</row>
    <row r="547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</row>
    <row r="548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</row>
    <row r="549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</row>
    <row r="550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</row>
    <row r="55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</row>
    <row r="552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</row>
    <row r="553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</row>
    <row r="554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</row>
    <row r="55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</row>
    <row r="556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</row>
    <row r="557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</row>
    <row r="558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</row>
    <row r="559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</row>
    <row r="560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</row>
    <row r="56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</row>
    <row r="562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</row>
    <row r="563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</row>
    <row r="564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</row>
    <row r="56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</row>
    <row r="566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</row>
    <row r="567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</row>
    <row r="568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</row>
    <row r="569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</row>
    <row r="570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</row>
    <row r="57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</row>
    <row r="572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</row>
    <row r="573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</row>
    <row r="574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</row>
    <row r="57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</row>
    <row r="576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</row>
    <row r="577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</row>
    <row r="578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</row>
    <row r="579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</row>
    <row r="580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</row>
    <row r="58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</row>
    <row r="582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</row>
    <row r="583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</row>
    <row r="584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</row>
    <row r="58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</row>
    <row r="586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</row>
    <row r="587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</row>
    <row r="588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</row>
    <row r="589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</row>
    <row r="590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</row>
    <row r="59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</row>
    <row r="592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</row>
    <row r="593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</row>
    <row r="594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</row>
    <row r="59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</row>
    <row r="596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</row>
    <row r="597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</row>
    <row r="598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</row>
    <row r="599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</row>
    <row r="600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</row>
    <row r="60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</row>
    <row r="602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</row>
    <row r="603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</row>
    <row r="604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</row>
    <row r="60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</row>
    <row r="606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</row>
    <row r="607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</row>
    <row r="608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</row>
    <row r="609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</row>
    <row r="610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</row>
    <row r="61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</row>
    <row r="612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</row>
    <row r="613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</row>
    <row r="614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</row>
    <row r="61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</row>
    <row r="616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</row>
    <row r="617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</row>
    <row r="618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</row>
    <row r="619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</row>
    <row r="620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</row>
    <row r="62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</row>
    <row r="622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</row>
    <row r="623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</row>
    <row r="624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</row>
    <row r="6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</row>
    <row r="626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</row>
    <row r="627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</row>
    <row r="628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</row>
    <row r="629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</row>
    <row r="630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</row>
    <row r="63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</row>
    <row r="632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</row>
    <row r="633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</row>
    <row r="634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</row>
    <row r="63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</row>
    <row r="636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</row>
    <row r="637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</row>
    <row r="638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</row>
    <row r="639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</row>
    <row r="640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</row>
    <row r="64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</row>
    <row r="642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</row>
    <row r="643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</row>
    <row r="644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</row>
    <row r="64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</row>
    <row r="646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</row>
    <row r="647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</row>
    <row r="648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</row>
    <row r="649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</row>
    <row r="650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</row>
    <row r="65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</row>
    <row r="652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</row>
    <row r="653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</row>
    <row r="654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</row>
    <row r="65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</row>
    <row r="656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</row>
    <row r="657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</row>
    <row r="658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</row>
    <row r="659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</row>
    <row r="660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</row>
    <row r="66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</row>
    <row r="662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</row>
    <row r="663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</row>
    <row r="664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</row>
    <row r="66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</row>
    <row r="666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</row>
    <row r="667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</row>
    <row r="668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</row>
    <row r="669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</row>
    <row r="670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</row>
    <row r="67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</row>
    <row r="672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</row>
    <row r="673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</row>
    <row r="674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</row>
    <row r="67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</row>
    <row r="676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</row>
    <row r="677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</row>
    <row r="678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</row>
    <row r="679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</row>
    <row r="680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</row>
    <row r="68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</row>
    <row r="682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</row>
    <row r="683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</row>
    <row r="684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</row>
    <row r="68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</row>
    <row r="686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</row>
    <row r="687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</row>
    <row r="688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</row>
    <row r="689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</row>
    <row r="690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</row>
    <row r="69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</row>
    <row r="692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</row>
    <row r="693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</row>
    <row r="694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</row>
    <row r="69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</row>
    <row r="696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</row>
    <row r="697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</row>
    <row r="698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</row>
    <row r="699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</row>
    <row r="700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</row>
    <row r="70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</row>
    <row r="702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</row>
    <row r="703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</row>
    <row r="704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</row>
    <row r="70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</row>
    <row r="706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</row>
    <row r="707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</row>
    <row r="708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</row>
    <row r="709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</row>
    <row r="710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</row>
    <row r="71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</row>
    <row r="712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</row>
    <row r="713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</row>
    <row r="714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</row>
    <row r="71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</row>
    <row r="716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</row>
    <row r="717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</row>
    <row r="718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</row>
    <row r="719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</row>
    <row r="720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</row>
    <row r="72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</row>
    <row r="722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</row>
    <row r="723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</row>
    <row r="724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</row>
    <row r="7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</row>
    <row r="726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</row>
    <row r="727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</row>
    <row r="728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</row>
    <row r="729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</row>
    <row r="730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</row>
    <row r="73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</row>
    <row r="732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</row>
    <row r="733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</row>
    <row r="734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</row>
    <row r="73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</row>
    <row r="736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</row>
    <row r="737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</row>
    <row r="738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</row>
    <row r="739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</row>
    <row r="740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</row>
    <row r="74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</row>
    <row r="742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</row>
    <row r="743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</row>
    <row r="744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</row>
    <row r="745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</row>
    <row r="746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</row>
    <row r="747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</row>
    <row r="748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</row>
    <row r="749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</row>
    <row r="750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</row>
    <row r="75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</row>
    <row r="752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</row>
    <row r="753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</row>
    <row r="754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</row>
    <row r="755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</row>
    <row r="756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</row>
    <row r="757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</row>
    <row r="758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</row>
    <row r="759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</row>
    <row r="760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</row>
    <row r="76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</row>
    <row r="762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</row>
    <row r="763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</row>
    <row r="764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</row>
    <row r="765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</row>
    <row r="766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</row>
    <row r="767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</row>
    <row r="768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</row>
    <row r="769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</row>
    <row r="770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</row>
    <row r="77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</row>
    <row r="772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</row>
    <row r="773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</row>
    <row r="774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</row>
    <row r="775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</row>
    <row r="776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</row>
    <row r="777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</row>
    <row r="778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</row>
    <row r="779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</row>
    <row r="780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</row>
    <row r="78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</row>
    <row r="782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</row>
    <row r="783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</row>
    <row r="784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</row>
    <row r="785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</row>
    <row r="786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</row>
    <row r="787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</row>
    <row r="788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</row>
    <row r="789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</row>
    <row r="790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</row>
    <row r="79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</row>
    <row r="792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</row>
    <row r="793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</row>
    <row r="794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</row>
    <row r="795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</row>
    <row r="796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</row>
    <row r="797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</row>
    <row r="798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</row>
    <row r="799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</row>
    <row r="800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</row>
    <row r="80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</row>
    <row r="802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</row>
    <row r="803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</row>
    <row r="804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</row>
    <row r="805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</row>
    <row r="806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</row>
    <row r="807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</row>
    <row r="808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</row>
    <row r="809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</row>
    <row r="810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</row>
    <row r="81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</row>
    <row r="812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</row>
    <row r="813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</row>
    <row r="814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</row>
    <row r="815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</row>
    <row r="816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</row>
    <row r="817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</row>
    <row r="818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</row>
    <row r="819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</row>
    <row r="820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</row>
    <row r="82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</row>
    <row r="822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</row>
    <row r="823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</row>
    <row r="824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</row>
    <row r="825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</row>
    <row r="826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</row>
    <row r="827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</row>
    <row r="828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</row>
    <row r="829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</row>
    <row r="830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</row>
    <row r="83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</row>
    <row r="832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</row>
    <row r="833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</row>
    <row r="834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</row>
    <row r="835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</row>
    <row r="836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</row>
    <row r="837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</row>
    <row r="838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</row>
    <row r="839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</row>
    <row r="840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</row>
    <row r="84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</row>
    <row r="842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</row>
    <row r="843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</row>
    <row r="844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</row>
    <row r="845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</row>
    <row r="846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</row>
    <row r="847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</row>
    <row r="848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</row>
    <row r="849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</row>
    <row r="850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</row>
    <row r="85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</row>
    <row r="852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</row>
    <row r="853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</row>
    <row r="854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</row>
    <row r="855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</row>
    <row r="856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</row>
    <row r="857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</row>
    <row r="858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</row>
    <row r="859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</row>
    <row r="860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</row>
    <row r="86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</row>
    <row r="862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</row>
    <row r="863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</row>
    <row r="864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</row>
    <row r="865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</row>
    <row r="866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</row>
    <row r="867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</row>
    <row r="868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</row>
    <row r="869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</row>
    <row r="870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</row>
    <row r="87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</row>
    <row r="872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</row>
    <row r="873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</row>
    <row r="874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</row>
    <row r="875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</row>
    <row r="876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</row>
    <row r="877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</row>
    <row r="878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</row>
    <row r="879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</row>
    <row r="880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</row>
    <row r="88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</row>
    <row r="882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</row>
    <row r="883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</row>
    <row r="884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</row>
    <row r="885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</row>
    <row r="886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</row>
    <row r="887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</row>
    <row r="888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</row>
    <row r="889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</row>
    <row r="890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</row>
    <row r="89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</row>
    <row r="892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</row>
    <row r="893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</row>
    <row r="894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</row>
    <row r="895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</row>
    <row r="896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</row>
    <row r="897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</row>
    <row r="898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</row>
    <row r="899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</row>
    <row r="900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</row>
    <row r="90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</row>
    <row r="902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</row>
    <row r="903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</row>
    <row r="904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</row>
    <row r="905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</row>
    <row r="906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</row>
    <row r="907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</row>
    <row r="908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</row>
    <row r="909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</row>
    <row r="910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</row>
    <row r="91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</row>
    <row r="912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</row>
    <row r="913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</row>
    <row r="914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</row>
    <row r="915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</row>
    <row r="916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</row>
    <row r="917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</row>
    <row r="918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</row>
    <row r="919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</row>
    <row r="920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</row>
    <row r="92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</row>
    <row r="922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</row>
    <row r="923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</row>
    <row r="924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</row>
    <row r="925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</row>
    <row r="926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</row>
    <row r="927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</row>
    <row r="928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</row>
    <row r="929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</row>
    <row r="930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</row>
    <row r="93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</row>
    <row r="932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</row>
    <row r="933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</row>
    <row r="934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</row>
    <row r="935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</row>
    <row r="936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</row>
    <row r="937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</row>
    <row r="938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</row>
    <row r="939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</row>
    <row r="940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</row>
    <row r="94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</row>
    <row r="942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</row>
    <row r="943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</row>
    <row r="944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</row>
    <row r="945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</row>
    <row r="946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</row>
    <row r="947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</row>
    <row r="948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</row>
    <row r="949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</row>
    <row r="950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</row>
    <row r="95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</row>
    <row r="952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</row>
    <row r="953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</row>
    <row r="954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</row>
    <row r="955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</row>
    <row r="956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</row>
    <row r="957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</row>
    <row r="958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</row>
    <row r="959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</row>
    <row r="960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</row>
    <row r="96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</row>
    <row r="962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</row>
    <row r="963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</row>
    <row r="964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</row>
    <row r="965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</row>
    <row r="966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</row>
    <row r="967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</row>
    <row r="968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</row>
    <row r="969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</row>
    <row r="970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</row>
    <row r="97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</row>
    <row r="972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</row>
    <row r="973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</row>
    <row r="974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</row>
    <row r="975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</row>
    <row r="976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</row>
    <row r="977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</row>
    <row r="978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</row>
    <row r="979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</row>
    <row r="980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</row>
    <row r="98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</row>
    <row r="982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</row>
    <row r="983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</row>
    <row r="984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</row>
    <row r="985">
      <c r="A985" s="215"/>
      <c r="B985" s="215"/>
      <c r="C985" s="215"/>
      <c r="D985" s="215"/>
      <c r="E985" s="215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</row>
    <row r="986">
      <c r="A986" s="215"/>
      <c r="B986" s="215"/>
      <c r="C986" s="215"/>
      <c r="D986" s="215"/>
      <c r="E986" s="215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</row>
    <row r="987">
      <c r="A987" s="215"/>
      <c r="B987" s="215"/>
      <c r="C987" s="215"/>
      <c r="D987" s="215"/>
      <c r="E987" s="215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</row>
    <row r="988">
      <c r="A988" s="215"/>
      <c r="B988" s="215"/>
      <c r="C988" s="215"/>
      <c r="D988" s="215"/>
      <c r="E988" s="215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</row>
    <row r="989">
      <c r="A989" s="215"/>
      <c r="B989" s="215"/>
      <c r="C989" s="215"/>
      <c r="D989" s="215"/>
      <c r="E989" s="215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</row>
    <row r="990">
      <c r="A990" s="215"/>
      <c r="B990" s="215"/>
      <c r="C990" s="215"/>
      <c r="D990" s="215"/>
      <c r="E990" s="215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</row>
  </sheetData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2" t="s">
        <v>208</v>
      </c>
    </row>
    <row r="3">
      <c r="A3" s="122" t="s">
        <v>209</v>
      </c>
      <c r="E3" s="122" t="s">
        <v>210</v>
      </c>
    </row>
    <row r="4">
      <c r="A4" s="268" t="s">
        <v>27</v>
      </c>
      <c r="B4" s="269" t="s">
        <v>211</v>
      </c>
      <c r="C4" s="270"/>
      <c r="D4" s="269">
        <v>9.0</v>
      </c>
      <c r="E4" s="269"/>
      <c r="F4" s="271"/>
      <c r="G4" s="272"/>
      <c r="H4" s="272"/>
      <c r="I4" s="272"/>
      <c r="J4" s="272"/>
    </row>
    <row r="5">
      <c r="A5" s="273"/>
      <c r="B5" s="274" t="s">
        <v>212</v>
      </c>
      <c r="C5" s="275"/>
      <c r="D5" s="276">
        <v>15.0</v>
      </c>
      <c r="E5" s="276"/>
      <c r="F5" s="271"/>
      <c r="G5" s="272"/>
      <c r="H5" s="272"/>
      <c r="I5" s="272"/>
      <c r="J5" s="272"/>
    </row>
    <row r="6">
      <c r="A6" s="273"/>
      <c r="B6" s="274" t="s">
        <v>213</v>
      </c>
      <c r="C6" s="275"/>
      <c r="D6" s="276">
        <v>6.0</v>
      </c>
      <c r="E6" s="276"/>
      <c r="F6" s="271"/>
      <c r="G6" s="272"/>
      <c r="H6" s="272"/>
      <c r="I6" s="272"/>
      <c r="J6" s="272"/>
    </row>
    <row r="7">
      <c r="A7" s="273"/>
      <c r="B7" s="274" t="s">
        <v>214</v>
      </c>
      <c r="C7" s="275"/>
      <c r="D7" s="276">
        <v>6.0</v>
      </c>
      <c r="E7" s="276"/>
      <c r="F7" s="271"/>
      <c r="G7" s="272"/>
      <c r="H7" s="272"/>
      <c r="I7" s="272"/>
      <c r="J7" s="272"/>
    </row>
    <row r="8">
      <c r="A8" s="273"/>
      <c r="B8" s="277" t="s">
        <v>215</v>
      </c>
      <c r="C8" s="278"/>
      <c r="D8" s="279">
        <v>4.0</v>
      </c>
      <c r="E8" s="279"/>
      <c r="F8" s="271"/>
      <c r="G8" s="272"/>
      <c r="H8" s="272"/>
      <c r="I8" s="272"/>
      <c r="J8" s="272"/>
    </row>
    <row r="9">
      <c r="A9" s="280"/>
      <c r="B9" s="281" t="s">
        <v>75</v>
      </c>
      <c r="C9" s="282"/>
      <c r="D9" s="283">
        <f>SUM(D4:D8)</f>
        <v>40</v>
      </c>
      <c r="E9" s="284">
        <f>D9/D45</f>
        <v>0.2770083102</v>
      </c>
      <c r="F9" s="271"/>
      <c r="G9" s="272"/>
      <c r="H9" s="272"/>
      <c r="I9" s="272"/>
      <c r="J9" s="272"/>
    </row>
    <row r="10">
      <c r="A10" s="268" t="s">
        <v>34</v>
      </c>
      <c r="B10" s="269" t="s">
        <v>211</v>
      </c>
      <c r="C10" s="285"/>
      <c r="D10" s="286">
        <v>0.6</v>
      </c>
      <c r="E10" s="287"/>
    </row>
    <row r="11">
      <c r="A11" s="273"/>
      <c r="B11" s="274" t="s">
        <v>212</v>
      </c>
      <c r="C11" s="288"/>
      <c r="D11" s="289">
        <v>0.4</v>
      </c>
      <c r="E11" s="290"/>
    </row>
    <row r="12">
      <c r="A12" s="273"/>
      <c r="B12" s="274" t="s">
        <v>213</v>
      </c>
      <c r="C12" s="288"/>
      <c r="D12" s="289">
        <v>0.2</v>
      </c>
      <c r="E12" s="290"/>
    </row>
    <row r="13">
      <c r="A13" s="273"/>
      <c r="B13" s="274" t="s">
        <v>214</v>
      </c>
      <c r="C13" s="288"/>
      <c r="D13" s="289">
        <v>0.0</v>
      </c>
      <c r="E13" s="290"/>
    </row>
    <row r="14">
      <c r="A14" s="273"/>
      <c r="B14" s="277" t="s">
        <v>215</v>
      </c>
      <c r="C14" s="288"/>
      <c r="D14" s="289">
        <v>1.0</v>
      </c>
      <c r="E14" s="290"/>
    </row>
    <row r="15">
      <c r="A15" s="280"/>
      <c r="B15" s="171" t="s">
        <v>75</v>
      </c>
      <c r="C15" s="172"/>
      <c r="D15" s="172">
        <f>SUM(D10:D14)</f>
        <v>2.2</v>
      </c>
      <c r="E15" s="291">
        <f>D15/D45</f>
        <v>0.01523545706</v>
      </c>
    </row>
    <row r="16">
      <c r="A16" s="268" t="s">
        <v>29</v>
      </c>
      <c r="B16" s="269" t="s">
        <v>216</v>
      </c>
      <c r="C16" s="292"/>
      <c r="D16" s="292">
        <v>5.5</v>
      </c>
      <c r="E16" s="293"/>
      <c r="F16" s="294"/>
      <c r="G16" s="295"/>
      <c r="H16" s="295"/>
      <c r="I16" s="295"/>
    </row>
    <row r="17">
      <c r="A17" s="273"/>
      <c r="B17" s="274" t="s">
        <v>213</v>
      </c>
      <c r="C17" s="296"/>
      <c r="D17" s="296">
        <v>1.7</v>
      </c>
      <c r="E17" s="297"/>
      <c r="F17" s="294"/>
      <c r="G17" s="295"/>
      <c r="H17" s="295"/>
      <c r="I17" s="295"/>
    </row>
    <row r="18">
      <c r="A18" s="273"/>
      <c r="B18" s="274" t="s">
        <v>217</v>
      </c>
      <c r="C18" s="296"/>
      <c r="D18" s="296">
        <v>6.0</v>
      </c>
      <c r="E18" s="297"/>
      <c r="F18" s="294"/>
      <c r="G18" s="295"/>
      <c r="H18" s="295"/>
      <c r="I18" s="295"/>
    </row>
    <row r="19">
      <c r="A19" s="273"/>
      <c r="B19" s="274" t="s">
        <v>214</v>
      </c>
      <c r="C19" s="296"/>
      <c r="D19" s="296">
        <v>6.1</v>
      </c>
      <c r="E19" s="297"/>
      <c r="F19" s="294"/>
      <c r="G19" s="295"/>
      <c r="H19" s="295"/>
      <c r="I19" s="295"/>
    </row>
    <row r="20">
      <c r="A20" s="273"/>
      <c r="B20" s="274" t="s">
        <v>211</v>
      </c>
      <c r="C20" s="296"/>
      <c r="D20" s="296">
        <v>12.3</v>
      </c>
      <c r="E20" s="297"/>
      <c r="F20" s="294"/>
      <c r="G20" s="295"/>
      <c r="H20" s="295"/>
      <c r="I20" s="295"/>
    </row>
    <row r="21">
      <c r="A21" s="273"/>
      <c r="B21" s="277" t="s">
        <v>215</v>
      </c>
      <c r="C21" s="298"/>
      <c r="D21" s="298">
        <v>10.4</v>
      </c>
      <c r="E21" s="299"/>
      <c r="F21" s="294"/>
      <c r="G21" s="295"/>
      <c r="H21" s="295"/>
      <c r="I21" s="295"/>
    </row>
    <row r="22">
      <c r="A22" s="280"/>
      <c r="B22" s="171" t="s">
        <v>75</v>
      </c>
      <c r="C22" s="172"/>
      <c r="D22" s="172">
        <f>SUM(D16:D21)</f>
        <v>42</v>
      </c>
      <c r="E22" s="300">
        <f>D22/D45</f>
        <v>0.2908587258</v>
      </c>
      <c r="F22" s="301"/>
    </row>
    <row r="23">
      <c r="E23" s="302"/>
      <c r="F23" s="301"/>
    </row>
    <row r="24">
      <c r="A24" s="268" t="s">
        <v>25</v>
      </c>
      <c r="B24" s="303" t="s">
        <v>218</v>
      </c>
      <c r="C24" s="285"/>
      <c r="D24" s="285">
        <f>D37-D17-D12-D6</f>
        <v>2.1</v>
      </c>
      <c r="E24" s="304"/>
      <c r="F24" s="301"/>
    </row>
    <row r="25">
      <c r="A25" s="273"/>
      <c r="B25" s="274" t="s">
        <v>217</v>
      </c>
      <c r="C25" s="288"/>
      <c r="D25" s="288">
        <f>D38-D18-D11-D5</f>
        <v>2.6</v>
      </c>
      <c r="E25" s="305"/>
      <c r="F25" s="301"/>
    </row>
    <row r="26">
      <c r="A26" s="273"/>
      <c r="B26" s="274" t="s">
        <v>214</v>
      </c>
      <c r="C26" s="288"/>
      <c r="D26" s="288">
        <f>D39-D19-D7-D13</f>
        <v>0.9</v>
      </c>
      <c r="E26" s="305"/>
      <c r="F26" s="301"/>
    </row>
    <row r="27">
      <c r="A27" s="273"/>
      <c r="B27" s="306" t="s">
        <v>216</v>
      </c>
      <c r="C27" s="307"/>
      <c r="D27" s="307">
        <f>D40-D16</f>
        <v>0</v>
      </c>
      <c r="E27" s="305"/>
      <c r="F27" s="301"/>
    </row>
    <row r="28">
      <c r="A28" s="273"/>
      <c r="B28" s="308" t="s">
        <v>211</v>
      </c>
      <c r="C28" s="307"/>
      <c r="D28" s="307">
        <f>D41-D20-D4-D10</f>
        <v>0</v>
      </c>
      <c r="E28" s="305"/>
      <c r="F28" s="301"/>
    </row>
    <row r="29">
      <c r="A29" s="273"/>
      <c r="B29" s="277" t="s">
        <v>215</v>
      </c>
      <c r="C29" s="288"/>
      <c r="D29" s="289">
        <v>3.9</v>
      </c>
      <c r="E29" s="305"/>
      <c r="F29" s="301"/>
    </row>
    <row r="30">
      <c r="A30" s="280"/>
      <c r="B30" s="171" t="s">
        <v>75</v>
      </c>
      <c r="C30" s="172"/>
      <c r="D30" s="172">
        <f>sum(D24:D26,D29)</f>
        <v>9.5</v>
      </c>
      <c r="E30" s="300">
        <f>D30/D45</f>
        <v>0.06578947368</v>
      </c>
      <c r="F30" s="301"/>
    </row>
    <row r="31">
      <c r="A31" s="268" t="s">
        <v>26</v>
      </c>
      <c r="B31" s="286" t="s">
        <v>215</v>
      </c>
      <c r="C31" s="285"/>
      <c r="D31" s="285">
        <f>D42-D29-D21-D14-D8</f>
        <v>1.7</v>
      </c>
      <c r="E31" s="304"/>
      <c r="F31" s="301"/>
    </row>
    <row r="32">
      <c r="A32" s="268"/>
      <c r="B32" s="286" t="s">
        <v>219</v>
      </c>
      <c r="C32" s="285"/>
      <c r="D32" s="286">
        <v>21.0</v>
      </c>
      <c r="E32" s="304"/>
      <c r="F32" s="301"/>
    </row>
    <row r="33">
      <c r="A33" s="268"/>
      <c r="B33" s="309" t="s">
        <v>75</v>
      </c>
      <c r="C33" s="285"/>
      <c r="D33" s="286">
        <f>SUM(D31:D32)</f>
        <v>22.7</v>
      </c>
      <c r="E33" s="304">
        <f>D33/D45</f>
        <v>0.1572022161</v>
      </c>
      <c r="F33" s="301"/>
    </row>
    <row r="34">
      <c r="A34" s="268" t="s">
        <v>220</v>
      </c>
      <c r="B34" s="285" t="s">
        <v>36</v>
      </c>
      <c r="C34" s="285"/>
      <c r="D34" s="310">
        <v>10.0</v>
      </c>
      <c r="E34" s="304">
        <f t="shared" ref="E34:E36" si="1">D34/$D$45</f>
        <v>0.06925207756</v>
      </c>
      <c r="F34" s="311" t="s">
        <v>25</v>
      </c>
    </row>
    <row r="35">
      <c r="A35" s="280"/>
      <c r="B35" s="172" t="s">
        <v>37</v>
      </c>
      <c r="C35" s="172"/>
      <c r="D35" s="312">
        <v>11.0</v>
      </c>
      <c r="E35" s="304">
        <f t="shared" si="1"/>
        <v>0.07617728532</v>
      </c>
      <c r="F35" s="311" t="s">
        <v>26</v>
      </c>
    </row>
    <row r="36">
      <c r="A36" s="273"/>
      <c r="B36" s="288" t="s">
        <v>38</v>
      </c>
      <c r="C36" s="288"/>
      <c r="D36" s="312">
        <v>6.0</v>
      </c>
      <c r="E36" s="304">
        <f t="shared" si="1"/>
        <v>0.04155124654</v>
      </c>
      <c r="F36" s="311" t="s">
        <v>25</v>
      </c>
    </row>
    <row r="37">
      <c r="A37" s="268" t="s">
        <v>221</v>
      </c>
      <c r="B37" s="303" t="s">
        <v>218</v>
      </c>
      <c r="C37" s="313"/>
      <c r="D37" s="313">
        <v>10.0</v>
      </c>
      <c r="E37" s="313"/>
      <c r="F37" s="314"/>
      <c r="G37" s="315"/>
      <c r="H37" s="315"/>
      <c r="I37" s="315"/>
    </row>
    <row r="38">
      <c r="A38" s="273"/>
      <c r="B38" s="274" t="s">
        <v>217</v>
      </c>
      <c r="C38" s="316"/>
      <c r="D38" s="316">
        <v>24.0</v>
      </c>
      <c r="E38" s="316"/>
      <c r="F38" s="314"/>
      <c r="G38" s="315"/>
      <c r="H38" s="315"/>
      <c r="I38" s="315"/>
    </row>
    <row r="39">
      <c r="A39" s="273"/>
      <c r="B39" s="274" t="s">
        <v>214</v>
      </c>
      <c r="C39" s="316"/>
      <c r="D39" s="316">
        <v>13.0</v>
      </c>
      <c r="E39" s="316"/>
      <c r="F39" s="314"/>
      <c r="G39" s="315"/>
      <c r="H39" s="315"/>
      <c r="I39" s="315"/>
    </row>
    <row r="40">
      <c r="A40" s="273"/>
      <c r="B40" s="276" t="s">
        <v>216</v>
      </c>
      <c r="C40" s="316"/>
      <c r="D40" s="316">
        <f>sum(D16)</f>
        <v>5.5</v>
      </c>
      <c r="E40" s="316"/>
      <c r="F40" s="314"/>
      <c r="G40" s="315"/>
      <c r="H40" s="315"/>
      <c r="I40" s="315"/>
    </row>
    <row r="41">
      <c r="A41" s="273"/>
      <c r="B41" s="274" t="s">
        <v>211</v>
      </c>
      <c r="C41" s="316"/>
      <c r="D41" s="316">
        <f>SUM(D10,D20,D4)</f>
        <v>21.9</v>
      </c>
      <c r="E41" s="316"/>
      <c r="F41" s="314"/>
      <c r="G41" s="315"/>
      <c r="H41" s="315"/>
      <c r="I41" s="315"/>
    </row>
    <row r="42">
      <c r="A42" s="273"/>
      <c r="B42" s="274" t="s">
        <v>215</v>
      </c>
      <c r="C42" s="316"/>
      <c r="D42" s="316">
        <v>21.0</v>
      </c>
      <c r="E42" s="316"/>
      <c r="F42" s="314"/>
      <c r="G42" s="315"/>
      <c r="H42" s="315"/>
      <c r="I42" s="315"/>
    </row>
    <row r="43">
      <c r="A43" s="273"/>
      <c r="B43" s="274" t="s">
        <v>222</v>
      </c>
      <c r="C43" s="316"/>
      <c r="D43" s="317">
        <v>27.0</v>
      </c>
      <c r="E43" s="316"/>
      <c r="F43" s="314"/>
      <c r="G43" s="315"/>
      <c r="H43" s="315"/>
      <c r="I43" s="315"/>
    </row>
    <row r="44">
      <c r="A44" s="273"/>
      <c r="B44" s="274" t="s">
        <v>219</v>
      </c>
      <c r="C44" s="316"/>
      <c r="D44" s="317">
        <v>22.0</v>
      </c>
      <c r="E44" s="316"/>
      <c r="F44" s="315"/>
      <c r="G44" s="315"/>
      <c r="H44" s="315"/>
      <c r="I44" s="315"/>
    </row>
    <row r="45">
      <c r="A45" s="280"/>
      <c r="B45" s="171" t="s">
        <v>75</v>
      </c>
      <c r="C45" s="172"/>
      <c r="D45" s="172">
        <f>SUM(D37:D44)</f>
        <v>144.4</v>
      </c>
      <c r="E45" s="318">
        <f>SUM(E4:E43)</f>
        <v>0.9930747922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</cols>
  <sheetData>
    <row r="1">
      <c r="A1" s="319" t="s">
        <v>223</v>
      </c>
      <c r="B1" s="320" t="s">
        <v>224</v>
      </c>
      <c r="C1" s="320" t="s">
        <v>225</v>
      </c>
      <c r="D1" s="320" t="s">
        <v>226</v>
      </c>
      <c r="E1" s="320" t="s">
        <v>227</v>
      </c>
      <c r="F1" s="320" t="s">
        <v>228</v>
      </c>
      <c r="G1" s="320" t="s">
        <v>229</v>
      </c>
      <c r="H1" s="320" t="s">
        <v>230</v>
      </c>
      <c r="I1" s="320" t="s">
        <v>231</v>
      </c>
      <c r="J1" s="320" t="s">
        <v>232</v>
      </c>
      <c r="K1" s="320" t="s">
        <v>233</v>
      </c>
      <c r="L1" s="320" t="s">
        <v>234</v>
      </c>
      <c r="M1" s="320" t="s">
        <v>235</v>
      </c>
      <c r="N1" s="320" t="s">
        <v>75</v>
      </c>
    </row>
    <row r="2">
      <c r="A2" s="319" t="s">
        <v>236</v>
      </c>
      <c r="B2" s="320">
        <v>26510.0</v>
      </c>
      <c r="C2" s="320">
        <v>17284.0</v>
      </c>
      <c r="D2" s="320">
        <v>7.0</v>
      </c>
      <c r="E2" s="320">
        <v>2.0</v>
      </c>
      <c r="F2" s="320">
        <v>0.0</v>
      </c>
      <c r="G2" s="320">
        <v>0.0</v>
      </c>
      <c r="H2" s="320">
        <v>0.0</v>
      </c>
      <c r="I2" s="320">
        <v>0.0</v>
      </c>
      <c r="J2" s="320">
        <v>1.0</v>
      </c>
      <c r="K2" s="320">
        <v>4.0</v>
      </c>
      <c r="L2" s="320">
        <v>6.0</v>
      </c>
      <c r="M2" s="320">
        <v>26511.0</v>
      </c>
      <c r="N2" s="321">
        <f t="shared" ref="N2:N13" si="1">SUM(B2:M2)</f>
        <v>70325</v>
      </c>
    </row>
    <row r="3">
      <c r="A3" s="319" t="s">
        <v>237</v>
      </c>
      <c r="B3" s="320">
        <v>0.0</v>
      </c>
      <c r="C3" s="320">
        <v>0.0</v>
      </c>
      <c r="D3" s="320">
        <v>0.0</v>
      </c>
      <c r="E3" s="320">
        <v>0.0</v>
      </c>
      <c r="F3" s="320">
        <v>0.0</v>
      </c>
      <c r="G3" s="320">
        <v>0.0</v>
      </c>
      <c r="H3" s="320">
        <v>0.0</v>
      </c>
      <c r="I3" s="320">
        <v>0.0</v>
      </c>
      <c r="J3" s="320">
        <v>0.0</v>
      </c>
      <c r="K3" s="320">
        <v>0.0</v>
      </c>
      <c r="L3" s="320">
        <v>0.0</v>
      </c>
      <c r="M3" s="320">
        <v>0.0</v>
      </c>
      <c r="N3" s="321">
        <f t="shared" si="1"/>
        <v>0</v>
      </c>
    </row>
    <row r="4">
      <c r="A4" s="319" t="s">
        <v>238</v>
      </c>
      <c r="B4" s="320">
        <v>773.0</v>
      </c>
      <c r="C4" s="320">
        <v>599.0</v>
      </c>
      <c r="D4" s="320">
        <v>671.0</v>
      </c>
      <c r="E4" s="320">
        <v>419.0</v>
      </c>
      <c r="F4" s="320">
        <v>419.0</v>
      </c>
      <c r="G4" s="320">
        <v>322.0</v>
      </c>
      <c r="H4" s="320">
        <v>354.0</v>
      </c>
      <c r="I4" s="320">
        <v>321.0</v>
      </c>
      <c r="J4" s="320">
        <v>373.0</v>
      </c>
      <c r="K4" s="320">
        <v>664.0</v>
      </c>
      <c r="L4" s="320">
        <v>721.0</v>
      </c>
      <c r="M4" s="320">
        <v>807.0</v>
      </c>
      <c r="N4" s="321">
        <f t="shared" si="1"/>
        <v>6443</v>
      </c>
    </row>
    <row r="5">
      <c r="A5" s="319" t="s">
        <v>239</v>
      </c>
      <c r="B5" s="320">
        <v>2497.0</v>
      </c>
      <c r="C5" s="320">
        <v>2159.0</v>
      </c>
      <c r="D5" s="320">
        <v>2132.0</v>
      </c>
      <c r="E5" s="320">
        <v>2294.0</v>
      </c>
      <c r="F5" s="320">
        <v>3283.0</v>
      </c>
      <c r="G5" s="320">
        <v>4018.0</v>
      </c>
      <c r="H5" s="320">
        <v>4098.0</v>
      </c>
      <c r="I5" s="320">
        <v>3861.0</v>
      </c>
      <c r="J5" s="320">
        <v>3396.0</v>
      </c>
      <c r="K5" s="320">
        <v>2496.0</v>
      </c>
      <c r="L5" s="320">
        <v>2358.0</v>
      </c>
      <c r="M5" s="320">
        <v>2472.0</v>
      </c>
      <c r="N5" s="321">
        <f t="shared" si="1"/>
        <v>35064</v>
      </c>
    </row>
    <row r="6">
      <c r="A6" s="319" t="s">
        <v>240</v>
      </c>
      <c r="B6" s="320">
        <v>10553.0</v>
      </c>
      <c r="C6" s="320">
        <v>9532.0</v>
      </c>
      <c r="D6" s="320">
        <v>10553.0</v>
      </c>
      <c r="E6" s="320">
        <v>3334.0</v>
      </c>
      <c r="F6" s="320">
        <v>1193.0</v>
      </c>
      <c r="G6" s="320">
        <v>1257.0</v>
      </c>
      <c r="H6" s="320">
        <v>1135.0</v>
      </c>
      <c r="I6" s="320">
        <v>1299.0</v>
      </c>
      <c r="J6" s="320">
        <v>2214.0</v>
      </c>
      <c r="K6" s="320">
        <v>7147.0</v>
      </c>
      <c r="L6" s="320">
        <v>10025.0</v>
      </c>
      <c r="M6" s="320">
        <v>10553.0</v>
      </c>
      <c r="N6" s="321">
        <f t="shared" si="1"/>
        <v>68795</v>
      </c>
    </row>
    <row r="7">
      <c r="A7" s="319" t="s">
        <v>19</v>
      </c>
      <c r="B7" s="320">
        <v>0.0</v>
      </c>
      <c r="C7" s="320">
        <v>0.0</v>
      </c>
      <c r="D7" s="320">
        <v>0.0</v>
      </c>
      <c r="E7" s="320">
        <v>0.0</v>
      </c>
      <c r="F7" s="320">
        <v>0.0</v>
      </c>
      <c r="G7" s="320">
        <v>0.0</v>
      </c>
      <c r="H7" s="320">
        <v>0.0</v>
      </c>
      <c r="I7" s="320">
        <v>0.0</v>
      </c>
      <c r="J7" s="320">
        <v>0.0</v>
      </c>
      <c r="K7" s="320">
        <v>0.0</v>
      </c>
      <c r="L7" s="320">
        <v>0.0</v>
      </c>
      <c r="M7" s="320">
        <v>0.0</v>
      </c>
      <c r="N7" s="321">
        <f t="shared" si="1"/>
        <v>0</v>
      </c>
    </row>
    <row r="8">
      <c r="A8" s="319" t="s">
        <v>241</v>
      </c>
      <c r="B8" s="320">
        <v>0.0</v>
      </c>
      <c r="C8" s="320">
        <v>0.0</v>
      </c>
      <c r="D8" s="320">
        <v>0.0</v>
      </c>
      <c r="E8" s="320">
        <v>0.0</v>
      </c>
      <c r="F8" s="320">
        <v>0.0</v>
      </c>
      <c r="G8" s="320">
        <v>0.0</v>
      </c>
      <c r="H8" s="320">
        <v>0.0</v>
      </c>
      <c r="I8" s="320">
        <v>0.0</v>
      </c>
      <c r="J8" s="320">
        <v>0.0</v>
      </c>
      <c r="K8" s="320">
        <v>0.0</v>
      </c>
      <c r="L8" s="320">
        <v>0.0</v>
      </c>
      <c r="M8" s="320">
        <v>0.0</v>
      </c>
      <c r="N8" s="321">
        <f t="shared" si="1"/>
        <v>0</v>
      </c>
    </row>
    <row r="9">
      <c r="A9" s="319" t="s">
        <v>242</v>
      </c>
      <c r="B9" s="320">
        <v>5638.0</v>
      </c>
      <c r="C9" s="320">
        <v>5092.0</v>
      </c>
      <c r="D9" s="320">
        <v>5638.0</v>
      </c>
      <c r="E9" s="320">
        <v>5456.0</v>
      </c>
      <c r="F9" s="320">
        <v>2472.0</v>
      </c>
      <c r="G9" s="320">
        <v>107.0</v>
      </c>
      <c r="H9" s="320">
        <v>5638.0</v>
      </c>
      <c r="I9" s="320">
        <v>4128.0</v>
      </c>
      <c r="J9" s="320">
        <v>5456.0</v>
      </c>
      <c r="K9" s="320">
        <v>5638.0</v>
      </c>
      <c r="L9" s="320">
        <v>5456.0</v>
      </c>
      <c r="M9" s="320">
        <v>5638.0</v>
      </c>
      <c r="N9" s="321">
        <f t="shared" si="1"/>
        <v>56357</v>
      </c>
    </row>
    <row r="10">
      <c r="A10" s="319" t="s">
        <v>243</v>
      </c>
      <c r="B10" s="320">
        <v>1922.0</v>
      </c>
      <c r="C10" s="320">
        <v>1569.0</v>
      </c>
      <c r="D10" s="320">
        <v>594.0</v>
      </c>
      <c r="E10" s="320">
        <v>0.0</v>
      </c>
      <c r="F10" s="320">
        <v>0.0</v>
      </c>
      <c r="G10" s="320">
        <v>455.0</v>
      </c>
      <c r="H10" s="320">
        <v>0.0</v>
      </c>
      <c r="I10" s="320">
        <v>0.0</v>
      </c>
      <c r="J10" s="320">
        <v>0.0</v>
      </c>
      <c r="K10" s="320">
        <v>883.0</v>
      </c>
      <c r="L10" s="320">
        <v>2246.0</v>
      </c>
      <c r="M10" s="320">
        <v>2484.0</v>
      </c>
      <c r="N10" s="321">
        <f t="shared" si="1"/>
        <v>10153</v>
      </c>
    </row>
    <row r="11">
      <c r="A11" s="319" t="s">
        <v>244</v>
      </c>
      <c r="B11" s="320">
        <v>0.0</v>
      </c>
      <c r="C11" s="320">
        <v>0.0</v>
      </c>
      <c r="D11" s="320">
        <v>0.0</v>
      </c>
      <c r="E11" s="320">
        <v>0.0</v>
      </c>
      <c r="F11" s="320">
        <v>0.0</v>
      </c>
      <c r="G11" s="320">
        <v>0.0</v>
      </c>
      <c r="H11" s="320">
        <v>0.0</v>
      </c>
      <c r="I11" s="320">
        <v>0.0</v>
      </c>
      <c r="J11" s="320">
        <v>0.0</v>
      </c>
      <c r="K11" s="320">
        <v>0.0</v>
      </c>
      <c r="L11" s="320">
        <v>0.0</v>
      </c>
      <c r="M11" s="320">
        <v>0.0</v>
      </c>
      <c r="N11" s="321">
        <f t="shared" si="1"/>
        <v>0</v>
      </c>
    </row>
    <row r="12">
      <c r="A12" s="319" t="s">
        <v>245</v>
      </c>
      <c r="B12" s="320">
        <v>0.0</v>
      </c>
      <c r="C12" s="320">
        <v>0.0</v>
      </c>
      <c r="D12" s="320">
        <v>0.0</v>
      </c>
      <c r="E12" s="320">
        <v>0.0</v>
      </c>
      <c r="F12" s="320">
        <v>0.0</v>
      </c>
      <c r="G12" s="320">
        <v>0.0</v>
      </c>
      <c r="H12" s="320">
        <v>0.0</v>
      </c>
      <c r="I12" s="320">
        <v>0.0</v>
      </c>
      <c r="J12" s="320">
        <v>0.0</v>
      </c>
      <c r="K12" s="320">
        <v>0.0</v>
      </c>
      <c r="L12" s="320">
        <v>0.0</v>
      </c>
      <c r="M12" s="320">
        <v>0.0</v>
      </c>
      <c r="N12" s="321">
        <f t="shared" si="1"/>
        <v>0</v>
      </c>
    </row>
    <row r="13">
      <c r="A13" s="319" t="s">
        <v>246</v>
      </c>
      <c r="B13" s="320">
        <v>0.0</v>
      </c>
      <c r="C13" s="320">
        <v>0.0</v>
      </c>
      <c r="D13" s="320">
        <v>0.0</v>
      </c>
      <c r="E13" s="320">
        <v>0.0</v>
      </c>
      <c r="F13" s="320">
        <v>0.0</v>
      </c>
      <c r="G13" s="320">
        <v>0.0</v>
      </c>
      <c r="H13" s="320">
        <v>0.0</v>
      </c>
      <c r="I13" s="320">
        <v>0.0</v>
      </c>
      <c r="J13" s="320">
        <v>0.0</v>
      </c>
      <c r="K13" s="320">
        <v>0.0</v>
      </c>
      <c r="L13" s="320">
        <v>0.0</v>
      </c>
      <c r="M13" s="320">
        <v>0.0</v>
      </c>
      <c r="N13" s="321">
        <f t="shared" si="1"/>
        <v>0</v>
      </c>
    </row>
    <row r="14">
      <c r="A14" s="319" t="s">
        <v>75</v>
      </c>
      <c r="B14" s="321">
        <f t="shared" ref="B14:N14" si="2">SUM(B2:B13)</f>
        <v>47893</v>
      </c>
      <c r="C14" s="321">
        <f t="shared" si="2"/>
        <v>36235</v>
      </c>
      <c r="D14" s="321">
        <f t="shared" si="2"/>
        <v>19595</v>
      </c>
      <c r="E14" s="321">
        <f t="shared" si="2"/>
        <v>11505</v>
      </c>
      <c r="F14" s="321">
        <f t="shared" si="2"/>
        <v>7367</v>
      </c>
      <c r="G14" s="321">
        <f t="shared" si="2"/>
        <v>6159</v>
      </c>
      <c r="H14" s="321">
        <f t="shared" si="2"/>
        <v>11225</v>
      </c>
      <c r="I14" s="321">
        <f t="shared" si="2"/>
        <v>9609</v>
      </c>
      <c r="J14" s="321">
        <f t="shared" si="2"/>
        <v>11440</v>
      </c>
      <c r="K14" s="321">
        <f t="shared" si="2"/>
        <v>16832</v>
      </c>
      <c r="L14" s="321">
        <f t="shared" si="2"/>
        <v>20812</v>
      </c>
      <c r="M14" s="321">
        <f t="shared" si="2"/>
        <v>48465</v>
      </c>
      <c r="N14" s="322">
        <f t="shared" si="2"/>
        <v>247137</v>
      </c>
    </row>
    <row r="15">
      <c r="A15" s="7"/>
    </row>
    <row r="16">
      <c r="A16" s="323" t="s">
        <v>247</v>
      </c>
      <c r="B16" s="324" t="s">
        <v>224</v>
      </c>
      <c r="C16" s="324" t="s">
        <v>225</v>
      </c>
      <c r="D16" s="324" t="s">
        <v>226</v>
      </c>
      <c r="E16" s="324" t="s">
        <v>227</v>
      </c>
      <c r="F16" s="324" t="s">
        <v>228</v>
      </c>
      <c r="G16" s="324" t="s">
        <v>229</v>
      </c>
      <c r="H16" s="324" t="s">
        <v>230</v>
      </c>
      <c r="I16" s="324" t="s">
        <v>231</v>
      </c>
      <c r="J16" s="324" t="s">
        <v>232</v>
      </c>
      <c r="K16" s="324" t="s">
        <v>233</v>
      </c>
      <c r="L16" s="324" t="s">
        <v>234</v>
      </c>
      <c r="M16" s="324" t="s">
        <v>235</v>
      </c>
      <c r="N16" s="324" t="s">
        <v>183</v>
      </c>
    </row>
    <row r="17">
      <c r="A17" s="325" t="s">
        <v>236</v>
      </c>
      <c r="B17" s="326">
        <f t="shared" ref="B17:M17" si="3">B2*0.0036</f>
        <v>95.436</v>
      </c>
      <c r="C17" s="326">
        <f t="shared" si="3"/>
        <v>62.2224</v>
      </c>
      <c r="D17" s="326">
        <f t="shared" si="3"/>
        <v>0.0252</v>
      </c>
      <c r="E17" s="326">
        <f t="shared" si="3"/>
        <v>0.0072</v>
      </c>
      <c r="F17" s="326">
        <f t="shared" si="3"/>
        <v>0</v>
      </c>
      <c r="G17" s="326">
        <f t="shared" si="3"/>
        <v>0</v>
      </c>
      <c r="H17" s="326">
        <f t="shared" si="3"/>
        <v>0</v>
      </c>
      <c r="I17" s="326">
        <f t="shared" si="3"/>
        <v>0</v>
      </c>
      <c r="J17" s="326">
        <f t="shared" si="3"/>
        <v>0.0036</v>
      </c>
      <c r="K17" s="326">
        <f t="shared" si="3"/>
        <v>0.0144</v>
      </c>
      <c r="L17" s="326">
        <f t="shared" si="3"/>
        <v>0.0216</v>
      </c>
      <c r="M17" s="326">
        <f t="shared" si="3"/>
        <v>95.4396</v>
      </c>
      <c r="N17" s="326">
        <f t="shared" ref="N17:N28" si="5">SUM(B17:M17)</f>
        <v>253.17</v>
      </c>
    </row>
    <row r="18">
      <c r="A18" s="325" t="s">
        <v>237</v>
      </c>
      <c r="B18" s="326">
        <f t="shared" ref="B18:M18" si="4">B3*0.0036</f>
        <v>0</v>
      </c>
      <c r="C18" s="326">
        <f t="shared" si="4"/>
        <v>0</v>
      </c>
      <c r="D18" s="326">
        <f t="shared" si="4"/>
        <v>0</v>
      </c>
      <c r="E18" s="326">
        <f t="shared" si="4"/>
        <v>0</v>
      </c>
      <c r="F18" s="326">
        <f t="shared" si="4"/>
        <v>0</v>
      </c>
      <c r="G18" s="326">
        <f t="shared" si="4"/>
        <v>0</v>
      </c>
      <c r="H18" s="326">
        <f t="shared" si="4"/>
        <v>0</v>
      </c>
      <c r="I18" s="326">
        <f t="shared" si="4"/>
        <v>0</v>
      </c>
      <c r="J18" s="326">
        <f t="shared" si="4"/>
        <v>0</v>
      </c>
      <c r="K18" s="326">
        <f t="shared" si="4"/>
        <v>0</v>
      </c>
      <c r="L18" s="326">
        <f t="shared" si="4"/>
        <v>0</v>
      </c>
      <c r="M18" s="326">
        <f t="shared" si="4"/>
        <v>0</v>
      </c>
      <c r="N18" s="326">
        <f t="shared" si="5"/>
        <v>0</v>
      </c>
    </row>
    <row r="19">
      <c r="A19" s="325" t="s">
        <v>238</v>
      </c>
      <c r="B19" s="326">
        <f t="shared" ref="B19:M19" si="6">B4*0.0036</f>
        <v>2.7828</v>
      </c>
      <c r="C19" s="326">
        <f t="shared" si="6"/>
        <v>2.1564</v>
      </c>
      <c r="D19" s="326">
        <f t="shared" si="6"/>
        <v>2.4156</v>
      </c>
      <c r="E19" s="326">
        <f t="shared" si="6"/>
        <v>1.5084</v>
      </c>
      <c r="F19" s="326">
        <f t="shared" si="6"/>
        <v>1.5084</v>
      </c>
      <c r="G19" s="326">
        <f t="shared" si="6"/>
        <v>1.1592</v>
      </c>
      <c r="H19" s="326">
        <f t="shared" si="6"/>
        <v>1.2744</v>
      </c>
      <c r="I19" s="326">
        <f t="shared" si="6"/>
        <v>1.1556</v>
      </c>
      <c r="J19" s="326">
        <f t="shared" si="6"/>
        <v>1.3428</v>
      </c>
      <c r="K19" s="326">
        <f t="shared" si="6"/>
        <v>2.3904</v>
      </c>
      <c r="L19" s="326">
        <f t="shared" si="6"/>
        <v>2.5956</v>
      </c>
      <c r="M19" s="326">
        <f t="shared" si="6"/>
        <v>2.9052</v>
      </c>
      <c r="N19" s="326">
        <f t="shared" si="5"/>
        <v>23.1948</v>
      </c>
    </row>
    <row r="20">
      <c r="A20" s="325" t="s">
        <v>239</v>
      </c>
      <c r="B20" s="326">
        <f t="shared" ref="B20:M20" si="7">B5*0.0036</f>
        <v>8.9892</v>
      </c>
      <c r="C20" s="326">
        <f t="shared" si="7"/>
        <v>7.7724</v>
      </c>
      <c r="D20" s="326">
        <f t="shared" si="7"/>
        <v>7.6752</v>
      </c>
      <c r="E20" s="326">
        <f t="shared" si="7"/>
        <v>8.2584</v>
      </c>
      <c r="F20" s="326">
        <f t="shared" si="7"/>
        <v>11.8188</v>
      </c>
      <c r="G20" s="326">
        <f t="shared" si="7"/>
        <v>14.4648</v>
      </c>
      <c r="H20" s="326">
        <f t="shared" si="7"/>
        <v>14.7528</v>
      </c>
      <c r="I20" s="326">
        <f t="shared" si="7"/>
        <v>13.8996</v>
      </c>
      <c r="J20" s="326">
        <f t="shared" si="7"/>
        <v>12.2256</v>
      </c>
      <c r="K20" s="326">
        <f t="shared" si="7"/>
        <v>8.9856</v>
      </c>
      <c r="L20" s="326">
        <f t="shared" si="7"/>
        <v>8.4888</v>
      </c>
      <c r="M20" s="326">
        <f t="shared" si="7"/>
        <v>8.8992</v>
      </c>
      <c r="N20" s="326">
        <f t="shared" si="5"/>
        <v>126.2304</v>
      </c>
    </row>
    <row r="21">
      <c r="A21" s="325" t="s">
        <v>240</v>
      </c>
      <c r="B21" s="326">
        <f t="shared" ref="B21:M21" si="8">B6*0.0036</f>
        <v>37.9908</v>
      </c>
      <c r="C21" s="326">
        <f t="shared" si="8"/>
        <v>34.3152</v>
      </c>
      <c r="D21" s="326">
        <f t="shared" si="8"/>
        <v>37.9908</v>
      </c>
      <c r="E21" s="326">
        <f t="shared" si="8"/>
        <v>12.0024</v>
      </c>
      <c r="F21" s="326">
        <f t="shared" si="8"/>
        <v>4.2948</v>
      </c>
      <c r="G21" s="326">
        <f t="shared" si="8"/>
        <v>4.5252</v>
      </c>
      <c r="H21" s="326">
        <f t="shared" si="8"/>
        <v>4.086</v>
      </c>
      <c r="I21" s="326">
        <f t="shared" si="8"/>
        <v>4.6764</v>
      </c>
      <c r="J21" s="326">
        <f t="shared" si="8"/>
        <v>7.9704</v>
      </c>
      <c r="K21" s="326">
        <f t="shared" si="8"/>
        <v>25.7292</v>
      </c>
      <c r="L21" s="326">
        <f t="shared" si="8"/>
        <v>36.09</v>
      </c>
      <c r="M21" s="326">
        <f t="shared" si="8"/>
        <v>37.9908</v>
      </c>
      <c r="N21" s="326">
        <f t="shared" si="5"/>
        <v>247.662</v>
      </c>
    </row>
    <row r="22">
      <c r="A22" s="325" t="s">
        <v>19</v>
      </c>
      <c r="B22" s="326">
        <f t="shared" ref="B22:M22" si="9">B7*0.0036</f>
        <v>0</v>
      </c>
      <c r="C22" s="326">
        <f t="shared" si="9"/>
        <v>0</v>
      </c>
      <c r="D22" s="326">
        <f t="shared" si="9"/>
        <v>0</v>
      </c>
      <c r="E22" s="326">
        <f t="shared" si="9"/>
        <v>0</v>
      </c>
      <c r="F22" s="326">
        <f t="shared" si="9"/>
        <v>0</v>
      </c>
      <c r="G22" s="326">
        <f t="shared" si="9"/>
        <v>0</v>
      </c>
      <c r="H22" s="326">
        <f t="shared" si="9"/>
        <v>0</v>
      </c>
      <c r="I22" s="326">
        <f t="shared" si="9"/>
        <v>0</v>
      </c>
      <c r="J22" s="326">
        <f t="shared" si="9"/>
        <v>0</v>
      </c>
      <c r="K22" s="326">
        <f t="shared" si="9"/>
        <v>0</v>
      </c>
      <c r="L22" s="326">
        <f t="shared" si="9"/>
        <v>0</v>
      </c>
      <c r="M22" s="326">
        <f t="shared" si="9"/>
        <v>0</v>
      </c>
      <c r="N22" s="326">
        <f t="shared" si="5"/>
        <v>0</v>
      </c>
    </row>
    <row r="23">
      <c r="A23" s="325" t="s">
        <v>241</v>
      </c>
      <c r="B23" s="326">
        <f t="shared" ref="B23:M23" si="10">B8*0.0036</f>
        <v>0</v>
      </c>
      <c r="C23" s="326">
        <f t="shared" si="10"/>
        <v>0</v>
      </c>
      <c r="D23" s="326">
        <f t="shared" si="10"/>
        <v>0</v>
      </c>
      <c r="E23" s="326">
        <f t="shared" si="10"/>
        <v>0</v>
      </c>
      <c r="F23" s="326">
        <f t="shared" si="10"/>
        <v>0</v>
      </c>
      <c r="G23" s="326">
        <f t="shared" si="10"/>
        <v>0</v>
      </c>
      <c r="H23" s="326">
        <f t="shared" si="10"/>
        <v>0</v>
      </c>
      <c r="I23" s="326">
        <f t="shared" si="10"/>
        <v>0</v>
      </c>
      <c r="J23" s="326">
        <f t="shared" si="10"/>
        <v>0</v>
      </c>
      <c r="K23" s="326">
        <f t="shared" si="10"/>
        <v>0</v>
      </c>
      <c r="L23" s="326">
        <f t="shared" si="10"/>
        <v>0</v>
      </c>
      <c r="M23" s="326">
        <f t="shared" si="10"/>
        <v>0</v>
      </c>
      <c r="N23" s="326">
        <f t="shared" si="5"/>
        <v>0</v>
      </c>
    </row>
    <row r="24">
      <c r="A24" s="325" t="s">
        <v>242</v>
      </c>
      <c r="B24" s="326">
        <f t="shared" ref="B24:M24" si="11">B9*0.0036</f>
        <v>20.2968</v>
      </c>
      <c r="C24" s="326">
        <f t="shared" si="11"/>
        <v>18.3312</v>
      </c>
      <c r="D24" s="326">
        <f t="shared" si="11"/>
        <v>20.2968</v>
      </c>
      <c r="E24" s="326">
        <f t="shared" si="11"/>
        <v>19.6416</v>
      </c>
      <c r="F24" s="326">
        <f t="shared" si="11"/>
        <v>8.8992</v>
      </c>
      <c r="G24" s="326">
        <f t="shared" si="11"/>
        <v>0.3852</v>
      </c>
      <c r="H24" s="326">
        <f t="shared" si="11"/>
        <v>20.2968</v>
      </c>
      <c r="I24" s="326">
        <f t="shared" si="11"/>
        <v>14.8608</v>
      </c>
      <c r="J24" s="326">
        <f t="shared" si="11"/>
        <v>19.6416</v>
      </c>
      <c r="K24" s="326">
        <f t="shared" si="11"/>
        <v>20.2968</v>
      </c>
      <c r="L24" s="326">
        <f t="shared" si="11"/>
        <v>19.6416</v>
      </c>
      <c r="M24" s="326">
        <f t="shared" si="11"/>
        <v>20.2968</v>
      </c>
      <c r="N24" s="326">
        <f t="shared" si="5"/>
        <v>202.8852</v>
      </c>
    </row>
    <row r="25">
      <c r="A25" s="325" t="s">
        <v>243</v>
      </c>
      <c r="B25" s="326">
        <f t="shared" ref="B25:M25" si="12">B10*0.0036</f>
        <v>6.9192</v>
      </c>
      <c r="C25" s="326">
        <f t="shared" si="12"/>
        <v>5.6484</v>
      </c>
      <c r="D25" s="326">
        <f t="shared" si="12"/>
        <v>2.1384</v>
      </c>
      <c r="E25" s="326">
        <f t="shared" si="12"/>
        <v>0</v>
      </c>
      <c r="F25" s="326">
        <f t="shared" si="12"/>
        <v>0</v>
      </c>
      <c r="G25" s="326">
        <f t="shared" si="12"/>
        <v>1.638</v>
      </c>
      <c r="H25" s="326">
        <f t="shared" si="12"/>
        <v>0</v>
      </c>
      <c r="I25" s="326">
        <f t="shared" si="12"/>
        <v>0</v>
      </c>
      <c r="J25" s="326">
        <f t="shared" si="12"/>
        <v>0</v>
      </c>
      <c r="K25" s="326">
        <f t="shared" si="12"/>
        <v>3.1788</v>
      </c>
      <c r="L25" s="326">
        <f t="shared" si="12"/>
        <v>8.0856</v>
      </c>
      <c r="M25" s="326">
        <f t="shared" si="12"/>
        <v>8.9424</v>
      </c>
      <c r="N25" s="326">
        <f t="shared" si="5"/>
        <v>36.5508</v>
      </c>
    </row>
    <row r="26">
      <c r="A26" s="325" t="s">
        <v>244</v>
      </c>
      <c r="B26" s="326">
        <f t="shared" ref="B26:M26" si="13">B11*0.0036</f>
        <v>0</v>
      </c>
      <c r="C26" s="326">
        <f t="shared" si="13"/>
        <v>0</v>
      </c>
      <c r="D26" s="326">
        <f t="shared" si="13"/>
        <v>0</v>
      </c>
      <c r="E26" s="326">
        <f t="shared" si="13"/>
        <v>0</v>
      </c>
      <c r="F26" s="326">
        <f t="shared" si="13"/>
        <v>0</v>
      </c>
      <c r="G26" s="326">
        <f t="shared" si="13"/>
        <v>0</v>
      </c>
      <c r="H26" s="326">
        <f t="shared" si="13"/>
        <v>0</v>
      </c>
      <c r="I26" s="326">
        <f t="shared" si="13"/>
        <v>0</v>
      </c>
      <c r="J26" s="326">
        <f t="shared" si="13"/>
        <v>0</v>
      </c>
      <c r="K26" s="326">
        <f t="shared" si="13"/>
        <v>0</v>
      </c>
      <c r="L26" s="326">
        <f t="shared" si="13"/>
        <v>0</v>
      </c>
      <c r="M26" s="326">
        <f t="shared" si="13"/>
        <v>0</v>
      </c>
      <c r="N26" s="326">
        <f t="shared" si="5"/>
        <v>0</v>
      </c>
    </row>
    <row r="27">
      <c r="A27" s="325" t="s">
        <v>245</v>
      </c>
      <c r="B27" s="326">
        <f t="shared" ref="B27:M27" si="14">B12*0.0036</f>
        <v>0</v>
      </c>
      <c r="C27" s="326">
        <f t="shared" si="14"/>
        <v>0</v>
      </c>
      <c r="D27" s="326">
        <f t="shared" si="14"/>
        <v>0</v>
      </c>
      <c r="E27" s="326">
        <f t="shared" si="14"/>
        <v>0</v>
      </c>
      <c r="F27" s="326">
        <f t="shared" si="14"/>
        <v>0</v>
      </c>
      <c r="G27" s="326">
        <f t="shared" si="14"/>
        <v>0</v>
      </c>
      <c r="H27" s="326">
        <f t="shared" si="14"/>
        <v>0</v>
      </c>
      <c r="I27" s="326">
        <f t="shared" si="14"/>
        <v>0</v>
      </c>
      <c r="J27" s="326">
        <f t="shared" si="14"/>
        <v>0</v>
      </c>
      <c r="K27" s="326">
        <f t="shared" si="14"/>
        <v>0</v>
      </c>
      <c r="L27" s="326">
        <f t="shared" si="14"/>
        <v>0</v>
      </c>
      <c r="M27" s="326">
        <f t="shared" si="14"/>
        <v>0</v>
      </c>
      <c r="N27" s="326">
        <f t="shared" si="5"/>
        <v>0</v>
      </c>
    </row>
    <row r="28">
      <c r="A28" s="325" t="s">
        <v>246</v>
      </c>
      <c r="B28" s="326">
        <f t="shared" ref="B28:M28" si="15">B13*0.0036</f>
        <v>0</v>
      </c>
      <c r="C28" s="326">
        <f t="shared" si="15"/>
        <v>0</v>
      </c>
      <c r="D28" s="326">
        <f t="shared" si="15"/>
        <v>0</v>
      </c>
      <c r="E28" s="326">
        <f t="shared" si="15"/>
        <v>0</v>
      </c>
      <c r="F28" s="326">
        <f t="shared" si="15"/>
        <v>0</v>
      </c>
      <c r="G28" s="326">
        <f t="shared" si="15"/>
        <v>0</v>
      </c>
      <c r="H28" s="326">
        <f t="shared" si="15"/>
        <v>0</v>
      </c>
      <c r="I28" s="326">
        <f t="shared" si="15"/>
        <v>0</v>
      </c>
      <c r="J28" s="326">
        <f t="shared" si="15"/>
        <v>0</v>
      </c>
      <c r="K28" s="326">
        <f t="shared" si="15"/>
        <v>0</v>
      </c>
      <c r="L28" s="326">
        <f t="shared" si="15"/>
        <v>0</v>
      </c>
      <c r="M28" s="326">
        <f t="shared" si="15"/>
        <v>0</v>
      </c>
      <c r="N28" s="326">
        <f t="shared" si="5"/>
        <v>0</v>
      </c>
    </row>
    <row r="29">
      <c r="A29" s="325" t="s">
        <v>75</v>
      </c>
      <c r="B29" s="326">
        <f t="shared" ref="B29:N29" si="16">SUM(B17:B28)</f>
        <v>172.4148</v>
      </c>
      <c r="C29" s="326">
        <f t="shared" si="16"/>
        <v>130.446</v>
      </c>
      <c r="D29" s="326">
        <f t="shared" si="16"/>
        <v>70.542</v>
      </c>
      <c r="E29" s="326">
        <f t="shared" si="16"/>
        <v>41.418</v>
      </c>
      <c r="F29" s="326">
        <f t="shared" si="16"/>
        <v>26.5212</v>
      </c>
      <c r="G29" s="326">
        <f t="shared" si="16"/>
        <v>22.1724</v>
      </c>
      <c r="H29" s="326">
        <f t="shared" si="16"/>
        <v>40.41</v>
      </c>
      <c r="I29" s="326">
        <f t="shared" si="16"/>
        <v>34.5924</v>
      </c>
      <c r="J29" s="326">
        <f t="shared" si="16"/>
        <v>41.184</v>
      </c>
      <c r="K29" s="326">
        <f t="shared" si="16"/>
        <v>60.5952</v>
      </c>
      <c r="L29" s="326">
        <f t="shared" si="16"/>
        <v>74.9232</v>
      </c>
      <c r="M29" s="326">
        <f t="shared" si="16"/>
        <v>174.474</v>
      </c>
      <c r="N29" s="327">
        <f t="shared" si="16"/>
        <v>889.6932</v>
      </c>
    </row>
    <row r="30">
      <c r="A30" s="7"/>
    </row>
    <row r="31">
      <c r="A31" s="7"/>
    </row>
    <row r="32">
      <c r="A32" s="319" t="s">
        <v>248</v>
      </c>
      <c r="B32" s="320" t="s">
        <v>224</v>
      </c>
      <c r="C32" s="320" t="s">
        <v>225</v>
      </c>
      <c r="D32" s="320" t="s">
        <v>226</v>
      </c>
      <c r="E32" s="320" t="s">
        <v>227</v>
      </c>
      <c r="F32" s="320" t="s">
        <v>228</v>
      </c>
      <c r="G32" s="320" t="s">
        <v>229</v>
      </c>
      <c r="H32" s="320" t="s">
        <v>230</v>
      </c>
      <c r="I32" s="320" t="s">
        <v>231</v>
      </c>
      <c r="J32" s="320" t="s">
        <v>232</v>
      </c>
      <c r="K32" s="320" t="s">
        <v>233</v>
      </c>
      <c r="L32" s="320" t="s">
        <v>234</v>
      </c>
      <c r="M32" s="320" t="s">
        <v>235</v>
      </c>
      <c r="N32" s="320" t="s">
        <v>75</v>
      </c>
    </row>
    <row r="33">
      <c r="A33" s="320" t="s">
        <v>249</v>
      </c>
      <c r="B33" s="328">
        <v>1449.0</v>
      </c>
      <c r="C33" s="328">
        <v>1199.0</v>
      </c>
      <c r="D33" s="328">
        <v>574.0</v>
      </c>
      <c r="E33" s="328">
        <v>0.0</v>
      </c>
      <c r="F33" s="328">
        <v>0.0</v>
      </c>
      <c r="G33" s="328">
        <v>0.0</v>
      </c>
      <c r="H33" s="328">
        <v>0.0</v>
      </c>
      <c r="I33" s="328">
        <v>0.0</v>
      </c>
      <c r="J33" s="328">
        <v>0.0</v>
      </c>
      <c r="K33" s="328">
        <v>0.0</v>
      </c>
      <c r="L33" s="328">
        <v>789.0</v>
      </c>
      <c r="M33" s="328">
        <v>1573.0</v>
      </c>
      <c r="N33" s="12">
        <f t="shared" ref="N33:N42" si="17">SUM(B33:M33)</f>
        <v>5584</v>
      </c>
    </row>
    <row r="34">
      <c r="A34" s="320" t="s">
        <v>242</v>
      </c>
      <c r="B34" s="328">
        <v>0.0</v>
      </c>
      <c r="C34" s="328">
        <v>0.0</v>
      </c>
      <c r="D34" s="328">
        <v>0.0</v>
      </c>
      <c r="E34" s="328">
        <v>0.0</v>
      </c>
      <c r="F34" s="328">
        <v>0.0</v>
      </c>
      <c r="G34" s="328">
        <v>0.0</v>
      </c>
      <c r="H34" s="328">
        <v>0.0</v>
      </c>
      <c r="I34" s="328">
        <v>0.0</v>
      </c>
      <c r="J34" s="328">
        <v>0.0</v>
      </c>
      <c r="K34" s="328">
        <v>0.0</v>
      </c>
      <c r="L34" s="328">
        <v>0.0</v>
      </c>
      <c r="M34" s="328">
        <v>0.0</v>
      </c>
      <c r="N34" s="12">
        <f t="shared" si="17"/>
        <v>0</v>
      </c>
    </row>
    <row r="35">
      <c r="A35" s="320" t="s">
        <v>244</v>
      </c>
      <c r="B35" s="328">
        <v>0.0</v>
      </c>
      <c r="C35" s="328">
        <v>0.0</v>
      </c>
      <c r="D35" s="328">
        <v>0.0</v>
      </c>
      <c r="E35" s="328">
        <v>0.0</v>
      </c>
      <c r="F35" s="328">
        <v>0.0</v>
      </c>
      <c r="G35" s="328">
        <v>0.0</v>
      </c>
      <c r="H35" s="328">
        <v>0.0</v>
      </c>
      <c r="I35" s="328">
        <v>0.0</v>
      </c>
      <c r="J35" s="328">
        <v>0.0</v>
      </c>
      <c r="K35" s="328">
        <v>0.0</v>
      </c>
      <c r="L35" s="328">
        <v>0.0</v>
      </c>
      <c r="M35" s="328">
        <v>0.0</v>
      </c>
      <c r="N35" s="12">
        <f t="shared" si="17"/>
        <v>0</v>
      </c>
    </row>
    <row r="36">
      <c r="A36" s="320" t="s">
        <v>250</v>
      </c>
      <c r="B36" s="328">
        <v>0.0</v>
      </c>
      <c r="C36" s="328">
        <v>0.0</v>
      </c>
      <c r="D36" s="328">
        <v>0.0</v>
      </c>
      <c r="E36" s="328">
        <v>0.0</v>
      </c>
      <c r="F36" s="328">
        <v>0.0</v>
      </c>
      <c r="G36" s="328">
        <v>0.0</v>
      </c>
      <c r="H36" s="328">
        <v>0.0</v>
      </c>
      <c r="I36" s="328">
        <v>0.0</v>
      </c>
      <c r="J36" s="328">
        <v>0.0</v>
      </c>
      <c r="K36" s="328">
        <v>0.0</v>
      </c>
      <c r="L36" s="328">
        <v>0.0</v>
      </c>
      <c r="M36" s="328">
        <v>0.0</v>
      </c>
      <c r="N36" s="12">
        <f t="shared" si="17"/>
        <v>0</v>
      </c>
    </row>
    <row r="37">
      <c r="A37" s="320" t="s">
        <v>251</v>
      </c>
      <c r="B37" s="328">
        <v>116.0</v>
      </c>
      <c r="C37" s="328">
        <v>135.0</v>
      </c>
      <c r="D37" s="328">
        <v>131.0</v>
      </c>
      <c r="E37" s="328">
        <v>113.0</v>
      </c>
      <c r="F37" s="328">
        <v>116.0</v>
      </c>
      <c r="G37" s="328">
        <v>113.0</v>
      </c>
      <c r="H37" s="328">
        <v>116.0</v>
      </c>
      <c r="I37" s="328">
        <v>116.0</v>
      </c>
      <c r="J37" s="328">
        <v>113.0</v>
      </c>
      <c r="K37" s="328">
        <v>141.0</v>
      </c>
      <c r="L37" s="328">
        <v>139.0</v>
      </c>
      <c r="M37" s="328">
        <v>150.0</v>
      </c>
      <c r="N37" s="12">
        <f t="shared" si="17"/>
        <v>1499</v>
      </c>
    </row>
    <row r="38">
      <c r="A38" s="320" t="s">
        <v>237</v>
      </c>
      <c r="B38" s="328">
        <v>674.0</v>
      </c>
      <c r="C38" s="328">
        <v>1080.0</v>
      </c>
      <c r="D38" s="328">
        <v>1526.0</v>
      </c>
      <c r="E38" s="328">
        <v>1883.0</v>
      </c>
      <c r="F38" s="328">
        <v>1984.0</v>
      </c>
      <c r="G38" s="328">
        <v>1932.0</v>
      </c>
      <c r="H38" s="328">
        <v>2086.0</v>
      </c>
      <c r="I38" s="328">
        <v>1984.0</v>
      </c>
      <c r="J38" s="328">
        <v>1575.0</v>
      </c>
      <c r="K38" s="328">
        <v>1119.0</v>
      </c>
      <c r="L38" s="328">
        <v>640.0</v>
      </c>
      <c r="M38" s="328">
        <v>457.0</v>
      </c>
      <c r="N38" s="12">
        <f t="shared" si="17"/>
        <v>16940</v>
      </c>
    </row>
    <row r="39">
      <c r="A39" s="320" t="s">
        <v>252</v>
      </c>
      <c r="B39" s="328">
        <v>4836.0</v>
      </c>
      <c r="C39" s="328">
        <v>3749.0</v>
      </c>
      <c r="D39" s="328">
        <v>4196.0</v>
      </c>
      <c r="E39" s="328">
        <v>2620.0</v>
      </c>
      <c r="F39" s="328">
        <v>2618.0</v>
      </c>
      <c r="G39" s="328">
        <v>2016.0</v>
      </c>
      <c r="H39" s="328">
        <v>2217.0</v>
      </c>
      <c r="I39" s="328">
        <v>2008.0</v>
      </c>
      <c r="J39" s="328">
        <v>2332.0</v>
      </c>
      <c r="K39" s="328">
        <v>4151.0</v>
      </c>
      <c r="L39" s="328">
        <v>4507.0</v>
      </c>
      <c r="M39" s="328">
        <v>5044.0</v>
      </c>
      <c r="N39" s="12">
        <f t="shared" si="17"/>
        <v>40294</v>
      </c>
    </row>
    <row r="40">
      <c r="A40" s="320" t="s">
        <v>253</v>
      </c>
      <c r="B40" s="328">
        <v>1560.0</v>
      </c>
      <c r="C40" s="328">
        <v>1420.0</v>
      </c>
      <c r="D40" s="328">
        <v>1168.0</v>
      </c>
      <c r="E40" s="328">
        <v>962.0</v>
      </c>
      <c r="F40" s="328">
        <v>1318.0</v>
      </c>
      <c r="G40" s="328">
        <v>1678.0</v>
      </c>
      <c r="H40" s="328">
        <v>1666.0</v>
      </c>
      <c r="I40" s="328">
        <v>1610.0</v>
      </c>
      <c r="J40" s="328">
        <v>1732.0</v>
      </c>
      <c r="K40" s="328">
        <v>1318.0</v>
      </c>
      <c r="L40" s="328">
        <v>1305.0</v>
      </c>
      <c r="M40" s="328">
        <v>1405.0</v>
      </c>
      <c r="N40" s="12">
        <f t="shared" si="17"/>
        <v>17142</v>
      </c>
    </row>
    <row r="41">
      <c r="A41" s="320" t="s">
        <v>254</v>
      </c>
      <c r="B41" s="328">
        <v>853.0</v>
      </c>
      <c r="C41" s="328">
        <v>676.0</v>
      </c>
      <c r="D41" s="328">
        <v>870.0</v>
      </c>
      <c r="E41" s="328">
        <v>1192.0</v>
      </c>
      <c r="F41" s="328">
        <v>1758.0</v>
      </c>
      <c r="G41" s="328">
        <v>2095.0</v>
      </c>
      <c r="H41" s="328">
        <v>2176.0</v>
      </c>
      <c r="I41" s="328">
        <v>2015.0</v>
      </c>
      <c r="J41" s="328">
        <v>1499.0</v>
      </c>
      <c r="K41" s="328">
        <v>1063.0</v>
      </c>
      <c r="L41" s="328">
        <v>952.0</v>
      </c>
      <c r="M41" s="328">
        <v>966.0</v>
      </c>
      <c r="N41" s="12">
        <f t="shared" si="17"/>
        <v>16115</v>
      </c>
    </row>
    <row r="42">
      <c r="A42" s="320" t="s">
        <v>240</v>
      </c>
      <c r="B42" s="328">
        <v>0.0</v>
      </c>
      <c r="C42" s="328">
        <v>0.0</v>
      </c>
      <c r="D42" s="328">
        <v>0.0</v>
      </c>
      <c r="E42" s="328">
        <v>0.0</v>
      </c>
      <c r="F42" s="328">
        <v>0.0</v>
      </c>
      <c r="G42" s="328">
        <v>0.0</v>
      </c>
      <c r="H42" s="328">
        <v>0.0</v>
      </c>
      <c r="I42" s="328">
        <v>0.0</v>
      </c>
      <c r="J42" s="328">
        <v>0.0</v>
      </c>
      <c r="K42" s="328">
        <v>0.0</v>
      </c>
      <c r="L42" s="328">
        <v>0.0</v>
      </c>
      <c r="M42" s="328">
        <v>0.0</v>
      </c>
      <c r="N42" s="12">
        <f t="shared" si="17"/>
        <v>0</v>
      </c>
    </row>
    <row r="43">
      <c r="A43" s="319" t="s">
        <v>75</v>
      </c>
      <c r="B43" s="321">
        <f t="shared" ref="B43:N43" si="18">sum(B33:B42)</f>
        <v>9488</v>
      </c>
      <c r="C43" s="321">
        <f t="shared" si="18"/>
        <v>8259</v>
      </c>
      <c r="D43" s="321">
        <f t="shared" si="18"/>
        <v>8465</v>
      </c>
      <c r="E43" s="321">
        <f t="shared" si="18"/>
        <v>6770</v>
      </c>
      <c r="F43" s="321">
        <f t="shared" si="18"/>
        <v>7794</v>
      </c>
      <c r="G43" s="321">
        <f t="shared" si="18"/>
        <v>7834</v>
      </c>
      <c r="H43" s="321">
        <f t="shared" si="18"/>
        <v>8261</v>
      </c>
      <c r="I43" s="321">
        <f t="shared" si="18"/>
        <v>7733</v>
      </c>
      <c r="J43" s="321">
        <f t="shared" si="18"/>
        <v>7251</v>
      </c>
      <c r="K43" s="321">
        <f t="shared" si="18"/>
        <v>7792</v>
      </c>
      <c r="L43" s="321">
        <f t="shared" si="18"/>
        <v>8332</v>
      </c>
      <c r="M43" s="321">
        <f t="shared" si="18"/>
        <v>9595</v>
      </c>
      <c r="N43" s="322">
        <f t="shared" si="18"/>
        <v>97574</v>
      </c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329" t="s">
        <v>255</v>
      </c>
      <c r="B1" s="328" t="s">
        <v>256</v>
      </c>
      <c r="H1" s="330"/>
    </row>
    <row r="2">
      <c r="A2" s="331" t="s">
        <v>25</v>
      </c>
      <c r="B2" s="328">
        <v>1.0</v>
      </c>
      <c r="H2" s="330"/>
      <c r="J2" s="330"/>
    </row>
    <row r="3">
      <c r="A3" s="331" t="s">
        <v>54</v>
      </c>
      <c r="B3" s="328">
        <v>4.0</v>
      </c>
    </row>
    <row r="4">
      <c r="A4" s="331" t="s">
        <v>26</v>
      </c>
      <c r="B4" s="328">
        <v>0.0</v>
      </c>
    </row>
    <row r="5">
      <c r="A5" s="331" t="s">
        <v>29</v>
      </c>
      <c r="B5" s="328">
        <v>28.0</v>
      </c>
    </row>
    <row r="6">
      <c r="A6" s="331" t="s">
        <v>75</v>
      </c>
      <c r="B6" s="332">
        <f>SUM(B2:B5)</f>
        <v>33</v>
      </c>
    </row>
    <row r="7">
      <c r="K7" s="330"/>
    </row>
    <row r="8">
      <c r="A8" s="331" t="s">
        <v>257</v>
      </c>
      <c r="B8" s="333"/>
    </row>
    <row r="9">
      <c r="A9" s="331" t="s">
        <v>25</v>
      </c>
      <c r="B9" s="334">
        <f>B2/B6</f>
        <v>0.0303030303</v>
      </c>
    </row>
    <row r="10">
      <c r="A10" s="331" t="s">
        <v>54</v>
      </c>
      <c r="B10" s="334">
        <f>B3/B6</f>
        <v>0.1212121212</v>
      </c>
    </row>
    <row r="11">
      <c r="A11" s="331" t="s">
        <v>26</v>
      </c>
      <c r="B11" s="334">
        <f>B4/B6</f>
        <v>0</v>
      </c>
    </row>
    <row r="12">
      <c r="A12" s="331" t="s">
        <v>29</v>
      </c>
      <c r="B12" s="334">
        <f>B5/B6</f>
        <v>0.8484848485</v>
      </c>
    </row>
    <row r="15">
      <c r="A15" s="335"/>
      <c r="B15" s="336">
        <v>2000.0</v>
      </c>
      <c r="C15" s="336">
        <v>2010.0</v>
      </c>
      <c r="D15" s="336">
        <v>2020.0</v>
      </c>
      <c r="E15" s="336">
        <v>2030.0</v>
      </c>
      <c r="F15" s="336">
        <v>2040.0</v>
      </c>
      <c r="G15" s="336">
        <v>2050.0</v>
      </c>
    </row>
    <row r="16">
      <c r="A16" s="337" t="s">
        <v>258</v>
      </c>
      <c r="B16" s="338">
        <v>0.601</v>
      </c>
      <c r="C16" s="338">
        <v>0.491</v>
      </c>
      <c r="D16" s="338">
        <v>0.329</v>
      </c>
      <c r="E16" s="338">
        <v>0.159</v>
      </c>
      <c r="F16" s="338">
        <v>0.076</v>
      </c>
      <c r="G16" s="338">
        <v>0.01</v>
      </c>
    </row>
    <row r="17">
      <c r="A17" s="339" t="s">
        <v>259</v>
      </c>
      <c r="B17" s="338">
        <v>0.18</v>
      </c>
      <c r="C17" s="338">
        <v>0.239</v>
      </c>
      <c r="D17" s="338">
        <v>0.27</v>
      </c>
      <c r="E17" s="338">
        <v>0.237</v>
      </c>
      <c r="F17" s="338">
        <v>0.152</v>
      </c>
      <c r="G17" s="338">
        <v>0.058</v>
      </c>
    </row>
    <row r="18">
      <c r="A18" s="337" t="s">
        <v>106</v>
      </c>
      <c r="B18" s="338">
        <v>0.084</v>
      </c>
      <c r="C18" s="338">
        <v>0.081</v>
      </c>
      <c r="D18" s="338">
        <v>0.09</v>
      </c>
      <c r="E18" s="338">
        <v>0.077</v>
      </c>
      <c r="F18" s="338">
        <v>0.047</v>
      </c>
      <c r="G18" s="338">
        <v>0.028</v>
      </c>
    </row>
    <row r="19">
      <c r="A19" s="337" t="s">
        <v>260</v>
      </c>
      <c r="B19" s="338">
        <v>0.069</v>
      </c>
      <c r="C19" s="338">
        <v>0.065</v>
      </c>
      <c r="D19" s="338">
        <v>0.056</v>
      </c>
      <c r="E19" s="338">
        <v>0.036</v>
      </c>
      <c r="F19" s="338">
        <v>0.013</v>
      </c>
      <c r="G19" s="338">
        <v>0.002</v>
      </c>
    </row>
    <row r="20">
      <c r="A20" s="337" t="s">
        <v>261</v>
      </c>
      <c r="B20" s="338">
        <v>0.034</v>
      </c>
      <c r="C20" s="338">
        <v>0.083</v>
      </c>
      <c r="D20" s="338">
        <v>0.197</v>
      </c>
      <c r="E20" s="338">
        <v>0.391</v>
      </c>
      <c r="F20" s="338">
        <v>0.553</v>
      </c>
      <c r="G20" s="338">
        <v>0.676</v>
      </c>
    </row>
    <row r="21">
      <c r="A21" s="337" t="s">
        <v>262</v>
      </c>
      <c r="B21" s="338">
        <v>0.029</v>
      </c>
      <c r="C21" s="338">
        <v>0.041</v>
      </c>
      <c r="D21" s="338">
        <v>0.057</v>
      </c>
      <c r="E21" s="338">
        <v>0.1</v>
      </c>
      <c r="F21" s="338">
        <v>0.159</v>
      </c>
      <c r="G21" s="338">
        <v>0.227</v>
      </c>
    </row>
    <row r="22">
      <c r="A22" s="337" t="s">
        <v>263</v>
      </c>
      <c r="B22" s="338">
        <v>0.003</v>
      </c>
      <c r="C22" s="338">
        <v>0.002</v>
      </c>
      <c r="D22" s="338">
        <v>0.001</v>
      </c>
      <c r="E22" s="338">
        <v>0.001</v>
      </c>
      <c r="F22" s="338">
        <v>0.0</v>
      </c>
      <c r="G22" s="338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0"/>
  </cols>
  <sheetData>
    <row r="1">
      <c r="A1" s="340" t="s">
        <v>264</v>
      </c>
      <c r="B1" s="341"/>
      <c r="C1" s="341"/>
      <c r="D1" s="341"/>
      <c r="E1" s="341"/>
      <c r="F1" s="342"/>
      <c r="G1" s="342"/>
      <c r="H1" s="342"/>
      <c r="I1" s="342"/>
      <c r="J1" s="342"/>
      <c r="K1" s="342"/>
      <c r="L1" s="342"/>
      <c r="M1" s="25"/>
      <c r="N1" s="25"/>
      <c r="O1" s="25"/>
      <c r="P1" s="25"/>
    </row>
    <row r="2">
      <c r="A2" s="343" t="s">
        <v>265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>
      <c r="A3" s="345" t="s">
        <v>266</v>
      </c>
      <c r="B3" s="346">
        <v>2000.0</v>
      </c>
      <c r="C3" s="346">
        <v>2005.0</v>
      </c>
      <c r="D3" s="346">
        <v>2010.0</v>
      </c>
      <c r="E3" s="346">
        <v>2015.0</v>
      </c>
      <c r="F3" s="346">
        <v>2020.0</v>
      </c>
      <c r="G3" s="346">
        <v>2025.0</v>
      </c>
      <c r="H3" s="346">
        <v>2030.0</v>
      </c>
      <c r="I3" s="346">
        <v>2035.0</v>
      </c>
      <c r="J3" s="346">
        <v>2040.0</v>
      </c>
      <c r="K3" s="346">
        <v>2045.0</v>
      </c>
      <c r="L3" s="346">
        <v>2050.0</v>
      </c>
    </row>
    <row r="4">
      <c r="A4" s="347" t="s">
        <v>267</v>
      </c>
      <c r="B4" s="348">
        <v>19.0</v>
      </c>
      <c r="C4" s="348">
        <v>22.0</v>
      </c>
      <c r="D4" s="348">
        <v>25.0</v>
      </c>
      <c r="E4" s="348">
        <v>17.0</v>
      </c>
      <c r="F4" s="348">
        <v>16.0</v>
      </c>
      <c r="G4" s="348">
        <v>13.0</v>
      </c>
      <c r="H4" s="348">
        <v>11.0</v>
      </c>
      <c r="I4" s="348">
        <v>10.0</v>
      </c>
      <c r="J4" s="348">
        <v>8.0</v>
      </c>
      <c r="K4" s="348">
        <v>7.0</v>
      </c>
      <c r="L4" s="348">
        <v>6.0</v>
      </c>
    </row>
    <row r="5">
      <c r="A5" s="347" t="s">
        <v>268</v>
      </c>
      <c r="B5" s="348">
        <v>86.0</v>
      </c>
      <c r="C5" s="348">
        <v>86.0</v>
      </c>
      <c r="D5" s="348">
        <v>84.0</v>
      </c>
      <c r="E5" s="348">
        <v>82.0</v>
      </c>
      <c r="F5" s="348">
        <v>81.0</v>
      </c>
      <c r="G5" s="348">
        <v>77.0</v>
      </c>
      <c r="H5" s="348">
        <v>73.0</v>
      </c>
      <c r="I5" s="348">
        <v>70.0</v>
      </c>
      <c r="J5" s="348">
        <v>67.0</v>
      </c>
      <c r="K5" s="348">
        <v>64.0</v>
      </c>
      <c r="L5" s="348">
        <v>61.0</v>
      </c>
    </row>
    <row r="6">
      <c r="A6" s="347" t="s">
        <v>213</v>
      </c>
      <c r="B6" s="348">
        <v>6.0</v>
      </c>
      <c r="C6" s="348">
        <v>6.0</v>
      </c>
      <c r="D6" s="348">
        <v>6.0</v>
      </c>
      <c r="E6" s="348">
        <v>6.0</v>
      </c>
      <c r="F6" s="348">
        <v>5.0</v>
      </c>
      <c r="G6" s="348">
        <v>5.0</v>
      </c>
      <c r="H6" s="348">
        <v>4.0</v>
      </c>
      <c r="I6" s="348">
        <v>4.0</v>
      </c>
      <c r="J6" s="348">
        <v>3.0</v>
      </c>
      <c r="K6" s="348">
        <v>2.0</v>
      </c>
      <c r="L6" s="348">
        <v>2.0</v>
      </c>
    </row>
    <row r="7">
      <c r="A7" s="347" t="s">
        <v>217</v>
      </c>
      <c r="B7" s="348">
        <v>4.0</v>
      </c>
      <c r="C7" s="348">
        <v>5.0</v>
      </c>
      <c r="D7" s="348">
        <v>5.0</v>
      </c>
      <c r="E7" s="348">
        <v>5.0</v>
      </c>
      <c r="F7" s="348">
        <v>5.0</v>
      </c>
      <c r="G7" s="348">
        <v>5.0</v>
      </c>
      <c r="H7" s="348">
        <v>5.0</v>
      </c>
      <c r="I7" s="348">
        <v>5.0</v>
      </c>
      <c r="J7" s="348">
        <v>5.0</v>
      </c>
      <c r="K7" s="348">
        <v>5.0</v>
      </c>
      <c r="L7" s="348">
        <v>5.0</v>
      </c>
    </row>
    <row r="8">
      <c r="A8" s="347" t="s">
        <v>211</v>
      </c>
      <c r="B8" s="348">
        <v>37.0</v>
      </c>
      <c r="C8" s="348">
        <v>39.0</v>
      </c>
      <c r="D8" s="348">
        <v>40.0</v>
      </c>
      <c r="E8" s="348">
        <v>38.0</v>
      </c>
      <c r="F8" s="348">
        <v>35.0</v>
      </c>
      <c r="G8" s="348">
        <v>33.0</v>
      </c>
      <c r="H8" s="348">
        <v>31.0</v>
      </c>
      <c r="I8" s="348">
        <v>29.0</v>
      </c>
      <c r="J8" s="348">
        <v>27.0</v>
      </c>
      <c r="K8" s="348">
        <v>25.0</v>
      </c>
      <c r="L8" s="348">
        <v>24.0</v>
      </c>
    </row>
    <row r="9">
      <c r="A9" s="347" t="s">
        <v>215</v>
      </c>
      <c r="B9" s="348">
        <v>9.0</v>
      </c>
      <c r="C9" s="348">
        <v>10.0</v>
      </c>
      <c r="D9" s="348">
        <v>7.0</v>
      </c>
      <c r="E9" s="348">
        <v>7.0</v>
      </c>
      <c r="F9" s="348">
        <v>6.0</v>
      </c>
      <c r="G9" s="348">
        <v>6.0</v>
      </c>
      <c r="H9" s="348">
        <v>6.0</v>
      </c>
      <c r="I9" s="348">
        <v>6.0</v>
      </c>
      <c r="J9" s="348">
        <v>6.0</v>
      </c>
      <c r="K9" s="348">
        <v>8.0</v>
      </c>
      <c r="L9" s="348">
        <v>9.0</v>
      </c>
    </row>
    <row r="10">
      <c r="A10" s="349" t="s">
        <v>269</v>
      </c>
      <c r="B10" s="350">
        <v>161.0</v>
      </c>
      <c r="C10" s="350">
        <v>167.0</v>
      </c>
      <c r="D10" s="350">
        <v>169.0</v>
      </c>
      <c r="E10" s="350">
        <v>155.0</v>
      </c>
      <c r="F10" s="350">
        <v>149.0</v>
      </c>
      <c r="G10" s="350">
        <v>139.0</v>
      </c>
      <c r="H10" s="350">
        <v>131.0</v>
      </c>
      <c r="I10" s="350">
        <v>123.0</v>
      </c>
      <c r="J10" s="350">
        <v>116.0</v>
      </c>
      <c r="K10" s="350">
        <v>111.0</v>
      </c>
      <c r="L10" s="350">
        <v>106.0</v>
      </c>
    </row>
    <row r="13">
      <c r="A13" s="340" t="s">
        <v>270</v>
      </c>
      <c r="B13" s="341"/>
      <c r="C13" s="341"/>
      <c r="D13" s="341"/>
      <c r="E13" s="341"/>
      <c r="F13" s="342"/>
      <c r="G13" s="342"/>
      <c r="H13" s="342"/>
      <c r="I13" s="342"/>
      <c r="J13" s="342"/>
      <c r="K13" s="342"/>
      <c r="L13" s="342"/>
      <c r="M13" s="351"/>
      <c r="N13" s="352"/>
    </row>
    <row r="14">
      <c r="A14" s="343" t="s">
        <v>265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53" t="s">
        <v>210</v>
      </c>
      <c r="N14" s="354"/>
    </row>
    <row r="15">
      <c r="A15" s="345" t="s">
        <v>266</v>
      </c>
      <c r="B15" s="346">
        <v>2000.0</v>
      </c>
      <c r="C15" s="346">
        <v>2005.0</v>
      </c>
      <c r="D15" s="346">
        <v>2010.0</v>
      </c>
      <c r="E15" s="346">
        <v>2015.0</v>
      </c>
      <c r="F15" s="346">
        <v>2020.0</v>
      </c>
      <c r="G15" s="346">
        <v>2025.0</v>
      </c>
      <c r="H15" s="346">
        <v>2030.0</v>
      </c>
      <c r="I15" s="346">
        <v>2035.0</v>
      </c>
      <c r="J15" s="346">
        <v>2040.0</v>
      </c>
      <c r="K15" s="346">
        <v>2045.0</v>
      </c>
      <c r="L15" s="346">
        <v>2050.0</v>
      </c>
      <c r="M15" s="355">
        <v>2050.0</v>
      </c>
      <c r="N15" s="356"/>
    </row>
    <row r="16">
      <c r="A16" s="347" t="s">
        <v>267</v>
      </c>
      <c r="B16" s="357">
        <v>1.0</v>
      </c>
      <c r="C16" s="357">
        <v>1.0</v>
      </c>
      <c r="D16" s="357">
        <v>1.0</v>
      </c>
      <c r="E16" s="357">
        <v>1.0</v>
      </c>
      <c r="F16" s="357">
        <v>1.0</v>
      </c>
      <c r="G16" s="357">
        <v>1.0</v>
      </c>
      <c r="H16" s="357">
        <v>1.0</v>
      </c>
      <c r="I16" s="357">
        <v>1.0</v>
      </c>
      <c r="J16" s="357">
        <v>1.0</v>
      </c>
      <c r="K16" s="357">
        <v>1.0</v>
      </c>
      <c r="L16" s="357">
        <v>1.0</v>
      </c>
      <c r="M16" s="358">
        <f>L16/$L$22</f>
        <v>0.01960784314</v>
      </c>
      <c r="N16" s="359">
        <f t="shared" ref="N16:N22" si="1">M16*55.51</f>
        <v>1.088431373</v>
      </c>
    </row>
    <row r="17">
      <c r="A17" s="347" t="s">
        <v>268</v>
      </c>
      <c r="B17" s="357">
        <v>12.0</v>
      </c>
      <c r="C17" s="357">
        <v>12.0</v>
      </c>
      <c r="D17" s="357">
        <v>13.0</v>
      </c>
      <c r="E17" s="357">
        <v>12.0</v>
      </c>
      <c r="F17" s="357">
        <v>12.0</v>
      </c>
      <c r="G17" s="357">
        <v>11.0</v>
      </c>
      <c r="H17" s="357">
        <v>12.0</v>
      </c>
      <c r="I17" s="357">
        <v>14.0</v>
      </c>
      <c r="J17" s="357">
        <v>15.0</v>
      </c>
      <c r="K17" s="357">
        <v>15.0</v>
      </c>
      <c r="L17" s="357">
        <v>13.0</v>
      </c>
      <c r="M17" s="358">
        <f>L17/L22</f>
        <v>0.2549019608</v>
      </c>
      <c r="N17" s="359">
        <f t="shared" si="1"/>
        <v>14.14960784</v>
      </c>
    </row>
    <row r="18">
      <c r="A18" s="347" t="s">
        <v>213</v>
      </c>
      <c r="B18" s="357">
        <v>6.0</v>
      </c>
      <c r="C18" s="357">
        <v>6.0</v>
      </c>
      <c r="D18" s="357">
        <v>6.0</v>
      </c>
      <c r="E18" s="357">
        <v>6.0</v>
      </c>
      <c r="F18" s="357">
        <v>5.0</v>
      </c>
      <c r="G18" s="357">
        <v>5.0</v>
      </c>
      <c r="H18" s="357">
        <v>4.0</v>
      </c>
      <c r="I18" s="357">
        <v>4.0</v>
      </c>
      <c r="J18" s="357">
        <v>3.0</v>
      </c>
      <c r="K18" s="357">
        <v>2.0</v>
      </c>
      <c r="L18" s="357">
        <v>2.0</v>
      </c>
      <c r="M18" s="358">
        <f t="shared" ref="M18:M21" si="2">L18/$L$22</f>
        <v>0.03921568627</v>
      </c>
      <c r="N18" s="359">
        <f t="shared" si="1"/>
        <v>2.176862745</v>
      </c>
    </row>
    <row r="19">
      <c r="A19" s="347" t="s">
        <v>217</v>
      </c>
      <c r="B19" s="357">
        <v>4.0</v>
      </c>
      <c r="C19" s="357">
        <v>5.0</v>
      </c>
      <c r="D19" s="357">
        <v>5.0</v>
      </c>
      <c r="E19" s="357">
        <v>5.0</v>
      </c>
      <c r="F19" s="357">
        <v>5.0</v>
      </c>
      <c r="G19" s="357">
        <v>5.0</v>
      </c>
      <c r="H19" s="357">
        <v>5.0</v>
      </c>
      <c r="I19" s="357">
        <v>5.0</v>
      </c>
      <c r="J19" s="357">
        <v>5.0</v>
      </c>
      <c r="K19" s="357">
        <v>5.0</v>
      </c>
      <c r="L19" s="357">
        <v>5.0</v>
      </c>
      <c r="M19" s="358">
        <f t="shared" si="2"/>
        <v>0.09803921569</v>
      </c>
      <c r="N19" s="359">
        <f t="shared" si="1"/>
        <v>5.442156863</v>
      </c>
    </row>
    <row r="20">
      <c r="A20" s="347" t="s">
        <v>211</v>
      </c>
      <c r="B20" s="357">
        <v>37.0</v>
      </c>
      <c r="C20" s="357">
        <v>38.0</v>
      </c>
      <c r="D20" s="357">
        <v>40.0</v>
      </c>
      <c r="E20" s="357">
        <v>38.0</v>
      </c>
      <c r="F20" s="357">
        <v>35.0</v>
      </c>
      <c r="G20" s="357">
        <v>33.0</v>
      </c>
      <c r="H20" s="357">
        <v>31.0</v>
      </c>
      <c r="I20" s="357">
        <v>29.0</v>
      </c>
      <c r="J20" s="357">
        <v>27.0</v>
      </c>
      <c r="K20" s="357">
        <v>25.0</v>
      </c>
      <c r="L20" s="357">
        <v>24.0</v>
      </c>
      <c r="M20" s="358">
        <f t="shared" si="2"/>
        <v>0.4705882353</v>
      </c>
      <c r="N20" s="359">
        <f t="shared" si="1"/>
        <v>26.12235294</v>
      </c>
    </row>
    <row r="21">
      <c r="A21" s="347" t="s">
        <v>215</v>
      </c>
      <c r="B21" s="357">
        <v>6.0</v>
      </c>
      <c r="C21" s="357">
        <v>6.0</v>
      </c>
      <c r="D21" s="357">
        <v>4.0</v>
      </c>
      <c r="E21" s="357">
        <v>4.0</v>
      </c>
      <c r="F21" s="357">
        <v>4.0</v>
      </c>
      <c r="G21" s="357">
        <v>4.0</v>
      </c>
      <c r="H21" s="357">
        <v>4.0</v>
      </c>
      <c r="I21" s="357">
        <v>4.0</v>
      </c>
      <c r="J21" s="357">
        <v>4.0</v>
      </c>
      <c r="K21" s="357">
        <v>6.0</v>
      </c>
      <c r="L21" s="357">
        <v>7.0</v>
      </c>
      <c r="M21" s="358">
        <f t="shared" si="2"/>
        <v>0.137254902</v>
      </c>
      <c r="N21" s="359">
        <f t="shared" si="1"/>
        <v>7.619019608</v>
      </c>
    </row>
    <row r="22">
      <c r="A22" s="349" t="s">
        <v>269</v>
      </c>
      <c r="B22" s="360">
        <v>65.0</v>
      </c>
      <c r="C22" s="360">
        <v>68.0</v>
      </c>
      <c r="D22" s="360">
        <v>69.0</v>
      </c>
      <c r="E22" s="360">
        <v>65.0</v>
      </c>
      <c r="F22" s="360">
        <v>61.0</v>
      </c>
      <c r="G22" s="360">
        <v>58.0</v>
      </c>
      <c r="H22" s="360">
        <v>56.0</v>
      </c>
      <c r="I22" s="360">
        <v>56.0</v>
      </c>
      <c r="J22" s="360">
        <v>55.0</v>
      </c>
      <c r="K22" s="360">
        <v>54.0</v>
      </c>
      <c r="L22" s="360">
        <v>51.0</v>
      </c>
      <c r="M22" s="361"/>
      <c r="N22" s="362">
        <f t="shared" si="1"/>
        <v>0</v>
      </c>
    </row>
    <row r="26">
      <c r="A26" s="64" t="s">
        <v>271</v>
      </c>
      <c r="B26" s="363" t="s">
        <v>272</v>
      </c>
    </row>
    <row r="27">
      <c r="A27" s="364" t="s">
        <v>273</v>
      </c>
      <c r="B27" s="365"/>
      <c r="C27" s="365"/>
      <c r="D27" s="366" t="s">
        <v>274</v>
      </c>
      <c r="E27" s="367" t="s">
        <v>275</v>
      </c>
      <c r="F27" s="366" t="s">
        <v>276</v>
      </c>
    </row>
    <row r="28">
      <c r="A28" s="368" t="s">
        <v>277</v>
      </c>
      <c r="B28" s="369" t="s">
        <v>277</v>
      </c>
      <c r="C28" s="370" t="s">
        <v>269</v>
      </c>
      <c r="D28" s="371">
        <v>6.2</v>
      </c>
      <c r="E28" s="372" t="s">
        <v>278</v>
      </c>
      <c r="F28" s="373"/>
    </row>
    <row r="29">
      <c r="A29" s="374" t="s">
        <v>279</v>
      </c>
      <c r="B29" s="375"/>
      <c r="C29" s="376"/>
      <c r="D29" s="376" t="s">
        <v>278</v>
      </c>
      <c r="E29" s="377">
        <v>5.3</v>
      </c>
      <c r="F29" s="378">
        <f>E29/D50</f>
        <v>0.05086372361</v>
      </c>
    </row>
    <row r="30">
      <c r="A30" s="379" t="s">
        <v>260</v>
      </c>
      <c r="B30" s="380"/>
      <c r="C30" s="381"/>
      <c r="D30" s="381" t="s">
        <v>278</v>
      </c>
      <c r="E30" s="382">
        <v>0.8</v>
      </c>
      <c r="F30" s="383">
        <f>E30/E51</f>
        <v>0.01622718053</v>
      </c>
    </row>
    <row r="31">
      <c r="A31" s="384" t="s">
        <v>280</v>
      </c>
      <c r="B31" s="385"/>
      <c r="C31" s="386"/>
      <c r="D31" s="386" t="s">
        <v>278</v>
      </c>
      <c r="E31" s="387">
        <v>0.1</v>
      </c>
      <c r="F31" s="378">
        <f>E31/D50</f>
        <v>0.0009596928983</v>
      </c>
    </row>
    <row r="32">
      <c r="A32" s="388" t="s">
        <v>268</v>
      </c>
      <c r="B32" s="389" t="s">
        <v>268</v>
      </c>
      <c r="C32" s="390" t="s">
        <v>269</v>
      </c>
      <c r="D32" s="391">
        <v>60.1</v>
      </c>
      <c r="E32" s="392" t="s">
        <v>278</v>
      </c>
      <c r="F32" s="373"/>
    </row>
    <row r="33">
      <c r="A33" s="374" t="s">
        <v>281</v>
      </c>
      <c r="B33" s="375"/>
      <c r="C33" s="376"/>
      <c r="D33" s="376" t="s">
        <v>278</v>
      </c>
      <c r="E33" s="377">
        <v>36.3</v>
      </c>
      <c r="F33" s="378">
        <f>E33/$D$50</f>
        <v>0.3483685221</v>
      </c>
    </row>
    <row r="34">
      <c r="A34" s="379" t="s">
        <v>260</v>
      </c>
      <c r="B34" s="380"/>
      <c r="C34" s="381"/>
      <c r="D34" s="381" t="s">
        <v>278</v>
      </c>
      <c r="E34" s="382">
        <v>13.5</v>
      </c>
      <c r="F34" s="383">
        <f>E34/E51</f>
        <v>0.2738336714</v>
      </c>
    </row>
    <row r="35">
      <c r="A35" s="384" t="s">
        <v>280</v>
      </c>
      <c r="B35" s="385"/>
      <c r="C35" s="386"/>
      <c r="D35" s="386" t="s">
        <v>278</v>
      </c>
      <c r="E35" s="387">
        <v>10.4</v>
      </c>
      <c r="F35" s="378">
        <f>E35/$D$50</f>
        <v>0.09980806142</v>
      </c>
    </row>
    <row r="36">
      <c r="A36" s="388" t="s">
        <v>213</v>
      </c>
      <c r="B36" s="389" t="s">
        <v>213</v>
      </c>
      <c r="C36" s="390" t="s">
        <v>269</v>
      </c>
      <c r="D36" s="391">
        <v>1.9</v>
      </c>
      <c r="E36" s="392" t="s">
        <v>278</v>
      </c>
      <c r="F36" s="373"/>
    </row>
    <row r="37">
      <c r="A37" s="393" t="s">
        <v>260</v>
      </c>
      <c r="B37" s="394"/>
      <c r="C37" s="395"/>
      <c r="D37" s="395" t="s">
        <v>278</v>
      </c>
      <c r="E37" s="396">
        <v>1.9</v>
      </c>
      <c r="F37" s="383">
        <f>E37/E51</f>
        <v>0.03853955375</v>
      </c>
    </row>
    <row r="38" ht="29.25" customHeight="1">
      <c r="A38" s="397" t="s">
        <v>282</v>
      </c>
      <c r="B38" s="398" t="s">
        <v>282</v>
      </c>
      <c r="C38" s="370" t="s">
        <v>269</v>
      </c>
      <c r="D38" s="399">
        <v>4.6</v>
      </c>
      <c r="E38" s="400" t="s">
        <v>278</v>
      </c>
      <c r="F38" s="373"/>
    </row>
    <row r="39" ht="23.25" customHeight="1">
      <c r="A39" s="401" t="s">
        <v>260</v>
      </c>
      <c r="B39" s="385"/>
      <c r="C39" s="386"/>
      <c r="D39" s="386" t="s">
        <v>278</v>
      </c>
      <c r="E39" s="402">
        <v>4.6</v>
      </c>
      <c r="F39" s="383">
        <f>E39/E51</f>
        <v>0.09330628803</v>
      </c>
    </row>
    <row r="40" ht="27.75" customHeight="1">
      <c r="A40" s="403" t="s">
        <v>283</v>
      </c>
      <c r="B40" s="404" t="s">
        <v>283</v>
      </c>
      <c r="C40" s="390" t="s">
        <v>269</v>
      </c>
      <c r="D40" s="391">
        <v>0.9</v>
      </c>
      <c r="E40" s="392" t="s">
        <v>278</v>
      </c>
      <c r="F40" s="373"/>
    </row>
    <row r="41" ht="26.25" customHeight="1">
      <c r="A41" s="393" t="s">
        <v>260</v>
      </c>
      <c r="B41" s="394"/>
      <c r="C41" s="395"/>
      <c r="D41" s="395" t="s">
        <v>278</v>
      </c>
      <c r="E41" s="396">
        <v>0.9</v>
      </c>
      <c r="F41" s="383">
        <f>E41/E51</f>
        <v>0.01825557809</v>
      </c>
    </row>
    <row r="42">
      <c r="A42" s="405" t="s">
        <v>211</v>
      </c>
      <c r="B42" s="398" t="s">
        <v>211</v>
      </c>
      <c r="C42" s="370" t="s">
        <v>269</v>
      </c>
      <c r="D42" s="399">
        <v>23.7</v>
      </c>
      <c r="E42" s="400" t="s">
        <v>278</v>
      </c>
      <c r="F42" s="373"/>
    </row>
    <row r="43">
      <c r="A43" s="374" t="s">
        <v>279</v>
      </c>
      <c r="B43" s="375"/>
      <c r="C43" s="376"/>
      <c r="D43" s="376" t="s">
        <v>278</v>
      </c>
      <c r="E43" s="377">
        <v>0.0</v>
      </c>
      <c r="F43" s="378">
        <f>E43/$D$50</f>
        <v>0</v>
      </c>
    </row>
    <row r="44">
      <c r="A44" s="379" t="s">
        <v>260</v>
      </c>
      <c r="B44" s="380"/>
      <c r="C44" s="381"/>
      <c r="D44" s="381" t="s">
        <v>278</v>
      </c>
      <c r="E44" s="382">
        <v>23.7</v>
      </c>
      <c r="F44" s="383">
        <f>E44/E51</f>
        <v>0.4807302231</v>
      </c>
    </row>
    <row r="45">
      <c r="A45" s="384" t="s">
        <v>280</v>
      </c>
      <c r="B45" s="385"/>
      <c r="C45" s="386"/>
      <c r="D45" s="386" t="s">
        <v>278</v>
      </c>
      <c r="E45" s="387">
        <v>0.0</v>
      </c>
      <c r="F45" s="378">
        <f>E45/$D$50</f>
        <v>0</v>
      </c>
    </row>
    <row r="46">
      <c r="A46" s="406" t="s">
        <v>284</v>
      </c>
      <c r="B46" s="389" t="s">
        <v>215</v>
      </c>
      <c r="C46" s="390" t="s">
        <v>269</v>
      </c>
      <c r="D46" s="391">
        <v>6.8</v>
      </c>
      <c r="E46" s="392" t="s">
        <v>278</v>
      </c>
      <c r="F46" s="373"/>
    </row>
    <row r="47">
      <c r="A47" s="374" t="s">
        <v>281</v>
      </c>
      <c r="B47" s="375"/>
      <c r="C47" s="376"/>
      <c r="D47" s="376" t="s">
        <v>278</v>
      </c>
      <c r="E47" s="377">
        <v>2.2</v>
      </c>
      <c r="F47" s="378">
        <f>E47/$D$50</f>
        <v>0.02111324376</v>
      </c>
    </row>
    <row r="48">
      <c r="A48" s="379" t="s">
        <v>260</v>
      </c>
      <c r="B48" s="380"/>
      <c r="C48" s="381"/>
      <c r="D48" s="381" t="s">
        <v>278</v>
      </c>
      <c r="E48" s="382">
        <v>3.9</v>
      </c>
      <c r="F48" s="383">
        <f>E48/E51</f>
        <v>0.07910750507</v>
      </c>
    </row>
    <row r="49">
      <c r="A49" s="374" t="s">
        <v>280</v>
      </c>
      <c r="B49" s="385"/>
      <c r="C49" s="376"/>
      <c r="D49" s="376" t="s">
        <v>278</v>
      </c>
      <c r="E49" s="377">
        <v>0.7</v>
      </c>
      <c r="F49" s="378">
        <f>E49/$D$50</f>
        <v>0.006717850288</v>
      </c>
    </row>
    <row r="50">
      <c r="A50" s="407" t="s">
        <v>75</v>
      </c>
      <c r="B50" s="408"/>
      <c r="C50" s="409"/>
      <c r="D50" s="409">
        <f>SUM(D27:D49)</f>
        <v>104.2</v>
      </c>
      <c r="E50" s="409"/>
      <c r="F50" s="409">
        <f>E51/D50</f>
        <v>0.4731285988</v>
      </c>
    </row>
    <row r="51">
      <c r="A51" s="410" t="s">
        <v>260</v>
      </c>
      <c r="B51" s="411"/>
      <c r="C51" s="412"/>
      <c r="D51" s="412"/>
      <c r="E51" s="412">
        <f>SUM(E30,E34,E37,E39,E41,E44,E48)</f>
        <v>49.3</v>
      </c>
    </row>
    <row r="54">
      <c r="A54" s="413" t="s">
        <v>209</v>
      </c>
      <c r="B54" s="414" t="s">
        <v>285</v>
      </c>
      <c r="C54" s="415"/>
      <c r="D54" s="416"/>
      <c r="F54" s="416"/>
      <c r="H54" s="416"/>
      <c r="J54" s="416"/>
      <c r="L54" s="416"/>
    </row>
    <row r="55">
      <c r="A55" s="417" t="s">
        <v>267</v>
      </c>
      <c r="B55" s="418">
        <v>0.0196</v>
      </c>
      <c r="C55" s="419">
        <v>1.09</v>
      </c>
      <c r="D55" s="420"/>
      <c r="E55" s="421"/>
      <c r="F55" s="420"/>
      <c r="G55" s="421"/>
      <c r="H55" s="420"/>
      <c r="I55" s="421"/>
      <c r="J55" s="420"/>
      <c r="K55" s="421"/>
      <c r="L55" s="420"/>
      <c r="M55" s="421"/>
    </row>
    <row r="56">
      <c r="A56" s="422" t="s">
        <v>268</v>
      </c>
      <c r="B56" s="423">
        <v>0.255</v>
      </c>
      <c r="C56" s="424" t="s">
        <v>286</v>
      </c>
      <c r="D56" s="425"/>
      <c r="E56" s="416"/>
      <c r="F56" s="425"/>
      <c r="G56" s="416"/>
      <c r="H56" s="425"/>
      <c r="I56" s="416"/>
      <c r="J56" s="425"/>
      <c r="K56" s="416"/>
      <c r="L56" s="425"/>
      <c r="M56" s="416"/>
    </row>
    <row r="57">
      <c r="A57" s="417" t="s">
        <v>213</v>
      </c>
      <c r="B57" s="418">
        <v>0.0392</v>
      </c>
      <c r="C57" s="419">
        <v>2.18</v>
      </c>
      <c r="D57" s="425"/>
      <c r="E57" s="426"/>
      <c r="F57" s="425"/>
      <c r="G57" s="426"/>
      <c r="H57" s="425"/>
      <c r="I57" s="416"/>
      <c r="J57" s="425"/>
      <c r="K57" s="426"/>
      <c r="L57" s="425"/>
      <c r="M57" s="426"/>
    </row>
    <row r="58">
      <c r="A58" s="422" t="s">
        <v>217</v>
      </c>
      <c r="B58" s="427">
        <v>0.098</v>
      </c>
      <c r="C58" s="428">
        <v>5.44</v>
      </c>
      <c r="D58" s="425"/>
      <c r="E58" s="426"/>
      <c r="F58" s="425"/>
      <c r="G58" s="426"/>
      <c r="H58" s="420"/>
      <c r="I58" s="421"/>
      <c r="J58" s="420"/>
      <c r="K58" s="421"/>
      <c r="L58" s="425"/>
      <c r="M58" s="426"/>
    </row>
    <row r="59">
      <c r="A59" s="417" t="s">
        <v>287</v>
      </c>
      <c r="B59" s="418">
        <v>0.4706</v>
      </c>
      <c r="C59" s="419">
        <v>26.12</v>
      </c>
      <c r="D59" s="425"/>
      <c r="E59" s="426"/>
      <c r="F59" s="425"/>
      <c r="G59" s="426"/>
      <c r="H59" s="425"/>
      <c r="I59" s="416"/>
      <c r="J59" s="425"/>
      <c r="K59" s="426"/>
      <c r="L59" s="425"/>
      <c r="M59" s="426"/>
    </row>
    <row r="60">
      <c r="A60" s="422" t="s">
        <v>215</v>
      </c>
      <c r="B60" s="427">
        <v>0.1373</v>
      </c>
      <c r="C60" s="428">
        <v>7.62</v>
      </c>
      <c r="D60" s="425"/>
      <c r="E60" s="426"/>
      <c r="F60" s="425"/>
      <c r="G60" s="426"/>
      <c r="H60" s="425"/>
      <c r="I60" s="416"/>
      <c r="J60" s="425"/>
      <c r="K60" s="426"/>
      <c r="L60" s="425"/>
      <c r="M60" s="426"/>
    </row>
    <row r="61">
      <c r="A61" s="429" t="s">
        <v>269</v>
      </c>
      <c r="B61" s="430"/>
      <c r="C61" s="419">
        <v>55.51</v>
      </c>
      <c r="D61" s="421"/>
      <c r="E61" s="426"/>
      <c r="F61" s="421"/>
      <c r="G61" s="426"/>
      <c r="H61" s="421"/>
      <c r="I61" s="426"/>
      <c r="J61" s="421"/>
      <c r="K61" s="426"/>
      <c r="L61" s="421"/>
      <c r="M61" s="426"/>
    </row>
    <row r="65">
      <c r="A65" s="431" t="s">
        <v>288</v>
      </c>
      <c r="B65" s="432" t="s">
        <v>289</v>
      </c>
      <c r="C65" s="432" t="s">
        <v>290</v>
      </c>
      <c r="D65" s="432" t="s">
        <v>291</v>
      </c>
      <c r="E65" s="432" t="s">
        <v>292</v>
      </c>
      <c r="F65" s="432" t="s">
        <v>293</v>
      </c>
      <c r="G65" s="432" t="s">
        <v>294</v>
      </c>
      <c r="H65" s="432" t="s">
        <v>295</v>
      </c>
      <c r="I65" s="432" t="s">
        <v>296</v>
      </c>
      <c r="J65" s="432" t="s">
        <v>297</v>
      </c>
      <c r="K65" s="432" t="s">
        <v>298</v>
      </c>
      <c r="L65" s="432" t="s">
        <v>299</v>
      </c>
      <c r="M65" s="432" t="s">
        <v>300</v>
      </c>
      <c r="N65" s="176" t="s">
        <v>75</v>
      </c>
    </row>
    <row r="66">
      <c r="A66" s="433" t="s">
        <v>106</v>
      </c>
      <c r="B66" s="433">
        <v>105.0</v>
      </c>
      <c r="C66" s="433">
        <v>313.0</v>
      </c>
      <c r="D66" s="433">
        <v>59.0</v>
      </c>
      <c r="E66" s="433">
        <v>1018.0</v>
      </c>
      <c r="F66" s="433">
        <v>2492.0</v>
      </c>
      <c r="G66" s="433">
        <v>699.0</v>
      </c>
      <c r="H66" s="433">
        <v>0.0</v>
      </c>
      <c r="I66" s="433">
        <v>40.0</v>
      </c>
      <c r="J66" s="433">
        <v>23.0</v>
      </c>
      <c r="K66" s="433">
        <v>28.0</v>
      </c>
      <c r="L66" s="433">
        <v>0.0</v>
      </c>
      <c r="M66" s="433">
        <v>1.0</v>
      </c>
      <c r="N66" s="434">
        <f t="shared" ref="N66:N75" si="3">SUM(B66:M66)</f>
        <v>4778</v>
      </c>
      <c r="AB66" s="122"/>
    </row>
    <row r="67">
      <c r="A67" s="433" t="s">
        <v>301</v>
      </c>
      <c r="B67" s="433">
        <v>1938.0</v>
      </c>
      <c r="C67" s="433">
        <v>335.0</v>
      </c>
      <c r="D67" s="433">
        <v>208.0</v>
      </c>
      <c r="E67" s="433">
        <v>-28.0</v>
      </c>
      <c r="F67" s="433">
        <v>131.0</v>
      </c>
      <c r="G67" s="433">
        <v>2473.0</v>
      </c>
      <c r="H67" s="433">
        <v>-25.0</v>
      </c>
      <c r="I67" s="433">
        <v>250.0</v>
      </c>
      <c r="J67" s="433">
        <v>7.0</v>
      </c>
      <c r="K67" s="433">
        <v>11.0</v>
      </c>
      <c r="L67" s="433">
        <v>2.0</v>
      </c>
      <c r="M67" s="433">
        <v>-1.0</v>
      </c>
      <c r="N67" s="434">
        <f t="shared" si="3"/>
        <v>5301</v>
      </c>
    </row>
    <row r="68">
      <c r="A68" s="433" t="s">
        <v>302</v>
      </c>
      <c r="B68" s="433">
        <v>4488.0</v>
      </c>
      <c r="C68" s="433">
        <v>135.0</v>
      </c>
      <c r="D68" s="433">
        <v>0.0</v>
      </c>
      <c r="E68" s="433">
        <v>6349.0</v>
      </c>
      <c r="F68" s="433">
        <v>121.0</v>
      </c>
      <c r="G68" s="433">
        <v>478.0</v>
      </c>
      <c r="H68" s="433">
        <v>0.0</v>
      </c>
      <c r="I68" s="433">
        <v>15.0</v>
      </c>
      <c r="J68" s="433">
        <v>0.0</v>
      </c>
      <c r="K68" s="433">
        <v>0.0</v>
      </c>
      <c r="L68" s="433">
        <v>0.0</v>
      </c>
      <c r="M68" s="433">
        <v>0.0</v>
      </c>
      <c r="N68" s="434">
        <f t="shared" si="3"/>
        <v>11586</v>
      </c>
    </row>
    <row r="69">
      <c r="A69" s="433" t="s">
        <v>303</v>
      </c>
      <c r="B69" s="433">
        <v>0.0</v>
      </c>
      <c r="C69" s="433">
        <v>66.0</v>
      </c>
      <c r="D69" s="433">
        <v>0.0</v>
      </c>
      <c r="E69" s="433">
        <v>2948.0</v>
      </c>
      <c r="F69" s="433">
        <v>0.0</v>
      </c>
      <c r="G69" s="433">
        <v>0.0</v>
      </c>
      <c r="H69" s="433">
        <v>324.0</v>
      </c>
      <c r="I69" s="433">
        <v>0.0</v>
      </c>
      <c r="J69" s="433">
        <v>226.0</v>
      </c>
      <c r="K69" s="433">
        <v>0.0</v>
      </c>
      <c r="L69" s="433">
        <v>0.0</v>
      </c>
      <c r="M69" s="433">
        <v>0.0</v>
      </c>
      <c r="N69" s="434">
        <f t="shared" si="3"/>
        <v>3564</v>
      </c>
    </row>
    <row r="70">
      <c r="A70" s="433" t="s">
        <v>304</v>
      </c>
      <c r="B70" s="433">
        <v>8562.0</v>
      </c>
      <c r="C70" s="433">
        <v>7632.0</v>
      </c>
      <c r="D70" s="433">
        <v>3122.0</v>
      </c>
      <c r="E70" s="433">
        <v>1633.0</v>
      </c>
      <c r="F70" s="433">
        <v>1230.0</v>
      </c>
      <c r="G70" s="433">
        <v>1438.0</v>
      </c>
      <c r="H70" s="433">
        <v>3071.0</v>
      </c>
      <c r="I70" s="433">
        <v>803.0</v>
      </c>
      <c r="J70" s="433">
        <v>1519.0</v>
      </c>
      <c r="K70" s="433">
        <v>690.0</v>
      </c>
      <c r="L70" s="433">
        <v>1456.0</v>
      </c>
      <c r="M70" s="433">
        <v>607.0</v>
      </c>
      <c r="N70" s="434">
        <f t="shared" si="3"/>
        <v>31763</v>
      </c>
    </row>
    <row r="71">
      <c r="A71" s="433" t="s">
        <v>305</v>
      </c>
      <c r="B71" s="433">
        <v>0.0</v>
      </c>
      <c r="C71" s="433">
        <v>0.0</v>
      </c>
      <c r="D71" s="433">
        <v>0.0</v>
      </c>
      <c r="E71" s="433">
        <v>37.0</v>
      </c>
      <c r="F71" s="433">
        <v>0.0</v>
      </c>
      <c r="G71" s="433">
        <v>0.0</v>
      </c>
      <c r="H71" s="433">
        <v>0.0</v>
      </c>
      <c r="I71" s="433">
        <v>0.0</v>
      </c>
      <c r="J71" s="433">
        <v>0.0</v>
      </c>
      <c r="K71" s="433">
        <v>0.0</v>
      </c>
      <c r="L71" s="433">
        <v>0.0</v>
      </c>
      <c r="M71" s="433">
        <v>0.0</v>
      </c>
      <c r="N71" s="434">
        <f t="shared" si="3"/>
        <v>37</v>
      </c>
    </row>
    <row r="72">
      <c r="A72" s="433" t="s">
        <v>306</v>
      </c>
      <c r="B72" s="433">
        <v>533.0</v>
      </c>
      <c r="C72" s="433">
        <v>1784.0</v>
      </c>
      <c r="D72" s="433">
        <v>1663.0</v>
      </c>
      <c r="E72" s="433">
        <v>111.0</v>
      </c>
      <c r="F72" s="433">
        <v>955.0</v>
      </c>
      <c r="G72" s="433">
        <v>251.0</v>
      </c>
      <c r="H72" s="433">
        <v>72.0</v>
      </c>
      <c r="I72" s="433">
        <v>766.0</v>
      </c>
      <c r="J72" s="433">
        <v>256.0</v>
      </c>
      <c r="K72" s="433">
        <v>1287.0</v>
      </c>
      <c r="L72" s="433">
        <v>43.0</v>
      </c>
      <c r="M72" s="433">
        <v>235.0</v>
      </c>
      <c r="N72" s="434">
        <f t="shared" si="3"/>
        <v>7956</v>
      </c>
    </row>
    <row r="73">
      <c r="A73" s="433" t="s">
        <v>307</v>
      </c>
      <c r="B73" s="433">
        <v>9045.0</v>
      </c>
      <c r="C73" s="433">
        <v>7723.0</v>
      </c>
      <c r="D73" s="433">
        <v>9256.0</v>
      </c>
      <c r="E73" s="433">
        <v>1550.0</v>
      </c>
      <c r="F73" s="433">
        <v>6514.0</v>
      </c>
      <c r="G73" s="433">
        <v>3741.0</v>
      </c>
      <c r="H73" s="433">
        <v>3584.0</v>
      </c>
      <c r="I73" s="433">
        <v>2513.0</v>
      </c>
      <c r="J73" s="433">
        <v>1480.0</v>
      </c>
      <c r="K73" s="433">
        <v>1490.0</v>
      </c>
      <c r="L73" s="433">
        <v>1220.0</v>
      </c>
      <c r="M73" s="433">
        <v>487.0</v>
      </c>
      <c r="N73" s="434">
        <f t="shared" si="3"/>
        <v>48603</v>
      </c>
    </row>
    <row r="74">
      <c r="A74" s="158" t="s">
        <v>75</v>
      </c>
      <c r="B74" s="435">
        <f t="shared" ref="B74:M74" si="4">SUM(B66:B73)</f>
        <v>24671</v>
      </c>
      <c r="C74" s="435">
        <f t="shared" si="4"/>
        <v>17988</v>
      </c>
      <c r="D74" s="435">
        <f t="shared" si="4"/>
        <v>14308</v>
      </c>
      <c r="E74" s="435">
        <f t="shared" si="4"/>
        <v>13618</v>
      </c>
      <c r="F74" s="435">
        <f t="shared" si="4"/>
        <v>11443</v>
      </c>
      <c r="G74" s="435">
        <f t="shared" si="4"/>
        <v>9080</v>
      </c>
      <c r="H74" s="435">
        <f t="shared" si="4"/>
        <v>7026</v>
      </c>
      <c r="I74" s="435">
        <f t="shared" si="4"/>
        <v>4387</v>
      </c>
      <c r="J74" s="435">
        <f t="shared" si="4"/>
        <v>3511</v>
      </c>
      <c r="K74" s="435">
        <f t="shared" si="4"/>
        <v>3506</v>
      </c>
      <c r="L74" s="435">
        <f t="shared" si="4"/>
        <v>2721</v>
      </c>
      <c r="M74" s="435">
        <f t="shared" si="4"/>
        <v>1329</v>
      </c>
      <c r="N74" s="434">
        <f t="shared" si="3"/>
        <v>113588</v>
      </c>
    </row>
    <row r="75">
      <c r="A75" s="158" t="s">
        <v>308</v>
      </c>
      <c r="B75" s="436">
        <f t="shared" ref="B75:M75" si="5">B73/$N$73</f>
        <v>0.1860996235</v>
      </c>
      <c r="C75" s="436">
        <f t="shared" si="5"/>
        <v>0.1588996564</v>
      </c>
      <c r="D75" s="436">
        <f t="shared" si="5"/>
        <v>0.1904409193</v>
      </c>
      <c r="E75" s="436">
        <f t="shared" si="5"/>
        <v>0.03189103553</v>
      </c>
      <c r="F75" s="436">
        <f t="shared" si="5"/>
        <v>0.1340246487</v>
      </c>
      <c r="G75" s="436">
        <f t="shared" si="5"/>
        <v>0.07697055737</v>
      </c>
      <c r="H75" s="436">
        <f t="shared" si="5"/>
        <v>0.0737403041</v>
      </c>
      <c r="I75" s="436">
        <f t="shared" si="5"/>
        <v>0.05170462729</v>
      </c>
      <c r="J75" s="436">
        <f t="shared" si="5"/>
        <v>0.03045079522</v>
      </c>
      <c r="K75" s="436">
        <f t="shared" si="5"/>
        <v>0.03065654383</v>
      </c>
      <c r="L75" s="436">
        <f t="shared" si="5"/>
        <v>0.02510133119</v>
      </c>
      <c r="M75" s="436">
        <f t="shared" si="5"/>
        <v>0.01001995762</v>
      </c>
      <c r="N75" s="437">
        <f t="shared" si="3"/>
        <v>1</v>
      </c>
    </row>
    <row r="77">
      <c r="A77" s="438" t="s">
        <v>309</v>
      </c>
      <c r="B77" s="439"/>
      <c r="C77" s="438">
        <v>2050.0</v>
      </c>
      <c r="D77" s="438" t="s">
        <v>1</v>
      </c>
      <c r="E77" s="438" t="s">
        <v>2</v>
      </c>
      <c r="F77" s="438" t="s">
        <v>3</v>
      </c>
      <c r="G77" s="440" t="s">
        <v>310</v>
      </c>
      <c r="H77" s="440" t="s">
        <v>5</v>
      </c>
      <c r="I77" s="440" t="s">
        <v>6</v>
      </c>
      <c r="J77" s="440" t="s">
        <v>311</v>
      </c>
      <c r="K77" s="440" t="s">
        <v>8</v>
      </c>
      <c r="L77" s="440" t="s">
        <v>9</v>
      </c>
      <c r="M77" s="440" t="s">
        <v>10</v>
      </c>
      <c r="N77" s="438" t="s">
        <v>11</v>
      </c>
      <c r="O77" s="438" t="s">
        <v>12</v>
      </c>
    </row>
    <row r="78">
      <c r="A78" s="441" t="s">
        <v>289</v>
      </c>
      <c r="B78" s="442">
        <v>0.1861</v>
      </c>
      <c r="C78" s="443">
        <f t="shared" ref="C78:C89" si="6">B78*$E$51</f>
        <v>9.17473</v>
      </c>
      <c r="D78" s="444">
        <f>B78*Sectors!$B$77</f>
        <v>0.5719199081</v>
      </c>
      <c r="E78" s="445">
        <f>B78*Sectors!$C$77</f>
        <v>0.5989235353</v>
      </c>
      <c r="F78" s="446">
        <f>$B78*Sectors!D$77</f>
        <v>0.9183035785</v>
      </c>
      <c r="G78" s="446">
        <f>$B78*Sectors!E$77</f>
        <v>0.9264586758</v>
      </c>
      <c r="H78" s="446">
        <f>$B78*Sectors!F$77</f>
        <v>0.8751034764</v>
      </c>
      <c r="I78" s="446">
        <f>$B78*Sectors!G$77</f>
        <v>0.8558442455</v>
      </c>
      <c r="J78" s="446">
        <f>$B78*Sectors!H$77</f>
        <v>0.8167877055</v>
      </c>
      <c r="K78" s="446">
        <f>$B78*Sectors!I$77</f>
        <v>0.8353686437</v>
      </c>
      <c r="L78" s="446">
        <f>$B78*Sectors!J$77</f>
        <v>0.8461183509</v>
      </c>
      <c r="M78" s="446">
        <f>$B78*Sectors!K$77</f>
        <v>0.6728860709</v>
      </c>
      <c r="N78" s="445">
        <f>B78*Sectors!$L$77</f>
        <v>0.6527406998</v>
      </c>
      <c r="O78" s="445">
        <f>B78*Sectors!$M$77</f>
        <v>0.5778132461</v>
      </c>
    </row>
    <row r="79">
      <c r="A79" s="441" t="s">
        <v>290</v>
      </c>
      <c r="B79" s="442">
        <v>0.1589</v>
      </c>
      <c r="C79" s="443">
        <f t="shared" si="6"/>
        <v>7.83377</v>
      </c>
      <c r="D79" s="444">
        <f>B79*Sectors!$B$77</f>
        <v>0.4883292499</v>
      </c>
      <c r="E79" s="445">
        <f>B79*Sectors!$C$77</f>
        <v>0.5113860815</v>
      </c>
      <c r="F79" s="446">
        <f>$B79*Sectors!$D$77</f>
        <v>0.7840861828</v>
      </c>
      <c r="G79" s="446">
        <f>$B79*Sectors!E$77</f>
        <v>0.7910493476</v>
      </c>
      <c r="H79" s="446">
        <f>$B79*Sectors!F$77</f>
        <v>0.7472001204</v>
      </c>
      <c r="I79" s="446">
        <f>$B79*Sectors!G$77</f>
        <v>0.7307557798</v>
      </c>
      <c r="J79" s="446">
        <f>$B79*Sectors!H$77</f>
        <v>0.6974076647</v>
      </c>
      <c r="K79" s="446">
        <f>$B79*Sectors!I$77</f>
        <v>0.7132728505</v>
      </c>
      <c r="L79" s="446">
        <f>$B79*Sectors!J$77</f>
        <v>0.7224514023</v>
      </c>
      <c r="M79" s="446">
        <f>$B79*Sectors!K$77</f>
        <v>0.5745384023</v>
      </c>
      <c r="N79" s="445">
        <f>B79*Sectors!$L$77</f>
        <v>0.5573374379</v>
      </c>
      <c r="O79" s="445">
        <f>B79*Sectors!$M$77</f>
        <v>0.4933612295</v>
      </c>
    </row>
    <row r="80">
      <c r="A80" s="432" t="s">
        <v>291</v>
      </c>
      <c r="B80" s="442">
        <v>0.1904</v>
      </c>
      <c r="C80" s="443">
        <f t="shared" si="6"/>
        <v>9.38672</v>
      </c>
      <c r="D80" s="444">
        <f>B80*Sectors!$B$77</f>
        <v>0.5851346078</v>
      </c>
      <c r="E80" s="445">
        <f>B80*Sectors!$C$77</f>
        <v>0.6127621769</v>
      </c>
      <c r="F80" s="446">
        <f>$B80*Sectors!$D$77</f>
        <v>0.9395217697</v>
      </c>
      <c r="G80" s="446">
        <f>$B80*Sectors!E$77</f>
        <v>0.9478652975</v>
      </c>
      <c r="H80" s="446">
        <f>$B80*Sectors!F$77</f>
        <v>0.8953234923</v>
      </c>
      <c r="I80" s="446">
        <f>$B80*Sectors!G$77</f>
        <v>0.8756192603</v>
      </c>
      <c r="J80" s="446">
        <f>$B80*Sectors!H$77</f>
        <v>0.8356602855</v>
      </c>
      <c r="K80" s="446">
        <f>$B80*Sectors!I$77</f>
        <v>0.8546705521</v>
      </c>
      <c r="L80" s="446">
        <f>$B80*Sectors!J$77</f>
        <v>0.8656686406</v>
      </c>
      <c r="M80" s="446">
        <f>$B80*Sectors!K$77</f>
        <v>0.6884336802</v>
      </c>
      <c r="N80" s="445">
        <f>B80*Sectors!$L$77</f>
        <v>0.6678228331</v>
      </c>
      <c r="O80" s="445">
        <f>B80*Sectors!$M$77</f>
        <v>0.5911641164</v>
      </c>
    </row>
    <row r="81">
      <c r="A81" s="432" t="s">
        <v>292</v>
      </c>
      <c r="B81" s="442">
        <v>0.0319</v>
      </c>
      <c r="C81" s="443">
        <f t="shared" si="6"/>
        <v>1.57267</v>
      </c>
      <c r="D81" s="444">
        <f>B81*Sectors!$B$77</f>
        <v>0.09803463229</v>
      </c>
      <c r="E81" s="445">
        <f>B81*Sectors!$C$77</f>
        <v>0.1026634109</v>
      </c>
      <c r="F81" s="446">
        <f>$B81*Sectors!$D$77</f>
        <v>0.1574093721</v>
      </c>
      <c r="G81" s="446">
        <f>$B81*Sectors!E$77</f>
        <v>0.1588072636</v>
      </c>
      <c r="H81" s="446">
        <f>$B81*Sectors!F$77</f>
        <v>0.1500043036</v>
      </c>
      <c r="I81" s="446">
        <f>$B81*Sectors!G$77</f>
        <v>0.1467030168</v>
      </c>
      <c r="J81" s="446">
        <f>$B81*Sectors!H$77</f>
        <v>0.1400082096</v>
      </c>
      <c r="K81" s="446">
        <f>$B81*Sectors!I$77</f>
        <v>0.143193228</v>
      </c>
      <c r="L81" s="446">
        <f>$B81*Sectors!J$77</f>
        <v>0.1450358699</v>
      </c>
      <c r="M81" s="446">
        <f>$B81*Sectors!K$77</f>
        <v>0.1153415672</v>
      </c>
      <c r="N81" s="445">
        <f>B81*Sectors!$L$77</f>
        <v>0.1118883843</v>
      </c>
      <c r="O81" s="445">
        <f>B81*Sectors!$M$77</f>
        <v>0.09904482833</v>
      </c>
    </row>
    <row r="82">
      <c r="A82" s="432" t="s">
        <v>312</v>
      </c>
      <c r="B82" s="442">
        <v>0.134</v>
      </c>
      <c r="C82" s="443">
        <f t="shared" si="6"/>
        <v>6.6062</v>
      </c>
      <c r="D82" s="444">
        <f>B82*Sectors!$B$77</f>
        <v>0.4118069193</v>
      </c>
      <c r="E82" s="445">
        <f>B82*Sectors!$C$77</f>
        <v>0.4312506917</v>
      </c>
      <c r="F82" s="446">
        <f>$B82*Sectors!$D$77</f>
        <v>0.6612180522</v>
      </c>
      <c r="G82" s="446">
        <f>$B82*Sectors!E$77</f>
        <v>0.6670900728</v>
      </c>
      <c r="H82" s="446">
        <f>$B82*Sectors!F$77</f>
        <v>0.6301121217</v>
      </c>
      <c r="I82" s="446">
        <f>$B82*Sectors!G$77</f>
        <v>0.6162446475</v>
      </c>
      <c r="J82" s="446">
        <f>$B82*Sectors!H$77</f>
        <v>0.5881222597</v>
      </c>
      <c r="K82" s="446">
        <f>$B82*Sectors!I$77</f>
        <v>0.601501334</v>
      </c>
      <c r="L82" s="446">
        <f>$B82*Sectors!J$77</f>
        <v>0.6092415853</v>
      </c>
      <c r="M82" s="446">
        <f>$B82*Sectors!K$77</f>
        <v>0.4845068968</v>
      </c>
      <c r="N82" s="445">
        <f>B82*Sectors!$L$77</f>
        <v>0.4700013636</v>
      </c>
      <c r="O82" s="445">
        <f>B82*Sectors!$M$77</f>
        <v>0.4160503761</v>
      </c>
    </row>
    <row r="83">
      <c r="A83" s="432" t="s">
        <v>294</v>
      </c>
      <c r="B83" s="442">
        <v>0.077</v>
      </c>
      <c r="C83" s="443">
        <f t="shared" si="6"/>
        <v>3.7961</v>
      </c>
      <c r="D83" s="444">
        <f>B83*Sectors!$B$77</f>
        <v>0.2366353193</v>
      </c>
      <c r="E83" s="445">
        <f>B83*Sectors!$C$77</f>
        <v>0.2478082333</v>
      </c>
      <c r="F83" s="446">
        <f>$B83*Sectors!$D$77</f>
        <v>0.3799536569</v>
      </c>
      <c r="G83" s="446">
        <f>$B83*Sectors!E$77</f>
        <v>0.3833278777</v>
      </c>
      <c r="H83" s="446">
        <f>$B83*Sectors!F$77</f>
        <v>0.3620793535</v>
      </c>
      <c r="I83" s="446">
        <f>$B83*Sectors!G$77</f>
        <v>0.3541107303</v>
      </c>
      <c r="J83" s="446">
        <f>$B83*Sectors!H$77</f>
        <v>0.3379508508</v>
      </c>
      <c r="K83" s="446">
        <f>$B83*Sectors!I$77</f>
        <v>0.3456388262</v>
      </c>
      <c r="L83" s="446">
        <f>$B83*Sectors!J$77</f>
        <v>0.3500865826</v>
      </c>
      <c r="M83" s="446">
        <f>$B83*Sectors!K$77</f>
        <v>0.2784106795</v>
      </c>
      <c r="N83" s="445">
        <f>B83*Sectors!$L$77</f>
        <v>0.2700754104</v>
      </c>
      <c r="O83" s="445">
        <f>B83*Sectors!$M$77</f>
        <v>0.2390737236</v>
      </c>
    </row>
    <row r="84">
      <c r="A84" s="432" t="s">
        <v>295</v>
      </c>
      <c r="B84" s="442">
        <v>0.0737</v>
      </c>
      <c r="C84" s="443">
        <f t="shared" si="6"/>
        <v>3.63341</v>
      </c>
      <c r="D84" s="444">
        <f>B84*Sectors!$B$77</f>
        <v>0.2264938056</v>
      </c>
      <c r="E84" s="445">
        <f>B84*Sectors!$C$77</f>
        <v>0.2371878804</v>
      </c>
      <c r="F84" s="446">
        <f>$B84*Sectors!$D$77</f>
        <v>0.3636699287</v>
      </c>
      <c r="G84" s="446">
        <f>$B84*Sectors!E$77</f>
        <v>0.3668995401</v>
      </c>
      <c r="H84" s="446">
        <f>$B84*Sectors!F$77</f>
        <v>0.3465616669</v>
      </c>
      <c r="I84" s="446">
        <f>$B84*Sectors!G$77</f>
        <v>0.3389345561</v>
      </c>
      <c r="J84" s="446">
        <f>$B84*Sectors!H$77</f>
        <v>0.3234672429</v>
      </c>
      <c r="K84" s="446">
        <f>$B84*Sectors!I$77</f>
        <v>0.3308257337</v>
      </c>
      <c r="L84" s="446">
        <f>$B84*Sectors!J$77</f>
        <v>0.3350828719</v>
      </c>
      <c r="M84" s="446">
        <f>$B84*Sectors!K$77</f>
        <v>0.2664787932</v>
      </c>
      <c r="N84" s="445">
        <f>B84*Sectors!$L$77</f>
        <v>0.25850075</v>
      </c>
      <c r="O84" s="445">
        <f>B84*Sectors!$M$77</f>
        <v>0.2288277068</v>
      </c>
    </row>
    <row r="85">
      <c r="A85" s="432" t="s">
        <v>296</v>
      </c>
      <c r="B85" s="442">
        <v>0.0517</v>
      </c>
      <c r="C85" s="443">
        <f t="shared" si="6"/>
        <v>2.54881</v>
      </c>
      <c r="D85" s="444">
        <f>B85*Sectors!$B$77</f>
        <v>0.1588837144</v>
      </c>
      <c r="E85" s="445">
        <f>B85*Sectors!$C$77</f>
        <v>0.1663855281</v>
      </c>
      <c r="F85" s="446">
        <f>$B85*Sectors!$D$77</f>
        <v>0.255111741</v>
      </c>
      <c r="G85" s="446">
        <f>$B85*Sectors!E$77</f>
        <v>0.2573772893</v>
      </c>
      <c r="H85" s="446">
        <f>$B85*Sectors!F$77</f>
        <v>0.2431104231</v>
      </c>
      <c r="I85" s="446">
        <f>$B85*Sectors!G$77</f>
        <v>0.2377600618</v>
      </c>
      <c r="J85" s="446">
        <f>$B85*Sectors!H$77</f>
        <v>0.2269098569</v>
      </c>
      <c r="K85" s="446">
        <f>$B85*Sectors!I$77</f>
        <v>0.2320717833</v>
      </c>
      <c r="L85" s="446">
        <f>$B85*Sectors!J$77</f>
        <v>0.235058134</v>
      </c>
      <c r="M85" s="446">
        <f>$B85*Sectors!K$77</f>
        <v>0.1869328848</v>
      </c>
      <c r="N85" s="445">
        <f>B85*Sectors!$L$77</f>
        <v>0.181336347</v>
      </c>
      <c r="O85" s="445">
        <f>B85*Sectors!$M$77</f>
        <v>0.1605209287</v>
      </c>
    </row>
    <row r="86">
      <c r="A86" s="432" t="s">
        <v>297</v>
      </c>
      <c r="B86" s="442">
        <v>0.0305</v>
      </c>
      <c r="C86" s="443">
        <f t="shared" si="6"/>
        <v>1.50365</v>
      </c>
      <c r="D86" s="444">
        <f>B86*Sectors!$B$77</f>
        <v>0.09373217194</v>
      </c>
      <c r="E86" s="445">
        <f>B86*Sectors!$C$77</f>
        <v>0.0981578067</v>
      </c>
      <c r="F86" s="446">
        <f>$B86*Sectors!$D$77</f>
        <v>0.1505011238</v>
      </c>
      <c r="G86" s="446">
        <f>$B86*Sectors!E$77</f>
        <v>0.1518376658</v>
      </c>
      <c r="H86" s="446">
        <f>$B86*Sectors!F$77</f>
        <v>0.1434210426</v>
      </c>
      <c r="I86" s="446">
        <f>$B86*Sectors!G$77</f>
        <v>0.1402646399</v>
      </c>
      <c r="J86" s="446">
        <f>$B86*Sectors!H$77</f>
        <v>0.1338636487</v>
      </c>
      <c r="K86" s="446">
        <f>$B86*Sectors!I$77</f>
        <v>0.1369088857</v>
      </c>
      <c r="L86" s="446">
        <f>$B86*Sectors!J$77</f>
        <v>0.1386706593</v>
      </c>
      <c r="M86" s="446">
        <f>$B86*Sectors!K$77</f>
        <v>0.1102795549</v>
      </c>
      <c r="N86" s="445">
        <f>B86*Sectors!$L$77</f>
        <v>0.1069779223</v>
      </c>
      <c r="O86" s="445">
        <f>B86*Sectors!$M$77</f>
        <v>0.09469803335</v>
      </c>
    </row>
    <row r="87">
      <c r="A87" s="432" t="s">
        <v>298</v>
      </c>
      <c r="B87" s="442">
        <v>0.0307</v>
      </c>
      <c r="C87" s="443">
        <f t="shared" si="6"/>
        <v>1.51351</v>
      </c>
      <c r="D87" s="444">
        <f>B87*Sectors!$B$77</f>
        <v>0.09434680913</v>
      </c>
      <c r="E87" s="445">
        <f>B87*Sectors!$C$77</f>
        <v>0.09880146445</v>
      </c>
      <c r="F87" s="446">
        <f>$B87*Sectors!$D$77</f>
        <v>0.1514880164</v>
      </c>
      <c r="G87" s="446">
        <f>$B87*Sectors!E$77</f>
        <v>0.1528333227</v>
      </c>
      <c r="H87" s="446">
        <f>$B87*Sectors!F$77</f>
        <v>0.1443615085</v>
      </c>
      <c r="I87" s="446">
        <f>$B87*Sectors!G$77</f>
        <v>0.141184408</v>
      </c>
      <c r="J87" s="446">
        <f>$B87*Sectors!H$77</f>
        <v>0.1347414431</v>
      </c>
      <c r="K87" s="446">
        <f>$B87*Sectors!I$77</f>
        <v>0.1378066489</v>
      </c>
      <c r="L87" s="446">
        <f>$B87*Sectors!J$77</f>
        <v>0.1395799751</v>
      </c>
      <c r="M87" s="446">
        <f>$B87*Sectors!K$77</f>
        <v>0.1110026995</v>
      </c>
      <c r="N87" s="445">
        <f>B87*Sectors!$L$77</f>
        <v>0.1076794169</v>
      </c>
      <c r="O87" s="445">
        <f>B87*Sectors!$M$77</f>
        <v>0.09531900407</v>
      </c>
    </row>
    <row r="88">
      <c r="A88" s="432" t="s">
        <v>299</v>
      </c>
      <c r="B88" s="442">
        <v>0.0251</v>
      </c>
      <c r="C88" s="443">
        <f t="shared" si="6"/>
        <v>1.23743</v>
      </c>
      <c r="D88" s="444">
        <f>B88*Sectors!$B$77</f>
        <v>0.07713696773</v>
      </c>
      <c r="E88" s="445">
        <f>B88*Sectors!$C$77</f>
        <v>0.08077904748</v>
      </c>
      <c r="F88" s="446">
        <f>$B88*Sectors!$D$77</f>
        <v>0.1238550232</v>
      </c>
      <c r="G88" s="446">
        <f>$B88*Sectors!E$77</f>
        <v>0.1249549316</v>
      </c>
      <c r="H88" s="446">
        <f>$B88*Sectors!F$77</f>
        <v>0.1180284646</v>
      </c>
      <c r="I88" s="446">
        <f>$B88*Sectors!G$77</f>
        <v>0.1154309004</v>
      </c>
      <c r="J88" s="446">
        <f>$B88*Sectors!H$77</f>
        <v>0.1101631994</v>
      </c>
      <c r="K88" s="446">
        <f>$B88*Sectors!I$77</f>
        <v>0.1126692797</v>
      </c>
      <c r="L88" s="446">
        <f>$B88*Sectors!J$77</f>
        <v>0.1141191328</v>
      </c>
      <c r="M88" s="446">
        <f>$B88*Sectors!K$77</f>
        <v>0.09075465007</v>
      </c>
      <c r="N88" s="445">
        <f>B88*Sectors!$L$77</f>
        <v>0.08803756886</v>
      </c>
      <c r="O88" s="445">
        <f>B88*Sectors!$M$77</f>
        <v>0.07793182417</v>
      </c>
    </row>
    <row r="89">
      <c r="A89" s="432" t="s">
        <v>300</v>
      </c>
      <c r="B89" s="442">
        <v>0.01</v>
      </c>
      <c r="C89" s="443">
        <f t="shared" si="6"/>
        <v>0.493</v>
      </c>
      <c r="D89" s="444">
        <f>B89*Sectors!$B$77</f>
        <v>0.03073185965</v>
      </c>
      <c r="E89" s="445">
        <f>B89*Sectors!$C$77</f>
        <v>0.03218288744</v>
      </c>
      <c r="F89" s="446">
        <f>$B89*Sectors!$D$77</f>
        <v>0.04934463076</v>
      </c>
      <c r="G89" s="446">
        <f>$B89*Sectors!E$77</f>
        <v>0.04978284126</v>
      </c>
      <c r="H89" s="446">
        <f>$B89*Sectors!F$77</f>
        <v>0.04702329266</v>
      </c>
      <c r="I89" s="446">
        <f>$B89*Sectors!G$77</f>
        <v>0.04598840653</v>
      </c>
      <c r="J89" s="446">
        <f>$B89*Sectors!H$77</f>
        <v>0.04388972088</v>
      </c>
      <c r="K89" s="446">
        <f>$B89*Sectors!I$77</f>
        <v>0.04488815925</v>
      </c>
      <c r="L89" s="446">
        <f>$B89*Sectors!J$77</f>
        <v>0.04546578995</v>
      </c>
      <c r="M89" s="446">
        <f>$B89*Sectors!K$77</f>
        <v>0.03615723111</v>
      </c>
      <c r="N89" s="445">
        <f>B89*Sectors!$L$77</f>
        <v>0.03507472863</v>
      </c>
      <c r="O89" s="445">
        <f>B89*Sectors!$M$77</f>
        <v>0.03104853553</v>
      </c>
    </row>
    <row r="90">
      <c r="A90" s="176" t="s">
        <v>75</v>
      </c>
      <c r="B90" s="439"/>
      <c r="C90" s="447">
        <f t="shared" ref="C90:L90" si="7">SUM(C78:C89)</f>
        <v>49.3</v>
      </c>
      <c r="D90" s="448">
        <f t="shared" si="7"/>
        <v>3.073185965</v>
      </c>
      <c r="E90" s="448">
        <f t="shared" si="7"/>
        <v>3.218288744</v>
      </c>
      <c r="F90" s="448">
        <f t="shared" si="7"/>
        <v>4.934463076</v>
      </c>
      <c r="G90" s="448">
        <f t="shared" si="7"/>
        <v>4.978284126</v>
      </c>
      <c r="H90" s="448">
        <f t="shared" si="7"/>
        <v>4.702329266</v>
      </c>
      <c r="I90" s="448">
        <f t="shared" si="7"/>
        <v>4.598840653</v>
      </c>
      <c r="J90" s="448">
        <f t="shared" si="7"/>
        <v>4.388972088</v>
      </c>
      <c r="K90" s="448">
        <f t="shared" si="7"/>
        <v>4.488815925</v>
      </c>
      <c r="L90" s="448">
        <f t="shared" si="7"/>
        <v>4.546578995</v>
      </c>
      <c r="M90" s="446">
        <f>$B90*Sectors!K$77</f>
        <v>0</v>
      </c>
      <c r="N90" s="448">
        <f t="shared" ref="N90:O90" si="8">SUM(N78:N89)</f>
        <v>3.507472863</v>
      </c>
      <c r="O90" s="448">
        <f t="shared" si="8"/>
        <v>3.104853553</v>
      </c>
    </row>
    <row r="91">
      <c r="A91" s="449" t="s">
        <v>313</v>
      </c>
      <c r="B91" s="439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</row>
    <row r="92">
      <c r="A92" s="451" t="s">
        <v>314</v>
      </c>
      <c r="B92" s="452">
        <v>2020.0</v>
      </c>
      <c r="C92" s="453" t="s">
        <v>315</v>
      </c>
      <c r="D92" s="451" t="s">
        <v>316</v>
      </c>
      <c r="E92" s="454" t="s">
        <v>1</v>
      </c>
      <c r="F92" s="415"/>
      <c r="G92" s="454" t="s">
        <v>2</v>
      </c>
      <c r="H92" s="415"/>
      <c r="I92" s="454" t="s">
        <v>3</v>
      </c>
      <c r="J92" s="415"/>
      <c r="K92" s="454" t="s">
        <v>4</v>
      </c>
      <c r="L92" s="415"/>
      <c r="M92" s="454" t="s">
        <v>5</v>
      </c>
      <c r="N92" s="415"/>
      <c r="O92" s="454" t="s">
        <v>6</v>
      </c>
      <c r="P92" s="415"/>
      <c r="Q92" s="454" t="s">
        <v>311</v>
      </c>
      <c r="R92" s="415"/>
      <c r="S92" s="454" t="s">
        <v>8</v>
      </c>
      <c r="T92" s="415"/>
      <c r="U92" s="454" t="s">
        <v>9</v>
      </c>
      <c r="V92" s="415"/>
      <c r="W92" s="455" t="s">
        <v>10</v>
      </c>
      <c r="X92" s="415"/>
      <c r="Y92" s="454" t="s">
        <v>11</v>
      </c>
      <c r="Z92" s="415"/>
      <c r="AA92" s="454" t="s">
        <v>12</v>
      </c>
      <c r="AB92" s="415"/>
      <c r="AC92" s="456" t="s">
        <v>75</v>
      </c>
    </row>
    <row r="93">
      <c r="A93" s="457"/>
      <c r="C93" s="457"/>
      <c r="D93" s="457"/>
      <c r="E93" s="458" t="s">
        <v>317</v>
      </c>
      <c r="F93" s="458" t="s">
        <v>318</v>
      </c>
      <c r="G93" s="458" t="s">
        <v>317</v>
      </c>
      <c r="H93" s="458" t="s">
        <v>318</v>
      </c>
      <c r="I93" s="458" t="s">
        <v>317</v>
      </c>
      <c r="J93" s="458" t="s">
        <v>318</v>
      </c>
      <c r="K93" s="458" t="s">
        <v>317</v>
      </c>
      <c r="L93" s="458" t="s">
        <v>318</v>
      </c>
      <c r="M93" s="458" t="s">
        <v>317</v>
      </c>
      <c r="N93" s="458" t="s">
        <v>318</v>
      </c>
      <c r="O93" s="458" t="s">
        <v>317</v>
      </c>
      <c r="P93" s="458" t="s">
        <v>318</v>
      </c>
      <c r="Q93" s="458" t="s">
        <v>317</v>
      </c>
      <c r="R93" s="458" t="s">
        <v>318</v>
      </c>
      <c r="S93" s="458" t="s">
        <v>317</v>
      </c>
      <c r="T93" s="458" t="s">
        <v>318</v>
      </c>
      <c r="U93" s="458" t="s">
        <v>317</v>
      </c>
      <c r="V93" s="458" t="s">
        <v>318</v>
      </c>
      <c r="W93" s="459" t="s">
        <v>317</v>
      </c>
      <c r="X93" s="460" t="s">
        <v>318</v>
      </c>
      <c r="Y93" s="458" t="s">
        <v>317</v>
      </c>
      <c r="Z93" s="458" t="s">
        <v>318</v>
      </c>
      <c r="AA93" s="458" t="s">
        <v>317</v>
      </c>
      <c r="AB93" s="458" t="s">
        <v>318</v>
      </c>
      <c r="AC93" s="83"/>
    </row>
    <row r="94">
      <c r="A94" s="461" t="s">
        <v>319</v>
      </c>
      <c r="B94" s="462">
        <v>11.03</v>
      </c>
      <c r="C94" s="463">
        <f t="shared" ref="C94:C105" si="9">B94/$B$106</f>
        <v>0.1885470085</v>
      </c>
      <c r="D94" s="464">
        <f t="shared" ref="D94:D105" si="10">C94*$E$51</f>
        <v>9.295367521</v>
      </c>
      <c r="E94" s="463">
        <v>0.0</v>
      </c>
      <c r="F94" s="465">
        <f>C94*Sectors!$B$77*E94</f>
        <v>0</v>
      </c>
      <c r="G94" s="463">
        <v>0.0</v>
      </c>
      <c r="H94" s="465">
        <f>$D94*Sectors!$C$77*G94</f>
        <v>0</v>
      </c>
      <c r="I94" s="463">
        <v>0.0</v>
      </c>
      <c r="J94" s="465">
        <f>$D94*Sectors!$D$77*I94</f>
        <v>0</v>
      </c>
      <c r="K94" s="463">
        <v>0.0</v>
      </c>
      <c r="L94" s="465">
        <f>$D94*Sectors!$E$77*K94</f>
        <v>0</v>
      </c>
      <c r="M94" s="463">
        <v>0.0</v>
      </c>
      <c r="N94" s="465">
        <f>$D94*Sectors!$F$77*M94</f>
        <v>0</v>
      </c>
      <c r="O94" s="463">
        <v>0.0</v>
      </c>
      <c r="P94" s="465">
        <f>$D94*Sectors!$G$77*O94</f>
        <v>0</v>
      </c>
      <c r="Q94" s="463">
        <v>0.0</v>
      </c>
      <c r="R94" s="465">
        <f>$D94*Sectors!$H$77*Q94</f>
        <v>0</v>
      </c>
      <c r="S94" s="463">
        <v>0.0</v>
      </c>
      <c r="T94" s="465">
        <f>$D94*Sectors!$I$77*S94</f>
        <v>0</v>
      </c>
      <c r="U94" s="463">
        <v>0.0</v>
      </c>
      <c r="V94" s="465">
        <f>$D94*Sectors!$L$77*U94</f>
        <v>0</v>
      </c>
      <c r="W94" s="463">
        <v>0.0</v>
      </c>
      <c r="X94" s="465">
        <f>$D94*Sectors!$K$77*W94</f>
        <v>0</v>
      </c>
      <c r="Y94" s="466">
        <v>0.0</v>
      </c>
      <c r="Z94" s="465">
        <f>C94*Sectors!$L$77*Y94</f>
        <v>0</v>
      </c>
      <c r="AA94" s="466">
        <v>0.0</v>
      </c>
      <c r="AB94" s="465">
        <f>C94*Sectors!$M$77*AA94</f>
        <v>0</v>
      </c>
      <c r="AC94" s="467">
        <f t="shared" ref="AC94:AC106" si="11">Sum(F94,H94,J94,L94,N94,P94,R94,T94,V94,X94,Z94,AB94)</f>
        <v>0</v>
      </c>
    </row>
    <row r="95">
      <c r="A95" s="468" t="s">
        <v>290</v>
      </c>
      <c r="B95" s="469">
        <v>6.9</v>
      </c>
      <c r="C95" s="470">
        <f t="shared" si="9"/>
        <v>0.1179487179</v>
      </c>
      <c r="D95" s="471">
        <f t="shared" si="10"/>
        <v>5.814871795</v>
      </c>
      <c r="E95" s="472">
        <v>0.16</v>
      </c>
      <c r="F95" s="473">
        <f>C95*Sectors!$B$77*E95</f>
        <v>0.05799653514</v>
      </c>
      <c r="G95" s="472">
        <v>0.16</v>
      </c>
      <c r="H95" s="473">
        <f>$D95*Sectors!$C$77*G95</f>
        <v>2.994229831</v>
      </c>
      <c r="I95" s="470">
        <v>0.16</v>
      </c>
      <c r="J95" s="473">
        <f>$D95*Sectors!$D$77*I95</f>
        <v>4.590923226</v>
      </c>
      <c r="K95" s="470">
        <v>0.16</v>
      </c>
      <c r="L95" s="473">
        <f>$D95*Sectors!$E$77*K95</f>
        <v>4.631693432</v>
      </c>
      <c r="M95" s="470">
        <v>0.16</v>
      </c>
      <c r="N95" s="473">
        <f>$D95*Sectors!$F$77*M95</f>
        <v>4.374950691</v>
      </c>
      <c r="O95" s="470">
        <v>0.16</v>
      </c>
      <c r="P95" s="473">
        <f>$D95*Sectors!$G$77*O95</f>
        <v>4.278667008</v>
      </c>
      <c r="Q95" s="470">
        <v>0.16</v>
      </c>
      <c r="R95" s="473">
        <f>$D95*Sectors!$H$77*Q95</f>
        <v>4.0834096</v>
      </c>
      <c r="S95" s="470">
        <v>0.16</v>
      </c>
      <c r="T95" s="473">
        <f>$D95*Sectors!$I$77*S95</f>
        <v>4.176302258</v>
      </c>
      <c r="U95" s="470">
        <v>0.16</v>
      </c>
      <c r="V95" s="473">
        <f>$D95*Sectors!$L$77*U95</f>
        <v>3.263280804</v>
      </c>
      <c r="W95" s="470">
        <v>0.16</v>
      </c>
      <c r="X95" s="473">
        <f>$D95*Sectors!$K$77*W95</f>
        <v>3.363994613</v>
      </c>
      <c r="Y95" s="474">
        <v>0.16</v>
      </c>
      <c r="Z95" s="473">
        <f>C95*Sectors!$L$77*Y95</f>
        <v>0.06619230839</v>
      </c>
      <c r="AA95" s="474">
        <v>0.16</v>
      </c>
      <c r="AB95" s="473">
        <f>C95*Sectors!$M$77*AA95</f>
        <v>0.05859415935</v>
      </c>
      <c r="AC95" s="475">
        <f t="shared" si="11"/>
        <v>35.94023447</v>
      </c>
    </row>
    <row r="96">
      <c r="A96" s="461" t="s">
        <v>291</v>
      </c>
      <c r="B96" s="462">
        <v>4.8</v>
      </c>
      <c r="C96" s="463">
        <f t="shared" si="9"/>
        <v>0.08205128205</v>
      </c>
      <c r="D96" s="464">
        <f t="shared" si="10"/>
        <v>4.045128205</v>
      </c>
      <c r="E96" s="463">
        <v>0.0</v>
      </c>
      <c r="F96" s="465">
        <f>C96*Sectors!$B$77*E96</f>
        <v>0</v>
      </c>
      <c r="G96" s="463">
        <v>0.0</v>
      </c>
      <c r="H96" s="465">
        <f>$D96*Sectors!$C$77*G96</f>
        <v>0</v>
      </c>
      <c r="I96" s="463">
        <v>0.0</v>
      </c>
      <c r="J96" s="465">
        <f>$D96*Sectors!$D$77*I96</f>
        <v>0</v>
      </c>
      <c r="K96" s="463">
        <v>0.0</v>
      </c>
      <c r="L96" s="465">
        <f>$D96*Sectors!$E$77*K96</f>
        <v>0</v>
      </c>
      <c r="M96" s="463">
        <v>0.0</v>
      </c>
      <c r="N96" s="465">
        <f>$D96*Sectors!$F$77*M96</f>
        <v>0</v>
      </c>
      <c r="O96" s="463">
        <v>0.0</v>
      </c>
      <c r="P96" s="465">
        <f>$D96*Sectors!$G$77*O96</f>
        <v>0</v>
      </c>
      <c r="Q96" s="463">
        <v>0.0</v>
      </c>
      <c r="R96" s="465">
        <f>$D96*Sectors!$H$77*Q96</f>
        <v>0</v>
      </c>
      <c r="S96" s="463">
        <v>0.0</v>
      </c>
      <c r="T96" s="465">
        <f>$D96*Sectors!$I$77*S96</f>
        <v>0</v>
      </c>
      <c r="U96" s="463">
        <v>0.0</v>
      </c>
      <c r="V96" s="465">
        <f>$D96*Sectors!$L$77*U96</f>
        <v>0</v>
      </c>
      <c r="W96" s="463">
        <v>0.0</v>
      </c>
      <c r="X96" s="465">
        <f>$D96*Sectors!$K$77*W96</f>
        <v>0</v>
      </c>
      <c r="Y96" s="466">
        <v>-0.5</v>
      </c>
      <c r="Z96" s="465">
        <f>C96*Sectors!$L$77*Y96</f>
        <v>-0.1438963226</v>
      </c>
      <c r="AA96" s="466">
        <v>-1.0</v>
      </c>
      <c r="AB96" s="465">
        <f>C96*Sectors!$M$77*AA96</f>
        <v>-0.2547572146</v>
      </c>
      <c r="AC96" s="467">
        <f t="shared" si="11"/>
        <v>-0.3986535372</v>
      </c>
    </row>
    <row r="97">
      <c r="A97" s="468" t="s">
        <v>292</v>
      </c>
      <c r="B97" s="469">
        <v>1.8</v>
      </c>
      <c r="C97" s="470">
        <f t="shared" si="9"/>
        <v>0.03076923077</v>
      </c>
      <c r="D97" s="471">
        <f t="shared" si="10"/>
        <v>1.516923077</v>
      </c>
      <c r="E97" s="470">
        <v>0.0</v>
      </c>
      <c r="F97" s="473">
        <f>C97*Sectors!$B$77*E97</f>
        <v>0</v>
      </c>
      <c r="G97" s="470">
        <v>0.0</v>
      </c>
      <c r="H97" s="473">
        <f>$D97*Sectors!$C$77*G97</f>
        <v>0</v>
      </c>
      <c r="I97" s="470">
        <v>0.0</v>
      </c>
      <c r="J97" s="473">
        <f>$D97*Sectors!$D$77*I97</f>
        <v>0</v>
      </c>
      <c r="K97" s="470">
        <v>0.0</v>
      </c>
      <c r="L97" s="473">
        <f>$D97*Sectors!$E$77*K97</f>
        <v>0</v>
      </c>
      <c r="M97" s="470">
        <v>0.0</v>
      </c>
      <c r="N97" s="473">
        <f>$D97*Sectors!$F$77*M97</f>
        <v>0</v>
      </c>
      <c r="O97" s="470">
        <v>0.0</v>
      </c>
      <c r="P97" s="473">
        <f>$D97*Sectors!$G$77*O97</f>
        <v>0</v>
      </c>
      <c r="Q97" s="470">
        <v>0.0</v>
      </c>
      <c r="R97" s="473">
        <f>$D97*Sectors!$H$77*Q97</f>
        <v>0</v>
      </c>
      <c r="S97" s="470">
        <v>0.0</v>
      </c>
      <c r="T97" s="473">
        <f>$D97*Sectors!$I$77*S97</f>
        <v>0</v>
      </c>
      <c r="U97" s="470">
        <v>0.0</v>
      </c>
      <c r="V97" s="473">
        <f>$D97*Sectors!$L$77*U97</f>
        <v>0</v>
      </c>
      <c r="W97" s="470">
        <v>0.0</v>
      </c>
      <c r="X97" s="473">
        <f>$D97*Sectors!$K$77*W97</f>
        <v>0</v>
      </c>
      <c r="Y97" s="474">
        <v>-0.5</v>
      </c>
      <c r="Z97" s="473">
        <f>C97*Sectors!$L$77*Y97</f>
        <v>-0.05396112097</v>
      </c>
      <c r="AA97" s="474">
        <v>-1.0</v>
      </c>
      <c r="AB97" s="473">
        <f>C97*Sectors!$M$77*AA97</f>
        <v>-0.09553395547</v>
      </c>
      <c r="AC97" s="475">
        <f t="shared" si="11"/>
        <v>-0.1494950764</v>
      </c>
    </row>
    <row r="98">
      <c r="A98" s="461" t="s">
        <v>293</v>
      </c>
      <c r="B98" s="462">
        <v>8.2</v>
      </c>
      <c r="C98" s="463">
        <f t="shared" si="9"/>
        <v>0.1401709402</v>
      </c>
      <c r="D98" s="464">
        <f t="shared" si="10"/>
        <v>6.91042735</v>
      </c>
      <c r="E98" s="463">
        <v>0.0</v>
      </c>
      <c r="F98" s="465">
        <f>C98*Sectors!$B$77*E98</f>
        <v>0</v>
      </c>
      <c r="G98" s="463">
        <v>0.0</v>
      </c>
      <c r="H98" s="465">
        <f>$D98*Sectors!$C$77*G98</f>
        <v>0</v>
      </c>
      <c r="I98" s="463">
        <v>0.0</v>
      </c>
      <c r="J98" s="465">
        <f>$D98*Sectors!$D$77*I98</f>
        <v>0</v>
      </c>
      <c r="K98" s="463">
        <v>0.0</v>
      </c>
      <c r="L98" s="465">
        <f>$D98*Sectors!$E$77*K98</f>
        <v>0</v>
      </c>
      <c r="M98" s="463">
        <v>0.0</v>
      </c>
      <c r="N98" s="465">
        <f>$D98*Sectors!$F$77*M98</f>
        <v>0</v>
      </c>
      <c r="O98" s="463">
        <v>0.0</v>
      </c>
      <c r="P98" s="465">
        <f>$D98*Sectors!$G$77*O98</f>
        <v>0</v>
      </c>
      <c r="Q98" s="463">
        <v>0.0</v>
      </c>
      <c r="R98" s="465">
        <f>$D98*Sectors!$H$77*Q98</f>
        <v>0</v>
      </c>
      <c r="S98" s="463">
        <v>0.0</v>
      </c>
      <c r="T98" s="465">
        <f>$D98*Sectors!$I$77*S98</f>
        <v>0</v>
      </c>
      <c r="U98" s="463">
        <v>0.0</v>
      </c>
      <c r="V98" s="465">
        <f>$D98*Sectors!$L$77*U98</f>
        <v>0</v>
      </c>
      <c r="W98" s="463">
        <v>0.0</v>
      </c>
      <c r="X98" s="465">
        <f>$D98*Sectors!$K$77*W98</f>
        <v>0</v>
      </c>
      <c r="Y98" s="466">
        <v>-0.5</v>
      </c>
      <c r="Z98" s="465">
        <f>C98*Sectors!$L$77*Y98</f>
        <v>-0.2458228844</v>
      </c>
      <c r="AA98" s="466">
        <v>-1.0</v>
      </c>
      <c r="AB98" s="465">
        <f>C98*Sectors!$M$77*AA98</f>
        <v>-0.4352102416</v>
      </c>
      <c r="AC98" s="467">
        <f t="shared" si="11"/>
        <v>-0.681033126</v>
      </c>
    </row>
    <row r="99">
      <c r="A99" s="468" t="s">
        <v>294</v>
      </c>
      <c r="B99" s="469">
        <v>6.9</v>
      </c>
      <c r="C99" s="470">
        <f t="shared" si="9"/>
        <v>0.1179487179</v>
      </c>
      <c r="D99" s="471">
        <f t="shared" si="10"/>
        <v>5.814871795</v>
      </c>
      <c r="E99" s="470">
        <v>0.0</v>
      </c>
      <c r="F99" s="473">
        <f>C99*Sectors!$B$77*E99</f>
        <v>0</v>
      </c>
      <c r="G99" s="470">
        <v>0.0</v>
      </c>
      <c r="H99" s="473">
        <f>$D99*Sectors!$C$77*G99</f>
        <v>0</v>
      </c>
      <c r="I99" s="470">
        <v>0.0</v>
      </c>
      <c r="J99" s="473">
        <f>$D99*Sectors!$D$77*I99</f>
        <v>0</v>
      </c>
      <c r="K99" s="470">
        <v>0.0</v>
      </c>
      <c r="L99" s="473">
        <f>$D99*Sectors!$E$77*K99</f>
        <v>0</v>
      </c>
      <c r="M99" s="470">
        <v>0.0</v>
      </c>
      <c r="N99" s="473">
        <f>$D99*Sectors!$F$77*M99</f>
        <v>0</v>
      </c>
      <c r="O99" s="470">
        <v>0.0</v>
      </c>
      <c r="P99" s="473">
        <f>$D99*Sectors!$G$77*O99</f>
        <v>0</v>
      </c>
      <c r="Q99" s="470">
        <v>0.0</v>
      </c>
      <c r="R99" s="473">
        <f>$D99*Sectors!$H$77*Q99</f>
        <v>0</v>
      </c>
      <c r="S99" s="470">
        <v>0.0</v>
      </c>
      <c r="T99" s="473">
        <f>$D99*Sectors!$I$77*S99</f>
        <v>0</v>
      </c>
      <c r="U99" s="470">
        <v>0.0</v>
      </c>
      <c r="V99" s="473">
        <f>$D99*Sectors!$L$77*U99</f>
        <v>0</v>
      </c>
      <c r="W99" s="470">
        <v>0.0</v>
      </c>
      <c r="X99" s="473">
        <f>$D99*Sectors!$K$77*W99</f>
        <v>0</v>
      </c>
      <c r="Y99" s="474">
        <v>-0.5</v>
      </c>
      <c r="Z99" s="473">
        <f>C99*Sectors!$L$77*Y99</f>
        <v>-0.2068509637</v>
      </c>
      <c r="AA99" s="474">
        <v>-1.0</v>
      </c>
      <c r="AB99" s="473">
        <f>C99*Sectors!$M$77*AA99</f>
        <v>-0.366213496</v>
      </c>
      <c r="AC99" s="475">
        <f t="shared" si="11"/>
        <v>-0.5730644597</v>
      </c>
    </row>
    <row r="100">
      <c r="A100" s="461" t="s">
        <v>295</v>
      </c>
      <c r="B100" s="462">
        <v>9.9</v>
      </c>
      <c r="C100" s="463">
        <f t="shared" si="9"/>
        <v>0.1692307692</v>
      </c>
      <c r="D100" s="464">
        <f t="shared" si="10"/>
        <v>8.343076923</v>
      </c>
      <c r="E100" s="463">
        <v>0.0</v>
      </c>
      <c r="F100" s="465">
        <f>C100*Sectors!$B$77*E100</f>
        <v>0</v>
      </c>
      <c r="G100" s="463">
        <v>0.0</v>
      </c>
      <c r="H100" s="465">
        <f>$D100*Sectors!$C$77*G100</f>
        <v>0</v>
      </c>
      <c r="I100" s="463">
        <v>0.0</v>
      </c>
      <c r="J100" s="465">
        <f>$D100*Sectors!$D$77*I100</f>
        <v>0</v>
      </c>
      <c r="K100" s="463">
        <v>0.0</v>
      </c>
      <c r="L100" s="465">
        <f>$D100*Sectors!$E$77*K100</f>
        <v>0</v>
      </c>
      <c r="M100" s="463">
        <v>0.0</v>
      </c>
      <c r="N100" s="465">
        <f>$D100*Sectors!$F$77*M100</f>
        <v>0</v>
      </c>
      <c r="O100" s="463">
        <v>0.0</v>
      </c>
      <c r="P100" s="465">
        <f>$D100*Sectors!$G$77*O100</f>
        <v>0</v>
      </c>
      <c r="Q100" s="463">
        <v>0.0</v>
      </c>
      <c r="R100" s="465">
        <f>$D100*Sectors!$H$77*Q100</f>
        <v>0</v>
      </c>
      <c r="S100" s="463">
        <v>0.0</v>
      </c>
      <c r="T100" s="465">
        <f>$D100*Sectors!$I$77*S100</f>
        <v>0</v>
      </c>
      <c r="U100" s="463">
        <v>0.0</v>
      </c>
      <c r="V100" s="465">
        <f>$D100*Sectors!$L$77*U100</f>
        <v>0</v>
      </c>
      <c r="W100" s="463">
        <v>0.0</v>
      </c>
      <c r="X100" s="465">
        <f>$D100*Sectors!$K$77*W100</f>
        <v>0</v>
      </c>
      <c r="Y100" s="466">
        <v>-0.5</v>
      </c>
      <c r="Z100" s="465">
        <f>C100*Sectors!$L$77*Y100</f>
        <v>-0.2967861653</v>
      </c>
      <c r="AA100" s="466">
        <v>-1.0</v>
      </c>
      <c r="AB100" s="465">
        <f>C100*Sectors!$M$77*AA100</f>
        <v>-0.5254367551</v>
      </c>
      <c r="AC100" s="467">
        <f t="shared" si="11"/>
        <v>-0.8222229204</v>
      </c>
    </row>
    <row r="101">
      <c r="A101" s="468" t="s">
        <v>296</v>
      </c>
      <c r="B101" s="469">
        <v>3.2</v>
      </c>
      <c r="C101" s="470">
        <f t="shared" si="9"/>
        <v>0.0547008547</v>
      </c>
      <c r="D101" s="471">
        <f t="shared" si="10"/>
        <v>2.696752137</v>
      </c>
      <c r="E101" s="470">
        <v>0.0</v>
      </c>
      <c r="F101" s="473">
        <f>C101*Sectors!$B$77*E101</f>
        <v>0</v>
      </c>
      <c r="G101" s="470">
        <v>0.0</v>
      </c>
      <c r="H101" s="473">
        <f>$D101*Sectors!$C$77*G101</f>
        <v>0</v>
      </c>
      <c r="I101" s="470">
        <v>0.0</v>
      </c>
      <c r="J101" s="473">
        <f>$D101*Sectors!$D$77*I101</f>
        <v>0</v>
      </c>
      <c r="K101" s="470">
        <v>0.0</v>
      </c>
      <c r="L101" s="473">
        <f>$D101*Sectors!$E$77*K101</f>
        <v>0</v>
      </c>
      <c r="M101" s="470">
        <v>0.0</v>
      </c>
      <c r="N101" s="473">
        <f>$D101*Sectors!$F$77*M101</f>
        <v>0</v>
      </c>
      <c r="O101" s="470">
        <v>0.0</v>
      </c>
      <c r="P101" s="473">
        <f>$D101*Sectors!$G$77*O101</f>
        <v>0</v>
      </c>
      <c r="Q101" s="470">
        <v>0.0</v>
      </c>
      <c r="R101" s="473">
        <f>$D101*Sectors!$H$77*Q101</f>
        <v>0</v>
      </c>
      <c r="S101" s="470">
        <v>0.0</v>
      </c>
      <c r="T101" s="473">
        <f>$D101*Sectors!$I$77*S101</f>
        <v>0</v>
      </c>
      <c r="U101" s="470">
        <v>0.0</v>
      </c>
      <c r="V101" s="473">
        <f>$D101*Sectors!$L$77*U101</f>
        <v>0</v>
      </c>
      <c r="W101" s="470">
        <v>0.0</v>
      </c>
      <c r="X101" s="473">
        <f>$D101*Sectors!$K$77*W101</f>
        <v>0</v>
      </c>
      <c r="Y101" s="474">
        <v>-0.5</v>
      </c>
      <c r="Z101" s="473">
        <f>C101*Sectors!$L$77*Y101</f>
        <v>-0.09593088172</v>
      </c>
      <c r="AA101" s="474">
        <v>-1.0</v>
      </c>
      <c r="AB101" s="473">
        <f>C101*Sectors!$M$77*AA101</f>
        <v>-0.169838143</v>
      </c>
      <c r="AC101" s="475">
        <f t="shared" si="11"/>
        <v>-0.2657690248</v>
      </c>
    </row>
    <row r="102">
      <c r="A102" s="461" t="s">
        <v>297</v>
      </c>
      <c r="B102" s="462">
        <v>1.7</v>
      </c>
      <c r="C102" s="463">
        <f t="shared" si="9"/>
        <v>0.02905982906</v>
      </c>
      <c r="D102" s="464">
        <f t="shared" si="10"/>
        <v>1.432649573</v>
      </c>
      <c r="E102" s="463">
        <v>0.0</v>
      </c>
      <c r="F102" s="465">
        <f>C102*Sectors!$B$77*E102</f>
        <v>0</v>
      </c>
      <c r="G102" s="463">
        <v>0.0</v>
      </c>
      <c r="H102" s="465">
        <f>$D102*Sectors!$C$77*G102</f>
        <v>0</v>
      </c>
      <c r="I102" s="463">
        <v>0.0</v>
      </c>
      <c r="J102" s="465">
        <f>$D102*Sectors!$D$77*I102</f>
        <v>0</v>
      </c>
      <c r="K102" s="463">
        <v>0.0</v>
      </c>
      <c r="L102" s="465">
        <f>$D102*Sectors!$E$77*K102</f>
        <v>0</v>
      </c>
      <c r="M102" s="463">
        <v>0.0</v>
      </c>
      <c r="N102" s="465">
        <f>$D102*Sectors!$F$77*M102</f>
        <v>0</v>
      </c>
      <c r="O102" s="463">
        <v>0.0</v>
      </c>
      <c r="P102" s="465">
        <f>$D102*Sectors!$G$77*O102</f>
        <v>0</v>
      </c>
      <c r="Q102" s="463">
        <v>0.0</v>
      </c>
      <c r="R102" s="465">
        <f>$D102*Sectors!$H$77*Q102</f>
        <v>0</v>
      </c>
      <c r="S102" s="463">
        <v>0.0</v>
      </c>
      <c r="T102" s="465">
        <f>$D102*Sectors!$I$77*S102</f>
        <v>0</v>
      </c>
      <c r="U102" s="463">
        <v>0.0</v>
      </c>
      <c r="V102" s="465">
        <f>$D102*Sectors!$L$77*U102</f>
        <v>0</v>
      </c>
      <c r="W102" s="463">
        <v>0.0</v>
      </c>
      <c r="X102" s="465">
        <f>$D102*Sectors!$K$77*W102</f>
        <v>0</v>
      </c>
      <c r="Y102" s="466">
        <v>-0.5</v>
      </c>
      <c r="Z102" s="465">
        <f>C102*Sectors!$L$77*Y102</f>
        <v>-0.05096328091</v>
      </c>
      <c r="AA102" s="466">
        <v>-1.0</v>
      </c>
      <c r="AB102" s="465">
        <f>C102*Sectors!$M$77*AA102</f>
        <v>-0.09022651349</v>
      </c>
      <c r="AC102" s="467">
        <f t="shared" si="11"/>
        <v>-0.1411897944</v>
      </c>
    </row>
    <row r="103">
      <c r="A103" s="468" t="s">
        <v>298</v>
      </c>
      <c r="B103" s="469">
        <v>1.7</v>
      </c>
      <c r="C103" s="470">
        <f t="shared" si="9"/>
        <v>0.02905982906</v>
      </c>
      <c r="D103" s="471">
        <f t="shared" si="10"/>
        <v>1.432649573</v>
      </c>
      <c r="E103" s="470">
        <v>0.0</v>
      </c>
      <c r="F103" s="473">
        <f>C103*Sectors!$B$77*E103</f>
        <v>0</v>
      </c>
      <c r="G103" s="470">
        <v>0.0</v>
      </c>
      <c r="H103" s="473">
        <f>$D103*Sectors!$C$77*G103</f>
        <v>0</v>
      </c>
      <c r="I103" s="470">
        <v>0.0</v>
      </c>
      <c r="J103" s="473">
        <f>$D103*Sectors!$D$77*I103</f>
        <v>0</v>
      </c>
      <c r="K103" s="470">
        <v>0.0</v>
      </c>
      <c r="L103" s="473">
        <f>$D103*Sectors!$E$77*K103</f>
        <v>0</v>
      </c>
      <c r="M103" s="470">
        <v>0.0</v>
      </c>
      <c r="N103" s="473">
        <f>$D103*Sectors!$F$77*M103</f>
        <v>0</v>
      </c>
      <c r="O103" s="470">
        <v>0.0</v>
      </c>
      <c r="P103" s="473">
        <f>$D103*Sectors!$G$77*O103</f>
        <v>0</v>
      </c>
      <c r="Q103" s="470">
        <v>0.0</v>
      </c>
      <c r="R103" s="473">
        <f>$D103*Sectors!$H$77*Q103</f>
        <v>0</v>
      </c>
      <c r="S103" s="470">
        <v>0.0</v>
      </c>
      <c r="T103" s="473">
        <f>$D103*Sectors!$I$77*S103</f>
        <v>0</v>
      </c>
      <c r="U103" s="470">
        <v>0.0</v>
      </c>
      <c r="V103" s="473">
        <f>$D103*Sectors!$L$77*U103</f>
        <v>0</v>
      </c>
      <c r="W103" s="470">
        <v>0.0</v>
      </c>
      <c r="X103" s="473">
        <f>$D103*Sectors!$K$77*W103</f>
        <v>0</v>
      </c>
      <c r="Y103" s="474">
        <v>-0.5</v>
      </c>
      <c r="Z103" s="473">
        <f>C103*Sectors!$L$77*Y103</f>
        <v>-0.05096328091</v>
      </c>
      <c r="AA103" s="474">
        <v>-1.0</v>
      </c>
      <c r="AB103" s="473">
        <f>C103*Sectors!$M$77*AA103</f>
        <v>-0.09022651349</v>
      </c>
      <c r="AC103" s="475">
        <f t="shared" si="11"/>
        <v>-0.1411897944</v>
      </c>
    </row>
    <row r="104">
      <c r="A104" s="461" t="s">
        <v>299</v>
      </c>
      <c r="B104" s="462">
        <v>1.0</v>
      </c>
      <c r="C104" s="463">
        <f t="shared" si="9"/>
        <v>0.01709401709</v>
      </c>
      <c r="D104" s="464">
        <f t="shared" si="10"/>
        <v>0.8427350427</v>
      </c>
      <c r="E104" s="463">
        <v>0.0</v>
      </c>
      <c r="F104" s="465">
        <f>C104*Sectors!$B$77*E104</f>
        <v>0</v>
      </c>
      <c r="G104" s="463">
        <v>0.0</v>
      </c>
      <c r="H104" s="465">
        <f>$D104*Sectors!$C$77*G104</f>
        <v>0</v>
      </c>
      <c r="I104" s="463">
        <v>0.0</v>
      </c>
      <c r="J104" s="465">
        <f>$D104*Sectors!$D$77*I104</f>
        <v>0</v>
      </c>
      <c r="K104" s="463">
        <v>0.0</v>
      </c>
      <c r="L104" s="465">
        <f>$D104*Sectors!$E$77*K104</f>
        <v>0</v>
      </c>
      <c r="M104" s="463">
        <v>0.0</v>
      </c>
      <c r="N104" s="465">
        <f>$D104*Sectors!$F$77*M104</f>
        <v>0</v>
      </c>
      <c r="O104" s="463">
        <v>0.0</v>
      </c>
      <c r="P104" s="465">
        <f>$D104*Sectors!$G$77*O104</f>
        <v>0</v>
      </c>
      <c r="Q104" s="463">
        <v>0.0</v>
      </c>
      <c r="R104" s="465">
        <f>$D104*Sectors!$H$77*Q104</f>
        <v>0</v>
      </c>
      <c r="S104" s="463">
        <v>0.0</v>
      </c>
      <c r="T104" s="465">
        <f>$D104*Sectors!$I$77*S104</f>
        <v>0</v>
      </c>
      <c r="U104" s="463">
        <v>0.0</v>
      </c>
      <c r="V104" s="465">
        <f>$D104*Sectors!$L$77*U104</f>
        <v>0</v>
      </c>
      <c r="W104" s="463">
        <v>0.0</v>
      </c>
      <c r="X104" s="465">
        <f>$D104*Sectors!$K$77*W104</f>
        <v>0</v>
      </c>
      <c r="Y104" s="466">
        <v>-0.5</v>
      </c>
      <c r="Z104" s="465">
        <f>C104*Sectors!$L$77*Y104</f>
        <v>-0.02997840054</v>
      </c>
      <c r="AA104" s="466">
        <v>-1.0</v>
      </c>
      <c r="AB104" s="465">
        <f>C104*Sectors!$M$77*AA104</f>
        <v>-0.0530744197</v>
      </c>
      <c r="AC104" s="467">
        <f t="shared" si="11"/>
        <v>-0.08305282024</v>
      </c>
    </row>
    <row r="105">
      <c r="A105" s="468" t="s">
        <v>300</v>
      </c>
      <c r="B105" s="469">
        <v>0.8</v>
      </c>
      <c r="C105" s="470">
        <f t="shared" si="9"/>
        <v>0.01367521368</v>
      </c>
      <c r="D105" s="471">
        <f t="shared" si="10"/>
        <v>0.6741880342</v>
      </c>
      <c r="E105" s="470">
        <v>0.0</v>
      </c>
      <c r="F105" s="473">
        <f>C105*Sectors!$B$77*E105</f>
        <v>0</v>
      </c>
      <c r="G105" s="470">
        <v>0.0</v>
      </c>
      <c r="H105" s="473">
        <f>$D105*Sectors!$C$77*G105</f>
        <v>0</v>
      </c>
      <c r="I105" s="470">
        <v>0.0</v>
      </c>
      <c r="J105" s="473">
        <f>$D105*Sectors!$D$77*I105</f>
        <v>0</v>
      </c>
      <c r="K105" s="470">
        <v>0.0</v>
      </c>
      <c r="L105" s="473">
        <f>$D105*Sectors!$E$77*K105</f>
        <v>0</v>
      </c>
      <c r="M105" s="470">
        <v>0.0</v>
      </c>
      <c r="N105" s="473">
        <f>$D105*Sectors!$F$77*M105</f>
        <v>0</v>
      </c>
      <c r="O105" s="470">
        <v>0.0</v>
      </c>
      <c r="P105" s="473">
        <f>$D105*Sectors!$G$77*O105</f>
        <v>0</v>
      </c>
      <c r="Q105" s="470">
        <v>0.0</v>
      </c>
      <c r="R105" s="473">
        <f>$D105*Sectors!$H$77*Q105</f>
        <v>0</v>
      </c>
      <c r="S105" s="470">
        <v>0.0</v>
      </c>
      <c r="T105" s="473">
        <f>$D105*Sectors!$I$77*S105</f>
        <v>0</v>
      </c>
      <c r="U105" s="470">
        <v>0.0</v>
      </c>
      <c r="V105" s="473">
        <f>$D105*Sectors!$L$77*U105</f>
        <v>0</v>
      </c>
      <c r="W105" s="470">
        <v>0.0</v>
      </c>
      <c r="X105" s="473">
        <f>$D105*Sectors!$K$77*W105</f>
        <v>0</v>
      </c>
      <c r="Y105" s="474">
        <v>-0.5</v>
      </c>
      <c r="Z105" s="473">
        <f>C105*Sectors!$L$77*Y105</f>
        <v>-0.02398272043</v>
      </c>
      <c r="AA105" s="474">
        <v>-1.0</v>
      </c>
      <c r="AB105" s="473">
        <f>C105*Sectors!$M$77*AA105</f>
        <v>-0.04245953576</v>
      </c>
      <c r="AC105" s="475">
        <f t="shared" si="11"/>
        <v>-0.06644225619</v>
      </c>
    </row>
    <row r="106">
      <c r="A106" s="476" t="s">
        <v>269</v>
      </c>
      <c r="B106" s="477">
        <v>58.5</v>
      </c>
      <c r="C106" s="478"/>
      <c r="D106" s="479">
        <f>SUM(D94:D105)</f>
        <v>48.81964103</v>
      </c>
      <c r="E106" s="480"/>
      <c r="F106" s="481">
        <f>SUM(F94:F105)</f>
        <v>0.05799653514</v>
      </c>
      <c r="G106" s="480"/>
      <c r="H106" s="481">
        <f>SUM(H94:H105)</f>
        <v>2.994229831</v>
      </c>
      <c r="I106" s="480"/>
      <c r="J106" s="465">
        <f t="shared" ref="J106:U106" si="12">SUM(J94:J105)</f>
        <v>4.590923226</v>
      </c>
      <c r="K106" s="481">
        <f t="shared" si="12"/>
        <v>0.16</v>
      </c>
      <c r="L106" s="481">
        <f t="shared" si="12"/>
        <v>4.631693432</v>
      </c>
      <c r="M106" s="481">
        <f t="shared" si="12"/>
        <v>0.16</v>
      </c>
      <c r="N106" s="481">
        <f t="shared" si="12"/>
        <v>4.374950691</v>
      </c>
      <c r="O106" s="481">
        <f t="shared" si="12"/>
        <v>0.16</v>
      </c>
      <c r="P106" s="481">
        <f t="shared" si="12"/>
        <v>4.278667008</v>
      </c>
      <c r="Q106" s="481">
        <f t="shared" si="12"/>
        <v>0.16</v>
      </c>
      <c r="R106" s="481">
        <f t="shared" si="12"/>
        <v>4.0834096</v>
      </c>
      <c r="S106" s="481">
        <f t="shared" si="12"/>
        <v>0.16</v>
      </c>
      <c r="T106" s="481">
        <f t="shared" si="12"/>
        <v>4.176302258</v>
      </c>
      <c r="U106" s="481">
        <f t="shared" si="12"/>
        <v>0.16</v>
      </c>
      <c r="V106" s="481">
        <f>SUM(V95:V105)</f>
        <v>3.263280804</v>
      </c>
      <c r="W106" s="481">
        <f t="shared" ref="W106:X106" si="13">SUM(W94:W105)</f>
        <v>0.16</v>
      </c>
      <c r="X106" s="481">
        <f t="shared" si="13"/>
        <v>3.363994613</v>
      </c>
      <c r="Y106" s="482">
        <v>0.0</v>
      </c>
      <c r="Z106" s="481">
        <f>SUM(Z94:Z105)</f>
        <v>-1.132943713</v>
      </c>
      <c r="AA106" s="482">
        <v>0.0</v>
      </c>
      <c r="AB106" s="481">
        <f>SUM(AB94:AB105)</f>
        <v>-2.064382629</v>
      </c>
      <c r="AC106" s="467">
        <f t="shared" si="11"/>
        <v>32.61812166</v>
      </c>
    </row>
  </sheetData>
  <mergeCells count="29">
    <mergeCell ref="B54:C54"/>
    <mergeCell ref="D54:E54"/>
    <mergeCell ref="F54:G54"/>
    <mergeCell ref="H54:I54"/>
    <mergeCell ref="J54:K54"/>
    <mergeCell ref="L54:M54"/>
    <mergeCell ref="B28:B31"/>
    <mergeCell ref="B32:B35"/>
    <mergeCell ref="B36:B37"/>
    <mergeCell ref="B38:B39"/>
    <mergeCell ref="B40:B41"/>
    <mergeCell ref="B42:B45"/>
    <mergeCell ref="B46:B49"/>
    <mergeCell ref="A92:A93"/>
    <mergeCell ref="B92:B93"/>
    <mergeCell ref="C92:C93"/>
    <mergeCell ref="D92:D93"/>
    <mergeCell ref="E92:F92"/>
    <mergeCell ref="G92:H92"/>
    <mergeCell ref="I92:J92"/>
    <mergeCell ref="Y92:Z92"/>
    <mergeCell ref="AA92:AB92"/>
    <mergeCell ref="K92:L92"/>
    <mergeCell ref="M92:N92"/>
    <mergeCell ref="O92:P92"/>
    <mergeCell ref="Q92:R92"/>
    <mergeCell ref="S92:T92"/>
    <mergeCell ref="U92:V92"/>
    <mergeCell ref="W92:X92"/>
  </mergeCells>
  <drawing r:id="rId1"/>
  <tableParts count="4"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2">
      <c r="A2" s="483" t="s">
        <v>320</v>
      </c>
      <c r="B2" s="484" t="s">
        <v>75</v>
      </c>
      <c r="C2" s="484" t="s">
        <v>321</v>
      </c>
      <c r="D2" s="484" t="s">
        <v>322</v>
      </c>
      <c r="E2" s="484" t="s">
        <v>323</v>
      </c>
      <c r="F2" s="484" t="s">
        <v>324</v>
      </c>
      <c r="G2" s="484" t="s">
        <v>325</v>
      </c>
      <c r="H2" s="484" t="s">
        <v>326</v>
      </c>
      <c r="I2" s="484" t="s">
        <v>327</v>
      </c>
      <c r="J2" s="484" t="s">
        <v>328</v>
      </c>
      <c r="K2" s="484" t="s">
        <v>329</v>
      </c>
      <c r="L2" s="484" t="s">
        <v>330</v>
      </c>
      <c r="M2" s="484" t="s">
        <v>331</v>
      </c>
      <c r="N2" s="484" t="s">
        <v>332</v>
      </c>
      <c r="O2" s="484" t="s">
        <v>333</v>
      </c>
      <c r="P2" s="484" t="s">
        <v>298</v>
      </c>
      <c r="Q2" s="484" t="s">
        <v>334</v>
      </c>
      <c r="R2" s="484" t="s">
        <v>335</v>
      </c>
      <c r="S2" s="484" t="s">
        <v>336</v>
      </c>
      <c r="T2" s="485" t="s">
        <v>337</v>
      </c>
      <c r="U2" s="484" t="s">
        <v>338</v>
      </c>
      <c r="V2" s="484" t="s">
        <v>339</v>
      </c>
      <c r="W2" s="484" t="s">
        <v>20</v>
      </c>
    </row>
    <row r="3">
      <c r="A3" s="486" t="s">
        <v>340</v>
      </c>
      <c r="B3" s="244" t="s">
        <v>341</v>
      </c>
      <c r="C3" s="244" t="s">
        <v>342</v>
      </c>
      <c r="D3" s="244" t="s">
        <v>343</v>
      </c>
      <c r="E3" s="244">
        <v>445.0</v>
      </c>
      <c r="F3" s="244">
        <v>16.0</v>
      </c>
      <c r="G3" s="244" t="s">
        <v>344</v>
      </c>
      <c r="H3" s="244" t="s">
        <v>345</v>
      </c>
      <c r="I3" s="244">
        <v>37.0</v>
      </c>
      <c r="J3" s="244">
        <v>21.0</v>
      </c>
      <c r="K3" s="244">
        <v>14.0</v>
      </c>
      <c r="L3" s="244">
        <v>2.0</v>
      </c>
      <c r="M3" s="244">
        <v>232.0</v>
      </c>
      <c r="N3" s="244">
        <v>250.0</v>
      </c>
      <c r="O3" s="244">
        <v>177.0</v>
      </c>
      <c r="P3" s="244">
        <v>13.0</v>
      </c>
      <c r="Q3" s="244">
        <v>175.0</v>
      </c>
      <c r="R3" s="244">
        <v>179.0</v>
      </c>
      <c r="S3" s="244">
        <v>243.0</v>
      </c>
      <c r="T3" s="244">
        <v>524.0</v>
      </c>
      <c r="U3" s="244">
        <v>896.0</v>
      </c>
      <c r="V3" s="244" t="s">
        <v>346</v>
      </c>
      <c r="W3" s="244" t="s">
        <v>347</v>
      </c>
    </row>
    <row r="4">
      <c r="A4" s="486" t="s">
        <v>348</v>
      </c>
      <c r="B4" s="244" t="s">
        <v>349</v>
      </c>
      <c r="C4" s="244" t="s">
        <v>350</v>
      </c>
      <c r="D4" s="244">
        <v>405.0</v>
      </c>
      <c r="E4" s="244">
        <v>110.0</v>
      </c>
      <c r="F4" s="244">
        <v>17.0</v>
      </c>
      <c r="G4" s="244">
        <v>88.0</v>
      </c>
      <c r="H4" s="244" t="s">
        <v>351</v>
      </c>
      <c r="I4" s="244">
        <v>65.0</v>
      </c>
      <c r="J4" s="244">
        <v>14.0</v>
      </c>
      <c r="K4" s="244">
        <v>39.0</v>
      </c>
      <c r="L4" s="244">
        <v>0.0</v>
      </c>
      <c r="M4" s="244">
        <v>24.0</v>
      </c>
      <c r="N4" s="244">
        <v>0.0</v>
      </c>
      <c r="O4" s="244">
        <v>46.0</v>
      </c>
      <c r="P4" s="244">
        <v>1.0</v>
      </c>
      <c r="Q4" s="244">
        <v>6.0</v>
      </c>
      <c r="R4" s="244">
        <v>1.0</v>
      </c>
      <c r="S4" s="244">
        <v>3.0</v>
      </c>
      <c r="T4" s="244">
        <v>5.0</v>
      </c>
      <c r="U4" s="244">
        <v>119.0</v>
      </c>
      <c r="V4" s="244">
        <v>132.0</v>
      </c>
      <c r="W4" s="244">
        <v>139.0</v>
      </c>
    </row>
    <row r="6">
      <c r="A6" s="122" t="s">
        <v>352</v>
      </c>
    </row>
    <row r="7">
      <c r="A7" s="279" t="s">
        <v>353</v>
      </c>
      <c r="B7" s="487">
        <v>2000.0</v>
      </c>
      <c r="C7" s="487">
        <v>2019.0</v>
      </c>
      <c r="D7" s="487">
        <v>2025.0</v>
      </c>
      <c r="E7" s="487">
        <v>2030.0</v>
      </c>
      <c r="F7" s="487">
        <v>2035.0</v>
      </c>
      <c r="G7" s="487">
        <v>2040.0</v>
      </c>
      <c r="H7" s="487">
        <v>2045.0</v>
      </c>
      <c r="I7" s="487">
        <v>2050.0</v>
      </c>
      <c r="J7" s="487">
        <v>2055.0</v>
      </c>
      <c r="K7" s="487">
        <v>2060.0</v>
      </c>
    </row>
    <row r="8">
      <c r="A8" s="276" t="s">
        <v>354</v>
      </c>
      <c r="B8" s="316">
        <v>5.0</v>
      </c>
      <c r="C8" s="316">
        <v>9.0</v>
      </c>
      <c r="D8" s="316">
        <v>11.0</v>
      </c>
      <c r="E8" s="316">
        <v>13.0</v>
      </c>
      <c r="F8" s="316">
        <v>15.0</v>
      </c>
      <c r="G8" s="316">
        <v>18.0</v>
      </c>
      <c r="H8" s="316">
        <v>21.0</v>
      </c>
      <c r="I8" s="316">
        <v>23.0</v>
      </c>
      <c r="J8" s="316">
        <v>24.0</v>
      </c>
      <c r="K8" s="316">
        <v>23.0</v>
      </c>
    </row>
    <row r="9">
      <c r="A9" s="276" t="s">
        <v>355</v>
      </c>
      <c r="B9" s="316">
        <v>3.0</v>
      </c>
      <c r="C9" s="316">
        <v>6.0</v>
      </c>
      <c r="D9" s="316">
        <v>8.0</v>
      </c>
      <c r="E9" s="316">
        <v>9.0</v>
      </c>
      <c r="F9" s="316">
        <v>9.0</v>
      </c>
      <c r="G9" s="316">
        <v>9.0</v>
      </c>
      <c r="H9" s="316">
        <v>9.0</v>
      </c>
      <c r="I9" s="316">
        <v>10.0</v>
      </c>
      <c r="J9" s="316">
        <v>11.0</v>
      </c>
      <c r="K9" s="316">
        <v>11.0</v>
      </c>
    </row>
    <row r="10">
      <c r="A10" s="276" t="s">
        <v>356</v>
      </c>
      <c r="B10" s="316">
        <v>6.0</v>
      </c>
      <c r="C10" s="316">
        <v>7.0</v>
      </c>
      <c r="D10" s="316">
        <v>6.0</v>
      </c>
      <c r="E10" s="316">
        <v>6.0</v>
      </c>
      <c r="F10" s="316">
        <v>7.0</v>
      </c>
      <c r="G10" s="316">
        <v>7.0</v>
      </c>
      <c r="H10" s="316">
        <v>7.0</v>
      </c>
      <c r="I10" s="316">
        <v>7.0</v>
      </c>
      <c r="J10" s="316">
        <v>7.0</v>
      </c>
      <c r="K10" s="316">
        <v>7.0</v>
      </c>
    </row>
    <row r="11">
      <c r="A11" s="279" t="s">
        <v>357</v>
      </c>
      <c r="B11" s="487">
        <v>0.0</v>
      </c>
      <c r="C11" s="487">
        <v>0.0</v>
      </c>
      <c r="D11" s="487">
        <v>0.0</v>
      </c>
      <c r="E11" s="487">
        <v>0.0</v>
      </c>
      <c r="F11" s="487">
        <v>0.0</v>
      </c>
      <c r="G11" s="487">
        <v>0.0</v>
      </c>
      <c r="H11" s="487">
        <v>0.0</v>
      </c>
      <c r="I11" s="487">
        <v>0.0</v>
      </c>
      <c r="J11" s="487">
        <v>0.0</v>
      </c>
      <c r="K11" s="487">
        <v>0.0</v>
      </c>
    </row>
    <row r="12">
      <c r="A12" s="276" t="s">
        <v>358</v>
      </c>
      <c r="B12" s="316">
        <v>13.0</v>
      </c>
      <c r="C12" s="316">
        <v>22.0</v>
      </c>
      <c r="D12" s="316">
        <v>26.0</v>
      </c>
      <c r="E12" s="316">
        <v>29.0</v>
      </c>
      <c r="F12" s="316">
        <v>31.0</v>
      </c>
      <c r="G12" s="316">
        <v>34.0</v>
      </c>
      <c r="H12" s="316">
        <v>37.0</v>
      </c>
      <c r="I12" s="316">
        <v>41.0</v>
      </c>
      <c r="J12" s="316">
        <v>41.0</v>
      </c>
      <c r="K12" s="316">
        <v>41.0</v>
      </c>
    </row>
    <row r="13">
      <c r="A13" s="122"/>
    </row>
    <row r="14">
      <c r="A14" s="122" t="s">
        <v>359</v>
      </c>
    </row>
    <row r="15">
      <c r="A15" s="488" t="s">
        <v>360</v>
      </c>
      <c r="B15" s="489">
        <v>2019.0</v>
      </c>
      <c r="C15" s="489">
        <v>2035.0</v>
      </c>
      <c r="D15" s="490"/>
      <c r="E15" s="490"/>
      <c r="F15" s="490"/>
      <c r="G15" s="490"/>
      <c r="H15" s="489">
        <v>2050.0</v>
      </c>
      <c r="I15" s="490"/>
      <c r="J15" s="490"/>
      <c r="K15" s="490"/>
      <c r="L15" s="490"/>
    </row>
    <row r="16">
      <c r="A16" s="491"/>
      <c r="B16" s="491"/>
      <c r="C16" s="492" t="s">
        <v>361</v>
      </c>
      <c r="D16" s="492" t="s">
        <v>362</v>
      </c>
      <c r="E16" s="492" t="s">
        <v>363</v>
      </c>
      <c r="F16" s="492" t="s">
        <v>364</v>
      </c>
      <c r="G16" s="492" t="s">
        <v>365</v>
      </c>
      <c r="H16" s="492" t="s">
        <v>361</v>
      </c>
      <c r="I16" s="492" t="s">
        <v>362</v>
      </c>
      <c r="J16" s="492" t="s">
        <v>363</v>
      </c>
      <c r="K16" s="492" t="s">
        <v>364</v>
      </c>
      <c r="L16" s="492" t="s">
        <v>365</v>
      </c>
    </row>
    <row r="17">
      <c r="A17" s="493" t="s">
        <v>366</v>
      </c>
      <c r="B17" s="492">
        <v>2.0</v>
      </c>
      <c r="C17" s="492">
        <v>2.0</v>
      </c>
      <c r="D17" s="492">
        <v>2.0</v>
      </c>
      <c r="E17" s="492">
        <v>2.0</v>
      </c>
      <c r="F17" s="492">
        <v>2.0</v>
      </c>
      <c r="G17" s="492">
        <v>2.0</v>
      </c>
      <c r="H17" s="492">
        <v>2.0</v>
      </c>
      <c r="I17" s="492">
        <v>3.0</v>
      </c>
      <c r="J17" s="492">
        <v>2.0</v>
      </c>
      <c r="K17" s="492">
        <v>2.0</v>
      </c>
      <c r="L17" s="492">
        <v>3.0</v>
      </c>
    </row>
    <row r="18">
      <c r="A18" s="493" t="s">
        <v>367</v>
      </c>
      <c r="B18" s="492">
        <v>1.0</v>
      </c>
      <c r="C18" s="492">
        <v>1.0</v>
      </c>
      <c r="D18" s="492">
        <v>1.0</v>
      </c>
      <c r="E18" s="492">
        <v>1.0</v>
      </c>
      <c r="F18" s="492">
        <v>1.0</v>
      </c>
      <c r="G18" s="492">
        <v>1.0</v>
      </c>
      <c r="H18" s="492">
        <v>1.0</v>
      </c>
      <c r="I18" s="492">
        <v>1.0</v>
      </c>
      <c r="J18" s="492">
        <v>1.0</v>
      </c>
      <c r="K18" s="492">
        <v>1.0</v>
      </c>
      <c r="L18" s="492">
        <v>1.0</v>
      </c>
    </row>
    <row r="19">
      <c r="A19" s="493" t="s">
        <v>368</v>
      </c>
      <c r="B19" s="492">
        <v>1.0</v>
      </c>
      <c r="C19" s="492">
        <v>1.0</v>
      </c>
      <c r="D19" s="492">
        <v>3.0</v>
      </c>
      <c r="E19" s="492">
        <v>3.0</v>
      </c>
      <c r="F19" s="492">
        <v>1.0</v>
      </c>
      <c r="G19" s="492">
        <v>3.0</v>
      </c>
      <c r="H19" s="492">
        <v>0.0</v>
      </c>
      <c r="I19" s="492">
        <v>6.0</v>
      </c>
      <c r="J19" s="492">
        <v>6.0</v>
      </c>
      <c r="K19" s="492">
        <v>2.0</v>
      </c>
      <c r="L19" s="492">
        <v>6.0</v>
      </c>
    </row>
    <row r="20">
      <c r="A20" s="493" t="s">
        <v>96</v>
      </c>
      <c r="B20" s="494">
        <v>0.0</v>
      </c>
      <c r="C20" s="492">
        <v>0.0</v>
      </c>
      <c r="D20" s="492">
        <v>1.0</v>
      </c>
      <c r="E20" s="492">
        <v>0.0</v>
      </c>
      <c r="F20" s="492">
        <v>0.0</v>
      </c>
      <c r="G20" s="492">
        <v>1.0</v>
      </c>
      <c r="H20" s="492">
        <v>0.0</v>
      </c>
      <c r="I20" s="492">
        <v>3.0</v>
      </c>
      <c r="J20" s="492">
        <v>0.0</v>
      </c>
      <c r="K20" s="492">
        <v>1.0</v>
      </c>
      <c r="L20" s="492">
        <v>3.0</v>
      </c>
    </row>
    <row r="21">
      <c r="A21" s="493" t="s">
        <v>19</v>
      </c>
      <c r="B21" s="492">
        <v>1.0</v>
      </c>
      <c r="C21" s="492">
        <v>1.0</v>
      </c>
      <c r="D21" s="492">
        <v>1.0</v>
      </c>
      <c r="E21" s="492">
        <v>1.0</v>
      </c>
      <c r="F21" s="492">
        <v>1.0</v>
      </c>
      <c r="G21" s="492">
        <v>1.0</v>
      </c>
      <c r="H21" s="492">
        <v>1.0</v>
      </c>
      <c r="I21" s="492">
        <v>1.0</v>
      </c>
      <c r="J21" s="492">
        <v>1.0</v>
      </c>
      <c r="K21" s="492">
        <v>1.0</v>
      </c>
      <c r="L21" s="492">
        <v>1.0</v>
      </c>
    </row>
    <row r="22">
      <c r="A22" s="493" t="s">
        <v>95</v>
      </c>
      <c r="B22" s="492">
        <v>0.0</v>
      </c>
      <c r="C22" s="492">
        <v>1.0</v>
      </c>
      <c r="D22" s="492">
        <v>1.0</v>
      </c>
      <c r="E22" s="492">
        <v>0.0</v>
      </c>
      <c r="F22" s="492">
        <v>1.0</v>
      </c>
      <c r="G22" s="492">
        <v>1.0</v>
      </c>
      <c r="H22" s="492">
        <v>1.0</v>
      </c>
      <c r="I22" s="492">
        <v>2.0</v>
      </c>
      <c r="J22" s="492">
        <v>1.0</v>
      </c>
      <c r="K22" s="492">
        <v>1.0</v>
      </c>
      <c r="L22" s="492">
        <v>5.0</v>
      </c>
    </row>
    <row r="23">
      <c r="A23" s="493" t="s">
        <v>369</v>
      </c>
      <c r="B23" s="492">
        <v>1.0</v>
      </c>
      <c r="C23" s="492">
        <v>2.0</v>
      </c>
      <c r="D23" s="492">
        <v>1.0</v>
      </c>
      <c r="E23" s="492">
        <v>1.0</v>
      </c>
      <c r="F23" s="492">
        <v>2.0</v>
      </c>
      <c r="G23" s="492">
        <v>2.0</v>
      </c>
      <c r="H23" s="492">
        <v>2.0</v>
      </c>
      <c r="I23" s="492">
        <v>0.0</v>
      </c>
      <c r="J23" s="492">
        <v>0.0</v>
      </c>
      <c r="K23" s="492">
        <v>0.0</v>
      </c>
      <c r="L23" s="492">
        <v>0.0</v>
      </c>
    </row>
    <row r="24">
      <c r="A24" s="495" t="s">
        <v>370</v>
      </c>
      <c r="B24" s="496">
        <v>0.0</v>
      </c>
      <c r="C24" s="496">
        <v>0.0</v>
      </c>
      <c r="D24" s="496">
        <v>0.0</v>
      </c>
      <c r="E24" s="496">
        <v>0.0</v>
      </c>
      <c r="F24" s="496">
        <v>1.0</v>
      </c>
      <c r="G24" s="496">
        <v>0.0</v>
      </c>
      <c r="H24" s="496">
        <v>0.0</v>
      </c>
      <c r="I24" s="496">
        <v>0.0</v>
      </c>
      <c r="J24" s="496">
        <v>0.0</v>
      </c>
      <c r="K24" s="496">
        <v>3.0</v>
      </c>
      <c r="L24" s="496">
        <v>0.0</v>
      </c>
    </row>
    <row r="25">
      <c r="A25" s="493" t="s">
        <v>358</v>
      </c>
      <c r="B25" s="492">
        <v>7.0</v>
      </c>
      <c r="C25" s="492">
        <v>7.0</v>
      </c>
      <c r="D25" s="492">
        <v>10.0</v>
      </c>
      <c r="E25" s="492">
        <v>9.0</v>
      </c>
      <c r="F25" s="492">
        <v>8.0</v>
      </c>
      <c r="G25" s="492">
        <v>11.0</v>
      </c>
      <c r="H25" s="492">
        <v>7.0</v>
      </c>
      <c r="I25" s="492">
        <v>15.0</v>
      </c>
      <c r="J25" s="492">
        <v>12.0</v>
      </c>
      <c r="K25" s="492">
        <v>11.0</v>
      </c>
      <c r="L25" s="492">
        <v>18.0</v>
      </c>
    </row>
    <row r="26">
      <c r="A26" s="493" t="s">
        <v>359</v>
      </c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</row>
    <row r="27">
      <c r="A27" s="488" t="s">
        <v>209</v>
      </c>
      <c r="B27" s="498">
        <v>2019.0</v>
      </c>
      <c r="C27" s="498">
        <v>2035.0</v>
      </c>
      <c r="D27" s="490"/>
      <c r="E27" s="490"/>
      <c r="F27" s="490"/>
      <c r="G27" s="490"/>
      <c r="H27" s="498">
        <v>2050.0</v>
      </c>
      <c r="I27" s="490"/>
      <c r="J27" s="490"/>
      <c r="K27" s="490"/>
      <c r="L27" s="490"/>
    </row>
    <row r="28">
      <c r="A28" s="491"/>
      <c r="B28" s="499"/>
      <c r="C28" s="500" t="s">
        <v>361</v>
      </c>
      <c r="D28" s="492" t="s">
        <v>362</v>
      </c>
      <c r="E28" s="492" t="s">
        <v>363</v>
      </c>
      <c r="F28" s="492" t="s">
        <v>364</v>
      </c>
      <c r="G28" s="492" t="s">
        <v>365</v>
      </c>
      <c r="H28" s="500" t="s">
        <v>361</v>
      </c>
      <c r="I28" s="492" t="s">
        <v>362</v>
      </c>
      <c r="J28" s="492" t="s">
        <v>363</v>
      </c>
      <c r="K28" s="492" t="s">
        <v>364</v>
      </c>
      <c r="L28" s="492" t="s">
        <v>365</v>
      </c>
    </row>
    <row r="29">
      <c r="A29" s="501" t="s">
        <v>371</v>
      </c>
      <c r="B29" s="500">
        <f t="shared" ref="B29:L29" si="1">3.6*B17</f>
        <v>7.2</v>
      </c>
      <c r="C29" s="500">
        <f t="shared" si="1"/>
        <v>7.2</v>
      </c>
      <c r="D29" s="492">
        <f t="shared" si="1"/>
        <v>7.2</v>
      </c>
      <c r="E29" s="492">
        <f t="shared" si="1"/>
        <v>7.2</v>
      </c>
      <c r="F29" s="492">
        <f t="shared" si="1"/>
        <v>7.2</v>
      </c>
      <c r="G29" s="492">
        <f t="shared" si="1"/>
        <v>7.2</v>
      </c>
      <c r="H29" s="500">
        <f t="shared" si="1"/>
        <v>7.2</v>
      </c>
      <c r="I29" s="492">
        <f t="shared" si="1"/>
        <v>10.8</v>
      </c>
      <c r="J29" s="492">
        <f t="shared" si="1"/>
        <v>7.2</v>
      </c>
      <c r="K29" s="492">
        <f t="shared" si="1"/>
        <v>7.2</v>
      </c>
      <c r="L29" s="492">
        <f t="shared" si="1"/>
        <v>10.8</v>
      </c>
    </row>
    <row r="30">
      <c r="A30" s="501" t="s">
        <v>372</v>
      </c>
      <c r="B30" s="500">
        <f t="shared" ref="B30:L30" si="2">3.6*B18</f>
        <v>3.6</v>
      </c>
      <c r="C30" s="500">
        <f t="shared" si="2"/>
        <v>3.6</v>
      </c>
      <c r="D30" s="492">
        <f t="shared" si="2"/>
        <v>3.6</v>
      </c>
      <c r="E30" s="492">
        <f t="shared" si="2"/>
        <v>3.6</v>
      </c>
      <c r="F30" s="492">
        <f t="shared" si="2"/>
        <v>3.6</v>
      </c>
      <c r="G30" s="492">
        <f t="shared" si="2"/>
        <v>3.6</v>
      </c>
      <c r="H30" s="500">
        <f t="shared" si="2"/>
        <v>3.6</v>
      </c>
      <c r="I30" s="492">
        <f t="shared" si="2"/>
        <v>3.6</v>
      </c>
      <c r="J30" s="492">
        <f t="shared" si="2"/>
        <v>3.6</v>
      </c>
      <c r="K30" s="492">
        <f t="shared" si="2"/>
        <v>3.6</v>
      </c>
      <c r="L30" s="492">
        <f t="shared" si="2"/>
        <v>3.6</v>
      </c>
    </row>
    <row r="31">
      <c r="A31" s="501" t="s">
        <v>373</v>
      </c>
      <c r="B31" s="500">
        <f t="shared" ref="B31:L31" si="3">3.6*B19</f>
        <v>3.6</v>
      </c>
      <c r="C31" s="500">
        <f t="shared" si="3"/>
        <v>3.6</v>
      </c>
      <c r="D31" s="492">
        <f t="shared" si="3"/>
        <v>10.8</v>
      </c>
      <c r="E31" s="492">
        <f t="shared" si="3"/>
        <v>10.8</v>
      </c>
      <c r="F31" s="492">
        <f t="shared" si="3"/>
        <v>3.6</v>
      </c>
      <c r="G31" s="492">
        <f t="shared" si="3"/>
        <v>10.8</v>
      </c>
      <c r="H31" s="500">
        <f t="shared" si="3"/>
        <v>0</v>
      </c>
      <c r="I31" s="492">
        <f t="shared" si="3"/>
        <v>21.6</v>
      </c>
      <c r="J31" s="492">
        <f t="shared" si="3"/>
        <v>21.6</v>
      </c>
      <c r="K31" s="492">
        <f t="shared" si="3"/>
        <v>7.2</v>
      </c>
      <c r="L31" s="492">
        <f t="shared" si="3"/>
        <v>21.6</v>
      </c>
    </row>
    <row r="32">
      <c r="A32" s="493" t="s">
        <v>96</v>
      </c>
      <c r="B32" s="500">
        <f t="shared" ref="B32:L32" si="4">3.6*B20</f>
        <v>0</v>
      </c>
      <c r="C32" s="500">
        <f t="shared" si="4"/>
        <v>0</v>
      </c>
      <c r="D32" s="492">
        <f t="shared" si="4"/>
        <v>3.6</v>
      </c>
      <c r="E32" s="492">
        <f t="shared" si="4"/>
        <v>0</v>
      </c>
      <c r="F32" s="492">
        <f t="shared" si="4"/>
        <v>0</v>
      </c>
      <c r="G32" s="492">
        <f t="shared" si="4"/>
        <v>3.6</v>
      </c>
      <c r="H32" s="500">
        <f t="shared" si="4"/>
        <v>0</v>
      </c>
      <c r="I32" s="492">
        <f t="shared" si="4"/>
        <v>10.8</v>
      </c>
      <c r="J32" s="492">
        <f t="shared" si="4"/>
        <v>0</v>
      </c>
      <c r="K32" s="492">
        <f t="shared" si="4"/>
        <v>3.6</v>
      </c>
      <c r="L32" s="492">
        <f t="shared" si="4"/>
        <v>10.8</v>
      </c>
    </row>
    <row r="33">
      <c r="A33" s="493" t="s">
        <v>19</v>
      </c>
      <c r="B33" s="500">
        <f t="shared" ref="B33:L33" si="5">3.6*B21</f>
        <v>3.6</v>
      </c>
      <c r="C33" s="500">
        <f t="shared" si="5"/>
        <v>3.6</v>
      </c>
      <c r="D33" s="492">
        <f t="shared" si="5"/>
        <v>3.6</v>
      </c>
      <c r="E33" s="492">
        <f t="shared" si="5"/>
        <v>3.6</v>
      </c>
      <c r="F33" s="492">
        <f t="shared" si="5"/>
        <v>3.6</v>
      </c>
      <c r="G33" s="492">
        <f t="shared" si="5"/>
        <v>3.6</v>
      </c>
      <c r="H33" s="500">
        <f t="shared" si="5"/>
        <v>3.6</v>
      </c>
      <c r="I33" s="492">
        <f t="shared" si="5"/>
        <v>3.6</v>
      </c>
      <c r="J33" s="492">
        <f t="shared" si="5"/>
        <v>3.6</v>
      </c>
      <c r="K33" s="492">
        <f t="shared" si="5"/>
        <v>3.6</v>
      </c>
      <c r="L33" s="492">
        <f t="shared" si="5"/>
        <v>3.6</v>
      </c>
    </row>
    <row r="34">
      <c r="A34" s="493" t="s">
        <v>95</v>
      </c>
      <c r="B34" s="500">
        <f t="shared" ref="B34:L34" si="6">3.6*B22</f>
        <v>0</v>
      </c>
      <c r="C34" s="500">
        <f t="shared" si="6"/>
        <v>3.6</v>
      </c>
      <c r="D34" s="492">
        <f t="shared" si="6"/>
        <v>3.6</v>
      </c>
      <c r="E34" s="492">
        <f t="shared" si="6"/>
        <v>0</v>
      </c>
      <c r="F34" s="492">
        <f t="shared" si="6"/>
        <v>3.6</v>
      </c>
      <c r="G34" s="492">
        <f t="shared" si="6"/>
        <v>3.6</v>
      </c>
      <c r="H34" s="500">
        <f t="shared" si="6"/>
        <v>3.6</v>
      </c>
      <c r="I34" s="492">
        <f t="shared" si="6"/>
        <v>7.2</v>
      </c>
      <c r="J34" s="492">
        <f t="shared" si="6"/>
        <v>3.6</v>
      </c>
      <c r="K34" s="492">
        <f t="shared" si="6"/>
        <v>3.6</v>
      </c>
      <c r="L34" s="492">
        <f t="shared" si="6"/>
        <v>18</v>
      </c>
    </row>
    <row r="35">
      <c r="A35" s="501" t="s">
        <v>374</v>
      </c>
      <c r="B35" s="500">
        <f t="shared" ref="B35:L35" si="7">3.6*B23</f>
        <v>3.6</v>
      </c>
      <c r="C35" s="500">
        <f t="shared" si="7"/>
        <v>7.2</v>
      </c>
      <c r="D35" s="492">
        <f t="shared" si="7"/>
        <v>3.6</v>
      </c>
      <c r="E35" s="492">
        <f t="shared" si="7"/>
        <v>3.6</v>
      </c>
      <c r="F35" s="492">
        <f t="shared" si="7"/>
        <v>7.2</v>
      </c>
      <c r="G35" s="492">
        <f t="shared" si="7"/>
        <v>7.2</v>
      </c>
      <c r="H35" s="500">
        <f t="shared" si="7"/>
        <v>7.2</v>
      </c>
      <c r="I35" s="492">
        <f t="shared" si="7"/>
        <v>0</v>
      </c>
      <c r="J35" s="492">
        <f t="shared" si="7"/>
        <v>0</v>
      </c>
      <c r="K35" s="492">
        <f t="shared" si="7"/>
        <v>0</v>
      </c>
      <c r="L35" s="492">
        <f t="shared" si="7"/>
        <v>0</v>
      </c>
    </row>
    <row r="36">
      <c r="A36" s="495" t="s">
        <v>370</v>
      </c>
      <c r="B36" s="500">
        <f t="shared" ref="B36:L36" si="8">3.6*B24</f>
        <v>0</v>
      </c>
      <c r="C36" s="500">
        <f t="shared" si="8"/>
        <v>0</v>
      </c>
      <c r="D36" s="492">
        <f t="shared" si="8"/>
        <v>0</v>
      </c>
      <c r="E36" s="492">
        <f t="shared" si="8"/>
        <v>0</v>
      </c>
      <c r="F36" s="492">
        <f t="shared" si="8"/>
        <v>3.6</v>
      </c>
      <c r="G36" s="492">
        <f t="shared" si="8"/>
        <v>0</v>
      </c>
      <c r="H36" s="500">
        <f t="shared" si="8"/>
        <v>0</v>
      </c>
      <c r="I36" s="492">
        <f t="shared" si="8"/>
        <v>0</v>
      </c>
      <c r="J36" s="492">
        <f t="shared" si="8"/>
        <v>0</v>
      </c>
      <c r="K36" s="492">
        <f t="shared" si="8"/>
        <v>10.8</v>
      </c>
      <c r="L36" s="492">
        <f t="shared" si="8"/>
        <v>0</v>
      </c>
    </row>
    <row r="37">
      <c r="A37" s="501" t="s">
        <v>269</v>
      </c>
      <c r="B37" s="500">
        <f t="shared" ref="B37:L37" si="9">3.6*B25</f>
        <v>25.2</v>
      </c>
      <c r="C37" s="500">
        <f t="shared" si="9"/>
        <v>25.2</v>
      </c>
      <c r="D37" s="492">
        <f t="shared" si="9"/>
        <v>36</v>
      </c>
      <c r="E37" s="492">
        <f t="shared" si="9"/>
        <v>32.4</v>
      </c>
      <c r="F37" s="492">
        <f t="shared" si="9"/>
        <v>28.8</v>
      </c>
      <c r="G37" s="492">
        <f t="shared" si="9"/>
        <v>39.6</v>
      </c>
      <c r="H37" s="500">
        <f t="shared" si="9"/>
        <v>25.2</v>
      </c>
      <c r="I37" s="492">
        <f t="shared" si="9"/>
        <v>54</v>
      </c>
      <c r="J37" s="492">
        <f t="shared" si="9"/>
        <v>43.2</v>
      </c>
      <c r="K37" s="492">
        <f t="shared" si="9"/>
        <v>39.6</v>
      </c>
      <c r="L37" s="492">
        <f t="shared" si="9"/>
        <v>64.8</v>
      </c>
    </row>
    <row r="39">
      <c r="A39" s="122" t="s">
        <v>375</v>
      </c>
    </row>
  </sheetData>
  <drawing r:id="rId1"/>
  <tableParts count="3"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2" t="s">
        <v>376</v>
      </c>
      <c r="B1" s="503"/>
      <c r="C1" s="503"/>
      <c r="D1" s="503"/>
      <c r="E1" s="503"/>
      <c r="F1" s="504"/>
      <c r="G1" s="505"/>
      <c r="H1" s="505"/>
      <c r="I1" s="505"/>
      <c r="J1" s="505"/>
      <c r="K1" s="505"/>
      <c r="L1" s="505"/>
      <c r="M1" s="505"/>
      <c r="N1" s="506"/>
      <c r="O1" s="25"/>
      <c r="P1" s="507" t="s">
        <v>377</v>
      </c>
      <c r="Q1" s="272" t="s">
        <v>378</v>
      </c>
      <c r="R1" s="25"/>
    </row>
    <row r="2">
      <c r="A2" s="508" t="s">
        <v>379</v>
      </c>
      <c r="B2" s="509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1"/>
      <c r="P2" s="507" t="s">
        <v>380</v>
      </c>
      <c r="Q2" s="272" t="s">
        <v>381</v>
      </c>
    </row>
    <row r="3">
      <c r="A3" s="512" t="s">
        <v>382</v>
      </c>
      <c r="B3" s="512" t="s">
        <v>258</v>
      </c>
      <c r="C3" s="513">
        <v>2000.0</v>
      </c>
      <c r="D3" s="513">
        <v>2005.0</v>
      </c>
      <c r="E3" s="513">
        <v>2010.0</v>
      </c>
      <c r="F3" s="513">
        <v>2015.0</v>
      </c>
      <c r="G3" s="513">
        <v>2020.0</v>
      </c>
      <c r="H3" s="513">
        <v>2025.0</v>
      </c>
      <c r="I3" s="513">
        <v>2030.0</v>
      </c>
      <c r="J3" s="513">
        <v>2035.0</v>
      </c>
      <c r="K3" s="513">
        <v>2040.0</v>
      </c>
      <c r="L3" s="513">
        <v>2045.0</v>
      </c>
      <c r="M3" s="513">
        <v>2050.0</v>
      </c>
      <c r="N3" s="514" t="s">
        <v>383</v>
      </c>
    </row>
    <row r="4">
      <c r="A4" s="515" t="s">
        <v>384</v>
      </c>
      <c r="B4" s="516" t="s">
        <v>385</v>
      </c>
      <c r="C4" s="515">
        <v>134.3</v>
      </c>
      <c r="D4" s="515">
        <v>125.3</v>
      </c>
      <c r="E4" s="515">
        <v>110.8</v>
      </c>
      <c r="F4" s="515">
        <v>89.9</v>
      </c>
      <c r="G4" s="515">
        <v>78.6</v>
      </c>
      <c r="H4" s="515">
        <v>67.1</v>
      </c>
      <c r="I4" s="515">
        <v>54.8</v>
      </c>
      <c r="J4" s="515">
        <v>42.4</v>
      </c>
      <c r="K4" s="515">
        <v>29.6</v>
      </c>
      <c r="L4" s="515">
        <v>19.0</v>
      </c>
      <c r="M4" s="515">
        <v>11.4</v>
      </c>
      <c r="N4" s="517">
        <f>M9/M32</f>
        <v>0.6509877705</v>
      </c>
    </row>
    <row r="5">
      <c r="A5" s="518" t="s">
        <v>384</v>
      </c>
      <c r="B5" s="519" t="s">
        <v>386</v>
      </c>
      <c r="C5" s="518">
        <v>10.0</v>
      </c>
      <c r="D5" s="518">
        <v>20.5</v>
      </c>
      <c r="E5" s="518">
        <v>38.6</v>
      </c>
      <c r="F5" s="518">
        <v>57.5</v>
      </c>
      <c r="G5" s="518">
        <v>64.9</v>
      </c>
      <c r="H5" s="518">
        <v>65.4</v>
      </c>
      <c r="I5" s="518">
        <v>58.0</v>
      </c>
      <c r="J5" s="518">
        <v>45.7</v>
      </c>
      <c r="K5" s="518">
        <v>31.3</v>
      </c>
      <c r="L5" s="518">
        <v>19.6</v>
      </c>
      <c r="M5" s="518">
        <v>11.5</v>
      </c>
      <c r="N5" s="520"/>
    </row>
    <row r="6">
      <c r="A6" s="521" t="s">
        <v>384</v>
      </c>
      <c r="B6" s="521" t="s">
        <v>387</v>
      </c>
      <c r="C6" s="521">
        <v>0.0</v>
      </c>
      <c r="D6" s="521">
        <v>0.0</v>
      </c>
      <c r="E6" s="521">
        <v>0.4</v>
      </c>
      <c r="F6" s="521">
        <v>0.2</v>
      </c>
      <c r="G6" s="521">
        <v>0.3</v>
      </c>
      <c r="H6" s="521">
        <v>0.4</v>
      </c>
      <c r="I6" s="521">
        <v>0.3</v>
      </c>
      <c r="J6" s="521">
        <v>0.3</v>
      </c>
      <c r="K6" s="521">
        <v>0.2</v>
      </c>
      <c r="L6" s="521">
        <v>0.1</v>
      </c>
      <c r="M6" s="521">
        <v>0.0</v>
      </c>
      <c r="N6" s="380"/>
    </row>
    <row r="7">
      <c r="A7" s="518" t="s">
        <v>384</v>
      </c>
      <c r="B7" s="518" t="s">
        <v>388</v>
      </c>
      <c r="C7" s="518">
        <v>0.0</v>
      </c>
      <c r="D7" s="518">
        <v>0.0</v>
      </c>
      <c r="E7" s="518">
        <v>0.0</v>
      </c>
      <c r="F7" s="518">
        <v>0.1</v>
      </c>
      <c r="G7" s="518">
        <v>0.5</v>
      </c>
      <c r="H7" s="518">
        <v>2.3</v>
      </c>
      <c r="I7" s="518">
        <v>7.0</v>
      </c>
      <c r="J7" s="518">
        <v>14.8</v>
      </c>
      <c r="K7" s="518">
        <v>24.0</v>
      </c>
      <c r="L7" s="518">
        <v>32.3</v>
      </c>
      <c r="M7" s="518">
        <v>38.4</v>
      </c>
      <c r="N7" s="520"/>
    </row>
    <row r="8">
      <c r="A8" s="522" t="s">
        <v>384</v>
      </c>
      <c r="B8" s="522" t="s">
        <v>389</v>
      </c>
      <c r="C8" s="522">
        <v>0.0</v>
      </c>
      <c r="D8" s="522">
        <v>0.0</v>
      </c>
      <c r="E8" s="522">
        <v>0.0</v>
      </c>
      <c r="F8" s="522">
        <v>0.0</v>
      </c>
      <c r="G8" s="522">
        <v>0.0</v>
      </c>
      <c r="H8" s="522">
        <v>0.1</v>
      </c>
      <c r="I8" s="522">
        <v>0.3</v>
      </c>
      <c r="J8" s="522">
        <v>1.3</v>
      </c>
      <c r="K8" s="522">
        <v>3.5</v>
      </c>
      <c r="L8" s="522">
        <v>5.9</v>
      </c>
      <c r="M8" s="522">
        <v>7.9</v>
      </c>
      <c r="N8" s="380"/>
    </row>
    <row r="9">
      <c r="A9" s="523" t="s">
        <v>390</v>
      </c>
      <c r="B9" s="524"/>
      <c r="C9" s="525">
        <f t="shared" ref="C9:M9" si="1">SUM(C4:C8)</f>
        <v>144.3</v>
      </c>
      <c r="D9" s="525">
        <f t="shared" si="1"/>
        <v>145.8</v>
      </c>
      <c r="E9" s="525">
        <f t="shared" si="1"/>
        <v>149.8</v>
      </c>
      <c r="F9" s="525">
        <f t="shared" si="1"/>
        <v>147.7</v>
      </c>
      <c r="G9" s="525">
        <f t="shared" si="1"/>
        <v>144.3</v>
      </c>
      <c r="H9" s="525">
        <f t="shared" si="1"/>
        <v>135.3</v>
      </c>
      <c r="I9" s="525">
        <f t="shared" si="1"/>
        <v>120.4</v>
      </c>
      <c r="J9" s="525">
        <f t="shared" si="1"/>
        <v>104.5</v>
      </c>
      <c r="K9" s="525">
        <f t="shared" si="1"/>
        <v>88.6</v>
      </c>
      <c r="L9" s="525">
        <f t="shared" si="1"/>
        <v>76.9</v>
      </c>
      <c r="M9" s="525">
        <f t="shared" si="1"/>
        <v>69.2</v>
      </c>
      <c r="N9" s="526"/>
    </row>
    <row r="10">
      <c r="A10" s="515" t="s">
        <v>377</v>
      </c>
      <c r="B10" s="515" t="s">
        <v>385</v>
      </c>
      <c r="C10" s="515">
        <v>5.5</v>
      </c>
      <c r="D10" s="515">
        <v>3.8</v>
      </c>
      <c r="E10" s="515">
        <v>2.4</v>
      </c>
      <c r="F10" s="515">
        <v>1.6</v>
      </c>
      <c r="G10" s="515">
        <v>1.1</v>
      </c>
      <c r="H10" s="515">
        <v>0.9</v>
      </c>
      <c r="I10" s="515">
        <v>0.6</v>
      </c>
      <c r="J10" s="515">
        <v>0.4</v>
      </c>
      <c r="K10" s="515">
        <v>0.2</v>
      </c>
      <c r="L10" s="515">
        <v>0.1</v>
      </c>
      <c r="M10" s="515">
        <v>0.1</v>
      </c>
      <c r="N10" s="517">
        <f>M15/M32</f>
        <v>0.09783631232</v>
      </c>
    </row>
    <row r="11">
      <c r="A11" s="518" t="s">
        <v>377</v>
      </c>
      <c r="B11" s="518" t="s">
        <v>386</v>
      </c>
      <c r="C11" s="518">
        <v>6.0</v>
      </c>
      <c r="D11" s="518">
        <v>8.3</v>
      </c>
      <c r="E11" s="518">
        <v>10.3</v>
      </c>
      <c r="F11" s="518">
        <v>13.1</v>
      </c>
      <c r="G11" s="518">
        <v>14.3</v>
      </c>
      <c r="H11" s="518">
        <v>13.8</v>
      </c>
      <c r="I11" s="518">
        <v>12.5</v>
      </c>
      <c r="J11" s="518">
        <v>10.7</v>
      </c>
      <c r="K11" s="518">
        <v>8.4</v>
      </c>
      <c r="L11" s="518">
        <v>6.1</v>
      </c>
      <c r="M11" s="518">
        <v>4.0</v>
      </c>
      <c r="N11" s="520"/>
    </row>
    <row r="12">
      <c r="A12" s="521" t="s">
        <v>377</v>
      </c>
      <c r="B12" s="521" t="s">
        <v>387</v>
      </c>
      <c r="C12" s="521">
        <v>0.0</v>
      </c>
      <c r="D12" s="521">
        <v>0.0</v>
      </c>
      <c r="E12" s="521">
        <v>0.1</v>
      </c>
      <c r="F12" s="521">
        <v>0.1</v>
      </c>
      <c r="G12" s="521">
        <v>0.0</v>
      </c>
      <c r="H12" s="521">
        <v>0.0</v>
      </c>
      <c r="I12" s="521">
        <v>0.0</v>
      </c>
      <c r="J12" s="521">
        <v>0.0</v>
      </c>
      <c r="K12" s="521">
        <v>0.0</v>
      </c>
      <c r="L12" s="521">
        <v>0.0</v>
      </c>
      <c r="M12" s="521">
        <v>0.0</v>
      </c>
      <c r="N12" s="380"/>
    </row>
    <row r="13">
      <c r="A13" s="518" t="s">
        <v>377</v>
      </c>
      <c r="B13" s="518" t="s">
        <v>388</v>
      </c>
      <c r="C13" s="518">
        <v>0.0</v>
      </c>
      <c r="D13" s="518">
        <v>0.0</v>
      </c>
      <c r="E13" s="518">
        <v>0.0</v>
      </c>
      <c r="F13" s="518">
        <v>0.0</v>
      </c>
      <c r="G13" s="518">
        <v>0.0</v>
      </c>
      <c r="H13" s="518">
        <v>0.2</v>
      </c>
      <c r="I13" s="518">
        <v>0.6</v>
      </c>
      <c r="J13" s="518">
        <v>1.4</v>
      </c>
      <c r="K13" s="518">
        <v>2.6</v>
      </c>
      <c r="L13" s="518">
        <v>3.7</v>
      </c>
      <c r="M13" s="518">
        <v>4.6</v>
      </c>
      <c r="N13" s="520"/>
    </row>
    <row r="14">
      <c r="A14" s="522" t="s">
        <v>377</v>
      </c>
      <c r="B14" s="522" t="s">
        <v>389</v>
      </c>
      <c r="C14" s="522">
        <v>0.0</v>
      </c>
      <c r="D14" s="522">
        <v>0.0</v>
      </c>
      <c r="E14" s="522">
        <v>0.0</v>
      </c>
      <c r="F14" s="522">
        <v>0.0</v>
      </c>
      <c r="G14" s="522">
        <v>0.0</v>
      </c>
      <c r="H14" s="522">
        <v>0.0</v>
      </c>
      <c r="I14" s="522">
        <v>0.0</v>
      </c>
      <c r="J14" s="522">
        <v>0.1</v>
      </c>
      <c r="K14" s="522">
        <v>0.4</v>
      </c>
      <c r="L14" s="522">
        <v>1.0</v>
      </c>
      <c r="M14" s="522">
        <v>1.7</v>
      </c>
      <c r="N14" s="380"/>
    </row>
    <row r="15">
      <c r="A15" s="527" t="s">
        <v>391</v>
      </c>
      <c r="B15" s="528"/>
      <c r="C15" s="529">
        <f t="shared" ref="C15:M15" si="2">SUM(C10:C14)</f>
        <v>11.5</v>
      </c>
      <c r="D15" s="529">
        <f t="shared" si="2"/>
        <v>12.1</v>
      </c>
      <c r="E15" s="529">
        <f t="shared" si="2"/>
        <v>12.8</v>
      </c>
      <c r="F15" s="529">
        <f t="shared" si="2"/>
        <v>14.8</v>
      </c>
      <c r="G15" s="529">
        <f t="shared" si="2"/>
        <v>15.4</v>
      </c>
      <c r="H15" s="529">
        <f t="shared" si="2"/>
        <v>14.9</v>
      </c>
      <c r="I15" s="529">
        <f t="shared" si="2"/>
        <v>13.7</v>
      </c>
      <c r="J15" s="529">
        <f t="shared" si="2"/>
        <v>12.6</v>
      </c>
      <c r="K15" s="529">
        <f t="shared" si="2"/>
        <v>11.6</v>
      </c>
      <c r="L15" s="529">
        <f t="shared" si="2"/>
        <v>10.9</v>
      </c>
      <c r="M15" s="529">
        <f t="shared" si="2"/>
        <v>10.4</v>
      </c>
      <c r="N15" s="526"/>
      <c r="O15" s="530"/>
      <c r="P15" s="530"/>
      <c r="Q15" s="530"/>
      <c r="R15" s="530"/>
      <c r="S15" s="530"/>
      <c r="T15" s="530"/>
      <c r="U15" s="530"/>
      <c r="V15" s="530"/>
      <c r="W15" s="530"/>
      <c r="X15" s="530"/>
      <c r="Y15" s="530"/>
      <c r="Z15" s="530"/>
      <c r="AA15" s="530"/>
      <c r="AB15" s="530"/>
    </row>
    <row r="16">
      <c r="A16" s="531" t="s">
        <v>380</v>
      </c>
      <c r="B16" s="532" t="s">
        <v>386</v>
      </c>
      <c r="C16" s="533">
        <v>26.5</v>
      </c>
      <c r="D16" s="533">
        <v>25.9</v>
      </c>
      <c r="E16" s="533">
        <v>26.6</v>
      </c>
      <c r="F16" s="533">
        <v>25.9</v>
      </c>
      <c r="G16" s="533">
        <v>25.9</v>
      </c>
      <c r="H16" s="533">
        <v>24.6</v>
      </c>
      <c r="I16" s="533">
        <v>21.4</v>
      </c>
      <c r="J16" s="533">
        <v>17.6</v>
      </c>
      <c r="K16" s="533">
        <v>14.0</v>
      </c>
      <c r="L16" s="533">
        <v>10.8</v>
      </c>
      <c r="M16" s="533">
        <v>8.6</v>
      </c>
      <c r="N16" s="534">
        <f>M20/M32</f>
        <v>0.1994355597</v>
      </c>
    </row>
    <row r="17">
      <c r="A17" s="535" t="s">
        <v>380</v>
      </c>
      <c r="B17" s="536" t="s">
        <v>387</v>
      </c>
      <c r="C17" s="518">
        <v>0.0</v>
      </c>
      <c r="D17" s="518">
        <v>0.1</v>
      </c>
      <c r="E17" s="518">
        <v>0.1</v>
      </c>
      <c r="F17" s="518">
        <v>0.1</v>
      </c>
      <c r="G17" s="518">
        <v>0.1</v>
      </c>
      <c r="H17" s="518">
        <v>0.5</v>
      </c>
      <c r="I17" s="518">
        <v>1.4</v>
      </c>
      <c r="J17" s="518">
        <v>2.7</v>
      </c>
      <c r="K17" s="518">
        <v>4.5</v>
      </c>
      <c r="L17" s="518">
        <v>6.3</v>
      </c>
      <c r="M17" s="518">
        <v>7.2</v>
      </c>
      <c r="N17" s="520"/>
    </row>
    <row r="18">
      <c r="A18" s="537" t="s">
        <v>380</v>
      </c>
      <c r="B18" s="381" t="s">
        <v>388</v>
      </c>
      <c r="C18" s="521">
        <v>0.0</v>
      </c>
      <c r="D18" s="521">
        <v>0.0</v>
      </c>
      <c r="E18" s="521">
        <v>0.0</v>
      </c>
      <c r="F18" s="521">
        <v>0.0</v>
      </c>
      <c r="G18" s="521">
        <v>0.0</v>
      </c>
      <c r="H18" s="521">
        <v>0.1</v>
      </c>
      <c r="I18" s="521">
        <v>0.3</v>
      </c>
      <c r="J18" s="521">
        <v>0.6</v>
      </c>
      <c r="K18" s="521">
        <v>1.0</v>
      </c>
      <c r="L18" s="521">
        <v>1.5</v>
      </c>
      <c r="M18" s="521">
        <v>1.9</v>
      </c>
      <c r="N18" s="380"/>
    </row>
    <row r="19">
      <c r="A19" s="538" t="s">
        <v>380</v>
      </c>
      <c r="B19" s="524" t="s">
        <v>389</v>
      </c>
      <c r="C19" s="539">
        <v>0.0</v>
      </c>
      <c r="D19" s="539">
        <v>0.0</v>
      </c>
      <c r="E19" s="539">
        <v>0.0</v>
      </c>
      <c r="F19" s="539">
        <v>0.0</v>
      </c>
      <c r="G19" s="539">
        <v>0.0</v>
      </c>
      <c r="H19" s="539">
        <v>0.5</v>
      </c>
      <c r="I19" s="539">
        <v>1.2</v>
      </c>
      <c r="J19" s="539">
        <v>1.9</v>
      </c>
      <c r="K19" s="539">
        <v>2.5</v>
      </c>
      <c r="L19" s="539">
        <v>3.0</v>
      </c>
      <c r="M19" s="539">
        <v>3.5</v>
      </c>
      <c r="N19" s="520"/>
    </row>
    <row r="20">
      <c r="A20" s="540" t="s">
        <v>392</v>
      </c>
      <c r="B20" s="541"/>
      <c r="C20" s="542">
        <f t="shared" ref="C20:M20" si="3">SUM(C16:C19)</f>
        <v>26.5</v>
      </c>
      <c r="D20" s="542">
        <f t="shared" si="3"/>
        <v>26</v>
      </c>
      <c r="E20" s="542">
        <f t="shared" si="3"/>
        <v>26.7</v>
      </c>
      <c r="F20" s="542">
        <f t="shared" si="3"/>
        <v>26</v>
      </c>
      <c r="G20" s="542">
        <f t="shared" si="3"/>
        <v>26</v>
      </c>
      <c r="H20" s="542">
        <f t="shared" si="3"/>
        <v>25.7</v>
      </c>
      <c r="I20" s="542">
        <f t="shared" si="3"/>
        <v>24.3</v>
      </c>
      <c r="J20" s="542">
        <f t="shared" si="3"/>
        <v>22.8</v>
      </c>
      <c r="K20" s="542">
        <f t="shared" si="3"/>
        <v>22</v>
      </c>
      <c r="L20" s="542">
        <f t="shared" si="3"/>
        <v>21.6</v>
      </c>
      <c r="M20" s="542">
        <f t="shared" si="3"/>
        <v>21.2</v>
      </c>
      <c r="N20" s="543"/>
    </row>
    <row r="21">
      <c r="A21" s="544" t="s">
        <v>393</v>
      </c>
      <c r="B21" s="544" t="s">
        <v>386</v>
      </c>
      <c r="C21" s="545">
        <v>1.2</v>
      </c>
      <c r="D21" s="545">
        <v>1.3</v>
      </c>
      <c r="E21" s="545">
        <v>1.4</v>
      </c>
      <c r="F21" s="545">
        <v>1.4</v>
      </c>
      <c r="G21" s="545">
        <v>1.4</v>
      </c>
      <c r="H21" s="545">
        <v>1.3</v>
      </c>
      <c r="I21" s="545">
        <v>1.2</v>
      </c>
      <c r="J21" s="545">
        <v>1.0</v>
      </c>
      <c r="K21" s="545">
        <v>0.8</v>
      </c>
      <c r="L21" s="545">
        <v>0.7</v>
      </c>
      <c r="M21" s="545">
        <v>0.5</v>
      </c>
      <c r="N21" s="517">
        <f>M23/M32</f>
        <v>0.005644402634</v>
      </c>
    </row>
    <row r="22">
      <c r="A22" s="546" t="s">
        <v>393</v>
      </c>
      <c r="B22" s="546" t="s">
        <v>389</v>
      </c>
      <c r="C22" s="522">
        <v>0.0</v>
      </c>
      <c r="D22" s="522">
        <v>0.0</v>
      </c>
      <c r="E22" s="522">
        <v>0.0</v>
      </c>
      <c r="F22" s="522">
        <v>0.0</v>
      </c>
      <c r="G22" s="522">
        <v>0.0</v>
      </c>
      <c r="H22" s="522">
        <v>0.0</v>
      </c>
      <c r="I22" s="522">
        <v>0.0</v>
      </c>
      <c r="J22" s="522">
        <v>0.0</v>
      </c>
      <c r="K22" s="522">
        <v>0.0</v>
      </c>
      <c r="L22" s="522">
        <v>0.1</v>
      </c>
      <c r="M22" s="522">
        <v>0.1</v>
      </c>
      <c r="N22" s="380"/>
    </row>
    <row r="23">
      <c r="A23" s="547" t="s">
        <v>394</v>
      </c>
      <c r="B23" s="548" t="s">
        <v>132</v>
      </c>
      <c r="C23" s="529">
        <f t="shared" ref="C23:M23" si="4">SUM(C21:C22)</f>
        <v>1.2</v>
      </c>
      <c r="D23" s="529">
        <f t="shared" si="4"/>
        <v>1.3</v>
      </c>
      <c r="E23" s="529">
        <f t="shared" si="4"/>
        <v>1.4</v>
      </c>
      <c r="F23" s="529">
        <f t="shared" si="4"/>
        <v>1.4</v>
      </c>
      <c r="G23" s="529">
        <f t="shared" si="4"/>
        <v>1.4</v>
      </c>
      <c r="H23" s="529">
        <f t="shared" si="4"/>
        <v>1.3</v>
      </c>
      <c r="I23" s="529">
        <f t="shared" si="4"/>
        <v>1.2</v>
      </c>
      <c r="J23" s="529">
        <f t="shared" si="4"/>
        <v>1</v>
      </c>
      <c r="K23" s="529">
        <f t="shared" si="4"/>
        <v>0.8</v>
      </c>
      <c r="L23" s="529">
        <f t="shared" si="4"/>
        <v>0.8</v>
      </c>
      <c r="M23" s="529">
        <f t="shared" si="4"/>
        <v>0.6</v>
      </c>
      <c r="N23" s="526"/>
    </row>
    <row r="24">
      <c r="A24" s="532" t="s">
        <v>395</v>
      </c>
      <c r="B24" s="532" t="s">
        <v>386</v>
      </c>
      <c r="C24" s="533">
        <v>3.4</v>
      </c>
      <c r="D24" s="533">
        <v>3.9</v>
      </c>
      <c r="E24" s="533">
        <v>3.9</v>
      </c>
      <c r="F24" s="533">
        <v>4.2</v>
      </c>
      <c r="G24" s="533">
        <v>4.5</v>
      </c>
      <c r="H24" s="533">
        <v>4.3</v>
      </c>
      <c r="I24" s="533">
        <v>3.8</v>
      </c>
      <c r="J24" s="533">
        <v>2.8</v>
      </c>
      <c r="K24" s="533">
        <v>1.9</v>
      </c>
      <c r="L24" s="533">
        <v>1.1</v>
      </c>
      <c r="M24" s="533">
        <v>0.5</v>
      </c>
      <c r="N24" s="534">
        <f>M28/M32</f>
        <v>0.03292568203</v>
      </c>
    </row>
    <row r="25">
      <c r="A25" s="536" t="s">
        <v>395</v>
      </c>
      <c r="B25" s="536" t="s">
        <v>387</v>
      </c>
      <c r="C25" s="518">
        <v>0.0</v>
      </c>
      <c r="D25" s="518">
        <v>0.0</v>
      </c>
      <c r="E25" s="518">
        <v>0.2</v>
      </c>
      <c r="F25" s="518">
        <v>0.2</v>
      </c>
      <c r="G25" s="518">
        <v>0.2</v>
      </c>
      <c r="H25" s="518">
        <v>0.4</v>
      </c>
      <c r="I25" s="518">
        <v>0.7</v>
      </c>
      <c r="J25" s="518">
        <v>1.0</v>
      </c>
      <c r="K25" s="518">
        <v>1.2</v>
      </c>
      <c r="L25" s="518">
        <v>1.3</v>
      </c>
      <c r="M25" s="518">
        <v>1.0</v>
      </c>
      <c r="N25" s="520"/>
    </row>
    <row r="26">
      <c r="A26" s="381" t="s">
        <v>395</v>
      </c>
      <c r="B26" s="381" t="s">
        <v>388</v>
      </c>
      <c r="C26" s="521">
        <v>0.0</v>
      </c>
      <c r="D26" s="521">
        <v>0.0</v>
      </c>
      <c r="E26" s="521">
        <v>0.0</v>
      </c>
      <c r="F26" s="521">
        <v>0.0</v>
      </c>
      <c r="G26" s="521">
        <v>0.0</v>
      </c>
      <c r="H26" s="521">
        <v>0.1</v>
      </c>
      <c r="I26" s="521">
        <v>0.3</v>
      </c>
      <c r="J26" s="521">
        <v>0.7</v>
      </c>
      <c r="K26" s="521">
        <v>1.0</v>
      </c>
      <c r="L26" s="521">
        <v>1.3</v>
      </c>
      <c r="M26" s="521">
        <v>1.5</v>
      </c>
      <c r="N26" s="380"/>
    </row>
    <row r="27">
      <c r="A27" s="524" t="s">
        <v>395</v>
      </c>
      <c r="B27" s="524" t="s">
        <v>389</v>
      </c>
      <c r="C27" s="539">
        <v>0.0</v>
      </c>
      <c r="D27" s="539">
        <v>0.0</v>
      </c>
      <c r="E27" s="539">
        <v>0.0</v>
      </c>
      <c r="F27" s="539">
        <v>0.0</v>
      </c>
      <c r="G27" s="539">
        <v>0.0</v>
      </c>
      <c r="H27" s="539">
        <v>0.0</v>
      </c>
      <c r="I27" s="539">
        <v>0.0</v>
      </c>
      <c r="J27" s="539">
        <v>0.0</v>
      </c>
      <c r="K27" s="539">
        <v>0.1</v>
      </c>
      <c r="L27" s="539">
        <v>0.2</v>
      </c>
      <c r="M27" s="539">
        <v>0.5</v>
      </c>
      <c r="N27" s="520"/>
    </row>
    <row r="28">
      <c r="A28" s="549" t="s">
        <v>396</v>
      </c>
      <c r="B28" s="550"/>
      <c r="C28" s="551">
        <f t="shared" ref="C28:M28" si="5">SUM(C24:C27)</f>
        <v>3.4</v>
      </c>
      <c r="D28" s="551">
        <f t="shared" si="5"/>
        <v>3.9</v>
      </c>
      <c r="E28" s="551">
        <f t="shared" si="5"/>
        <v>4.1</v>
      </c>
      <c r="F28" s="551">
        <f t="shared" si="5"/>
        <v>4.4</v>
      </c>
      <c r="G28" s="551">
        <f t="shared" si="5"/>
        <v>4.7</v>
      </c>
      <c r="H28" s="551">
        <f t="shared" si="5"/>
        <v>4.8</v>
      </c>
      <c r="I28" s="551">
        <f t="shared" si="5"/>
        <v>4.8</v>
      </c>
      <c r="J28" s="551">
        <f t="shared" si="5"/>
        <v>4.5</v>
      </c>
      <c r="K28" s="551">
        <f t="shared" si="5"/>
        <v>4.2</v>
      </c>
      <c r="L28" s="551">
        <f t="shared" si="5"/>
        <v>3.9</v>
      </c>
      <c r="M28" s="551">
        <f t="shared" si="5"/>
        <v>3.5</v>
      </c>
      <c r="N28" s="543"/>
      <c r="O28" s="530"/>
      <c r="P28" s="530"/>
      <c r="Q28" s="530"/>
      <c r="R28" s="530"/>
      <c r="S28" s="530"/>
      <c r="T28" s="530"/>
      <c r="U28" s="530"/>
      <c r="V28" s="530"/>
      <c r="W28" s="530"/>
      <c r="X28" s="530"/>
      <c r="Y28" s="530"/>
      <c r="Z28" s="530"/>
      <c r="AA28" s="530"/>
      <c r="AB28" s="530"/>
    </row>
    <row r="29">
      <c r="A29" s="552" t="s">
        <v>397</v>
      </c>
      <c r="B29" s="552" t="s">
        <v>385</v>
      </c>
      <c r="C29" s="553">
        <v>2.0</v>
      </c>
      <c r="D29" s="553">
        <v>2.5</v>
      </c>
      <c r="E29" s="553">
        <v>2.5</v>
      </c>
      <c r="F29" s="553">
        <v>2.9</v>
      </c>
      <c r="G29" s="553">
        <v>2.7</v>
      </c>
      <c r="H29" s="553">
        <v>2.4</v>
      </c>
      <c r="I29" s="553">
        <v>2.3</v>
      </c>
      <c r="J29" s="553">
        <v>2.1</v>
      </c>
      <c r="K29" s="553">
        <v>1.8</v>
      </c>
      <c r="L29" s="553">
        <v>1.4</v>
      </c>
      <c r="M29" s="553">
        <v>1.0</v>
      </c>
      <c r="N29" s="517">
        <f>M31/M32</f>
        <v>0.01317027281</v>
      </c>
    </row>
    <row r="30">
      <c r="A30" s="546" t="s">
        <v>397</v>
      </c>
      <c r="B30" s="546" t="s">
        <v>388</v>
      </c>
      <c r="C30" s="522">
        <v>0.0</v>
      </c>
      <c r="D30" s="522">
        <v>0.0</v>
      </c>
      <c r="E30" s="522">
        <v>0.0</v>
      </c>
      <c r="F30" s="522">
        <v>0.0</v>
      </c>
      <c r="G30" s="522">
        <v>0.0</v>
      </c>
      <c r="H30" s="522">
        <v>0.0</v>
      </c>
      <c r="I30" s="522">
        <v>0.0</v>
      </c>
      <c r="J30" s="522">
        <v>0.1</v>
      </c>
      <c r="K30" s="522">
        <v>0.2</v>
      </c>
      <c r="L30" s="522">
        <v>0.3</v>
      </c>
      <c r="M30" s="522">
        <v>0.4</v>
      </c>
      <c r="N30" s="380"/>
    </row>
    <row r="31">
      <c r="A31" s="547" t="s">
        <v>398</v>
      </c>
      <c r="B31" s="528"/>
      <c r="C31" s="529">
        <f t="shared" ref="C31:M31" si="6">SUM(C29:C30)</f>
        <v>2</v>
      </c>
      <c r="D31" s="529">
        <f t="shared" si="6"/>
        <v>2.5</v>
      </c>
      <c r="E31" s="529">
        <f t="shared" si="6"/>
        <v>2.5</v>
      </c>
      <c r="F31" s="529">
        <f t="shared" si="6"/>
        <v>2.9</v>
      </c>
      <c r="G31" s="529">
        <f t="shared" si="6"/>
        <v>2.7</v>
      </c>
      <c r="H31" s="529">
        <f t="shared" si="6"/>
        <v>2.4</v>
      </c>
      <c r="I31" s="529">
        <f t="shared" si="6"/>
        <v>2.3</v>
      </c>
      <c r="J31" s="529">
        <f t="shared" si="6"/>
        <v>2.2</v>
      </c>
      <c r="K31" s="529">
        <f t="shared" si="6"/>
        <v>2</v>
      </c>
      <c r="L31" s="529">
        <f t="shared" si="6"/>
        <v>1.7</v>
      </c>
      <c r="M31" s="529">
        <f t="shared" si="6"/>
        <v>1.4</v>
      </c>
      <c r="N31" s="554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</row>
    <row r="32">
      <c r="A32" s="555" t="s">
        <v>399</v>
      </c>
      <c r="B32" s="556"/>
      <c r="C32" s="557">
        <f t="shared" ref="C32:M32" si="7">SUM(C9,C15,C20,C23,C28,C31)</f>
        <v>188.9</v>
      </c>
      <c r="D32" s="557">
        <f t="shared" si="7"/>
        <v>191.6</v>
      </c>
      <c r="E32" s="557">
        <f t="shared" si="7"/>
        <v>197.3</v>
      </c>
      <c r="F32" s="557">
        <f t="shared" si="7"/>
        <v>197.2</v>
      </c>
      <c r="G32" s="557">
        <f t="shared" si="7"/>
        <v>194.5</v>
      </c>
      <c r="H32" s="557">
        <f t="shared" si="7"/>
        <v>184.4</v>
      </c>
      <c r="I32" s="557">
        <f t="shared" si="7"/>
        <v>166.7</v>
      </c>
      <c r="J32" s="557">
        <f t="shared" si="7"/>
        <v>147.6</v>
      </c>
      <c r="K32" s="557">
        <f t="shared" si="7"/>
        <v>129.2</v>
      </c>
      <c r="L32" s="557">
        <f t="shared" si="7"/>
        <v>115.8</v>
      </c>
      <c r="M32" s="557">
        <f t="shared" si="7"/>
        <v>106.3</v>
      </c>
      <c r="N32" s="558"/>
      <c r="O32" s="530"/>
      <c r="P32" s="530"/>
      <c r="Q32" s="530"/>
      <c r="R32" s="530"/>
      <c r="S32" s="530"/>
      <c r="T32" s="530"/>
      <c r="U32" s="530"/>
      <c r="V32" s="530"/>
      <c r="W32" s="530"/>
      <c r="X32" s="530"/>
      <c r="Y32" s="530"/>
      <c r="Z32" s="530"/>
      <c r="AA32" s="530"/>
      <c r="AB32" s="530"/>
    </row>
    <row r="36">
      <c r="A36" s="502" t="s">
        <v>400</v>
      </c>
      <c r="B36" s="503"/>
      <c r="C36" s="503"/>
      <c r="D36" s="503"/>
      <c r="E36" s="503"/>
      <c r="F36" s="504"/>
      <c r="G36" s="505"/>
      <c r="H36" s="505"/>
      <c r="I36" s="505"/>
      <c r="J36" s="505"/>
      <c r="K36" s="505"/>
      <c r="L36" s="505"/>
      <c r="M36" s="505"/>
      <c r="N36" s="506"/>
      <c r="O36" s="559"/>
    </row>
    <row r="37">
      <c r="A37" s="508" t="s">
        <v>379</v>
      </c>
      <c r="B37" s="509"/>
      <c r="C37" s="510"/>
      <c r="D37" s="510"/>
      <c r="E37" s="510"/>
      <c r="F37" s="510"/>
      <c r="G37" s="510"/>
      <c r="H37" s="510"/>
      <c r="I37" s="510"/>
      <c r="J37" s="510"/>
      <c r="K37" s="510"/>
      <c r="L37" s="510"/>
      <c r="M37" s="510"/>
      <c r="N37" s="511"/>
      <c r="O37" s="560"/>
    </row>
    <row r="38">
      <c r="A38" s="512" t="s">
        <v>382</v>
      </c>
      <c r="B38" s="512" t="s">
        <v>258</v>
      </c>
      <c r="C38" s="513">
        <v>2000.0</v>
      </c>
      <c r="D38" s="513">
        <v>2005.0</v>
      </c>
      <c r="E38" s="513">
        <v>2010.0</v>
      </c>
      <c r="F38" s="513">
        <v>2015.0</v>
      </c>
      <c r="G38" s="513">
        <v>2020.0</v>
      </c>
      <c r="H38" s="513">
        <v>2025.0</v>
      </c>
      <c r="I38" s="513">
        <v>2030.0</v>
      </c>
      <c r="J38" s="513">
        <v>2035.0</v>
      </c>
      <c r="K38" s="513">
        <v>2040.0</v>
      </c>
      <c r="L38" s="513">
        <v>2045.0</v>
      </c>
      <c r="M38" s="513">
        <v>2050.0</v>
      </c>
      <c r="N38" s="561" t="s">
        <v>383</v>
      </c>
      <c r="O38" s="562"/>
    </row>
    <row r="39">
      <c r="A39" s="521" t="s">
        <v>384</v>
      </c>
      <c r="B39" s="521" t="s">
        <v>388</v>
      </c>
      <c r="C39" s="521">
        <v>0.0</v>
      </c>
      <c r="D39" s="521">
        <v>0.0</v>
      </c>
      <c r="E39" s="521">
        <v>0.0</v>
      </c>
      <c r="F39" s="521">
        <v>0.1</v>
      </c>
      <c r="G39" s="521">
        <v>0.5</v>
      </c>
      <c r="H39" s="521">
        <v>2.3</v>
      </c>
      <c r="I39" s="521">
        <v>7.0</v>
      </c>
      <c r="J39" s="521">
        <v>14.8</v>
      </c>
      <c r="K39" s="521">
        <v>24.0</v>
      </c>
      <c r="L39" s="521">
        <v>32.3</v>
      </c>
      <c r="M39" s="521">
        <v>38.4</v>
      </c>
      <c r="N39" s="563">
        <f>M40/M49</f>
        <v>0.8205128205</v>
      </c>
      <c r="O39" s="564"/>
    </row>
    <row r="40">
      <c r="A40" s="547" t="s">
        <v>390</v>
      </c>
      <c r="B40" s="565"/>
      <c r="C40" s="529">
        <f t="shared" ref="C40:M40" si="8">SUM(C39)</f>
        <v>0</v>
      </c>
      <c r="D40" s="529">
        <f t="shared" si="8"/>
        <v>0</v>
      </c>
      <c r="E40" s="529">
        <f t="shared" si="8"/>
        <v>0</v>
      </c>
      <c r="F40" s="529">
        <f t="shared" si="8"/>
        <v>0.1</v>
      </c>
      <c r="G40" s="529">
        <f t="shared" si="8"/>
        <v>0.5</v>
      </c>
      <c r="H40" s="529">
        <f t="shared" si="8"/>
        <v>2.3</v>
      </c>
      <c r="I40" s="529">
        <f t="shared" si="8"/>
        <v>7</v>
      </c>
      <c r="J40" s="529">
        <f t="shared" si="8"/>
        <v>14.8</v>
      </c>
      <c r="K40" s="529">
        <f t="shared" si="8"/>
        <v>24</v>
      </c>
      <c r="L40" s="529">
        <f t="shared" si="8"/>
        <v>32.3</v>
      </c>
      <c r="M40" s="529">
        <f t="shared" si="8"/>
        <v>38.4</v>
      </c>
      <c r="N40" s="526"/>
      <c r="O40" s="566">
        <v>0.8205128205128205</v>
      </c>
    </row>
    <row r="41">
      <c r="A41" s="533" t="s">
        <v>377</v>
      </c>
      <c r="B41" s="533" t="s">
        <v>388</v>
      </c>
      <c r="C41" s="533">
        <v>0.0</v>
      </c>
      <c r="D41" s="533">
        <v>0.0</v>
      </c>
      <c r="E41" s="533">
        <v>0.0</v>
      </c>
      <c r="F41" s="533">
        <v>0.0</v>
      </c>
      <c r="G41" s="533">
        <v>0.0</v>
      </c>
      <c r="H41" s="533">
        <v>0.2</v>
      </c>
      <c r="I41" s="533">
        <v>0.6</v>
      </c>
      <c r="J41" s="533">
        <v>1.4</v>
      </c>
      <c r="K41" s="533">
        <v>2.6</v>
      </c>
      <c r="L41" s="533">
        <v>3.7</v>
      </c>
      <c r="M41" s="533">
        <v>4.6</v>
      </c>
      <c r="N41" s="563">
        <f>M42/M49</f>
        <v>0.09829059829</v>
      </c>
      <c r="O41" s="567"/>
    </row>
    <row r="42">
      <c r="A42" s="527" t="s">
        <v>391</v>
      </c>
      <c r="B42" s="528"/>
      <c r="C42" s="529">
        <f t="shared" ref="C42:M42" si="9">SUM(C41)</f>
        <v>0</v>
      </c>
      <c r="D42" s="529">
        <f t="shared" si="9"/>
        <v>0</v>
      </c>
      <c r="E42" s="529">
        <f t="shared" si="9"/>
        <v>0</v>
      </c>
      <c r="F42" s="529">
        <f t="shared" si="9"/>
        <v>0</v>
      </c>
      <c r="G42" s="529">
        <f t="shared" si="9"/>
        <v>0</v>
      </c>
      <c r="H42" s="529">
        <f t="shared" si="9"/>
        <v>0.2</v>
      </c>
      <c r="I42" s="529">
        <f t="shared" si="9"/>
        <v>0.6</v>
      </c>
      <c r="J42" s="529">
        <f t="shared" si="9"/>
        <v>1.4</v>
      </c>
      <c r="K42" s="529">
        <f t="shared" si="9"/>
        <v>2.6</v>
      </c>
      <c r="L42" s="529">
        <f t="shared" si="9"/>
        <v>3.7</v>
      </c>
      <c r="M42" s="529">
        <f t="shared" si="9"/>
        <v>4.6</v>
      </c>
      <c r="N42" s="526"/>
      <c r="O42" s="566">
        <v>0.09829059829059829</v>
      </c>
    </row>
    <row r="43">
      <c r="A43" s="537" t="s">
        <v>380</v>
      </c>
      <c r="B43" s="381" t="s">
        <v>388</v>
      </c>
      <c r="C43" s="521">
        <v>0.0</v>
      </c>
      <c r="D43" s="521">
        <v>0.0</v>
      </c>
      <c r="E43" s="521">
        <v>0.0</v>
      </c>
      <c r="F43" s="521">
        <v>0.0</v>
      </c>
      <c r="G43" s="521">
        <v>0.0</v>
      </c>
      <c r="H43" s="521">
        <v>0.1</v>
      </c>
      <c r="I43" s="521">
        <v>0.3</v>
      </c>
      <c r="J43" s="521">
        <v>0.6</v>
      </c>
      <c r="K43" s="521">
        <v>1.0</v>
      </c>
      <c r="L43" s="521">
        <v>1.5</v>
      </c>
      <c r="M43" s="521">
        <v>1.9</v>
      </c>
      <c r="N43" s="563">
        <f>M44/M49</f>
        <v>0.0405982906</v>
      </c>
      <c r="O43" s="567"/>
    </row>
    <row r="44">
      <c r="A44" s="527" t="s">
        <v>392</v>
      </c>
      <c r="B44" s="565"/>
      <c r="C44" s="529">
        <f t="shared" ref="C44:M44" si="10">SUM(C43)</f>
        <v>0</v>
      </c>
      <c r="D44" s="529">
        <f t="shared" si="10"/>
        <v>0</v>
      </c>
      <c r="E44" s="529">
        <f t="shared" si="10"/>
        <v>0</v>
      </c>
      <c r="F44" s="529">
        <f t="shared" si="10"/>
        <v>0</v>
      </c>
      <c r="G44" s="529">
        <f t="shared" si="10"/>
        <v>0</v>
      </c>
      <c r="H44" s="529">
        <f t="shared" si="10"/>
        <v>0.1</v>
      </c>
      <c r="I44" s="529">
        <f t="shared" si="10"/>
        <v>0.3</v>
      </c>
      <c r="J44" s="529">
        <f t="shared" si="10"/>
        <v>0.6</v>
      </c>
      <c r="K44" s="529">
        <f t="shared" si="10"/>
        <v>1</v>
      </c>
      <c r="L44" s="529">
        <f t="shared" si="10"/>
        <v>1.5</v>
      </c>
      <c r="M44" s="529">
        <f t="shared" si="10"/>
        <v>1.9</v>
      </c>
      <c r="N44" s="526"/>
      <c r="O44" s="566">
        <v>0.0405982905982906</v>
      </c>
    </row>
    <row r="45">
      <c r="A45" s="381" t="s">
        <v>395</v>
      </c>
      <c r="B45" s="381" t="s">
        <v>388</v>
      </c>
      <c r="C45" s="521">
        <v>0.0</v>
      </c>
      <c r="D45" s="521">
        <v>0.0</v>
      </c>
      <c r="E45" s="521">
        <v>0.0</v>
      </c>
      <c r="F45" s="521">
        <v>0.0</v>
      </c>
      <c r="G45" s="521">
        <v>0.0</v>
      </c>
      <c r="H45" s="521">
        <v>0.1</v>
      </c>
      <c r="I45" s="521">
        <v>0.3</v>
      </c>
      <c r="J45" s="521">
        <v>0.7</v>
      </c>
      <c r="K45" s="521">
        <v>1.0</v>
      </c>
      <c r="L45" s="521">
        <v>1.3</v>
      </c>
      <c r="M45" s="521">
        <v>1.5</v>
      </c>
      <c r="N45" s="563">
        <f>M46/M49</f>
        <v>0.03205128205</v>
      </c>
      <c r="O45" s="567"/>
    </row>
    <row r="46">
      <c r="A46" s="523" t="s">
        <v>396</v>
      </c>
      <c r="B46" s="568"/>
      <c r="C46" s="525">
        <f t="shared" ref="C46:M46" si="11">SUM(C45)</f>
        <v>0</v>
      </c>
      <c r="D46" s="525">
        <f t="shared" si="11"/>
        <v>0</v>
      </c>
      <c r="E46" s="525">
        <f t="shared" si="11"/>
        <v>0</v>
      </c>
      <c r="F46" s="525">
        <f t="shared" si="11"/>
        <v>0</v>
      </c>
      <c r="G46" s="525">
        <f t="shared" si="11"/>
        <v>0</v>
      </c>
      <c r="H46" s="525">
        <f t="shared" si="11"/>
        <v>0.1</v>
      </c>
      <c r="I46" s="525">
        <f t="shared" si="11"/>
        <v>0.3</v>
      </c>
      <c r="J46" s="525">
        <f t="shared" si="11"/>
        <v>0.7</v>
      </c>
      <c r="K46" s="525">
        <f t="shared" si="11"/>
        <v>1</v>
      </c>
      <c r="L46" s="525">
        <f t="shared" si="11"/>
        <v>1.3</v>
      </c>
      <c r="M46" s="525">
        <f t="shared" si="11"/>
        <v>1.5</v>
      </c>
      <c r="N46" s="526"/>
      <c r="O46" s="566">
        <v>0.032051282051282055</v>
      </c>
    </row>
    <row r="47">
      <c r="A47" s="546" t="s">
        <v>397</v>
      </c>
      <c r="B47" s="546" t="s">
        <v>388</v>
      </c>
      <c r="C47" s="522">
        <v>0.0</v>
      </c>
      <c r="D47" s="522">
        <v>0.0</v>
      </c>
      <c r="E47" s="522">
        <v>0.0</v>
      </c>
      <c r="F47" s="522">
        <v>0.0</v>
      </c>
      <c r="G47" s="522">
        <v>0.0</v>
      </c>
      <c r="H47" s="522">
        <v>0.0</v>
      </c>
      <c r="I47" s="522">
        <v>0.0</v>
      </c>
      <c r="J47" s="522">
        <v>0.1</v>
      </c>
      <c r="K47" s="522">
        <v>0.2</v>
      </c>
      <c r="L47" s="522">
        <v>0.3</v>
      </c>
      <c r="M47" s="522">
        <v>0.4</v>
      </c>
      <c r="N47" s="563">
        <f>M48/M49</f>
        <v>0.008547008547</v>
      </c>
      <c r="O47" s="567"/>
    </row>
    <row r="48">
      <c r="A48" s="547" t="s">
        <v>398</v>
      </c>
      <c r="B48" s="528"/>
      <c r="C48" s="529">
        <f t="shared" ref="C48:M48" si="12">SUM(C47)</f>
        <v>0</v>
      </c>
      <c r="D48" s="529">
        <f t="shared" si="12"/>
        <v>0</v>
      </c>
      <c r="E48" s="529">
        <f t="shared" si="12"/>
        <v>0</v>
      </c>
      <c r="F48" s="529">
        <f t="shared" si="12"/>
        <v>0</v>
      </c>
      <c r="G48" s="529">
        <f t="shared" si="12"/>
        <v>0</v>
      </c>
      <c r="H48" s="529">
        <f t="shared" si="12"/>
        <v>0</v>
      </c>
      <c r="I48" s="529">
        <f t="shared" si="12"/>
        <v>0</v>
      </c>
      <c r="J48" s="529">
        <f t="shared" si="12"/>
        <v>0.1</v>
      </c>
      <c r="K48" s="529">
        <f t="shared" si="12"/>
        <v>0.2</v>
      </c>
      <c r="L48" s="529">
        <f t="shared" si="12"/>
        <v>0.3</v>
      </c>
      <c r="M48" s="529">
        <f t="shared" si="12"/>
        <v>0.4</v>
      </c>
      <c r="N48" s="526"/>
      <c r="O48" s="566">
        <v>0.008547008547008548</v>
      </c>
    </row>
    <row r="49">
      <c r="A49" s="555" t="s">
        <v>399</v>
      </c>
      <c r="B49" s="556"/>
      <c r="C49" s="557">
        <f t="shared" ref="C49:M49" si="13">SUM(C40,C42,C44,C46,C48)</f>
        <v>0</v>
      </c>
      <c r="D49" s="557">
        <f t="shared" si="13"/>
        <v>0</v>
      </c>
      <c r="E49" s="557">
        <f t="shared" si="13"/>
        <v>0</v>
      </c>
      <c r="F49" s="557">
        <f t="shared" si="13"/>
        <v>0.1</v>
      </c>
      <c r="G49" s="557">
        <f t="shared" si="13"/>
        <v>0.5</v>
      </c>
      <c r="H49" s="557">
        <f t="shared" si="13"/>
        <v>2.7</v>
      </c>
      <c r="I49" s="557">
        <f t="shared" si="13"/>
        <v>8.2</v>
      </c>
      <c r="J49" s="557">
        <f t="shared" si="13"/>
        <v>17.6</v>
      </c>
      <c r="K49" s="557">
        <f t="shared" si="13"/>
        <v>28.8</v>
      </c>
      <c r="L49" s="557">
        <f t="shared" si="13"/>
        <v>39.1</v>
      </c>
      <c r="M49" s="557">
        <f t="shared" si="13"/>
        <v>46.8</v>
      </c>
      <c r="N49" s="558"/>
      <c r="O49" s="569"/>
    </row>
    <row r="51">
      <c r="A51" s="413" t="s">
        <v>209</v>
      </c>
      <c r="B51" s="414" t="s">
        <v>285</v>
      </c>
      <c r="C51" s="415"/>
      <c r="D51" s="570" t="s">
        <v>70</v>
      </c>
      <c r="E51" s="415"/>
      <c r="F51" s="570" t="s">
        <v>71</v>
      </c>
      <c r="G51" s="415"/>
      <c r="H51" s="570" t="s">
        <v>72</v>
      </c>
      <c r="I51" s="415"/>
      <c r="J51" s="571" t="s">
        <v>82</v>
      </c>
      <c r="K51" s="572"/>
      <c r="L51" s="571" t="s">
        <v>83</v>
      </c>
      <c r="M51" s="572"/>
      <c r="N51" s="571" t="s">
        <v>84</v>
      </c>
      <c r="O51" s="572"/>
      <c r="P51" s="571" t="s">
        <v>85</v>
      </c>
      <c r="Q51" s="572"/>
      <c r="R51" s="571" t="s">
        <v>86</v>
      </c>
      <c r="S51" s="572"/>
      <c r="T51" s="571" t="s">
        <v>87</v>
      </c>
      <c r="U51" s="572"/>
      <c r="V51" s="571" t="s">
        <v>401</v>
      </c>
      <c r="W51" s="572"/>
      <c r="X51" s="570" t="s">
        <v>73</v>
      </c>
      <c r="Y51" s="415"/>
      <c r="Z51" s="570" t="s">
        <v>74</v>
      </c>
      <c r="AA51" s="572"/>
      <c r="AB51" s="573" t="s">
        <v>75</v>
      </c>
    </row>
    <row r="52">
      <c r="A52" s="574" t="s">
        <v>402</v>
      </c>
      <c r="B52" s="575">
        <v>0.8205</v>
      </c>
      <c r="C52" s="576">
        <v>50.0</v>
      </c>
      <c r="D52" s="577">
        <v>-0.545</v>
      </c>
      <c r="E52" s="429">
        <f>D52*$B$52*Sectors!B80</f>
        <v>-3.13022983</v>
      </c>
      <c r="F52" s="577">
        <v>-0.545</v>
      </c>
      <c r="G52" s="429">
        <f>F52*$B$52*Sectors!C80</f>
        <v>-3.389358204</v>
      </c>
      <c r="H52" s="577">
        <v>-0.375</v>
      </c>
      <c r="I52" s="429">
        <f>H52*$B$52*Sectors!D80</f>
        <v>-2.497304255</v>
      </c>
      <c r="J52" s="577">
        <v>0.0</v>
      </c>
      <c r="K52" s="429">
        <f>J52*$B$52*Sectors!E80</f>
        <v>0</v>
      </c>
      <c r="L52" s="577">
        <v>0.0</v>
      </c>
      <c r="M52" s="429">
        <f>L52*$B$52*Sectors!F80</f>
        <v>0</v>
      </c>
      <c r="N52" s="577">
        <v>0.0</v>
      </c>
      <c r="O52" s="429">
        <f>N52*$B$52*Sectors!G80</f>
        <v>0</v>
      </c>
      <c r="P52" s="577">
        <v>0.0</v>
      </c>
      <c r="Q52" s="429">
        <f>P52*$B$52*Sectors!H80</f>
        <v>0</v>
      </c>
      <c r="R52" s="577">
        <v>0.0</v>
      </c>
      <c r="S52" s="429">
        <f>R52*$B$52*Sectors!I80</f>
        <v>0</v>
      </c>
      <c r="T52" s="577">
        <v>0.0</v>
      </c>
      <c r="U52" s="429">
        <f>T52*$B$52*Sectors!J80</f>
        <v>0</v>
      </c>
      <c r="V52" s="577">
        <v>0.0</v>
      </c>
      <c r="W52" s="429">
        <f>V52*$B$52*Sectors!K80</f>
        <v>0</v>
      </c>
      <c r="X52" s="577">
        <v>0.0</v>
      </c>
      <c r="Y52" s="578">
        <f>X52*$B$52*Sectors!L80</f>
        <v>0</v>
      </c>
      <c r="Z52" s="577">
        <v>-0.545</v>
      </c>
      <c r="AA52" s="578">
        <f>Z52*$B$52*Sectors!M80</f>
        <v>-3.118631134</v>
      </c>
      <c r="AB52" s="579"/>
    </row>
    <row r="53">
      <c r="A53" s="580" t="s">
        <v>377</v>
      </c>
      <c r="B53" s="581">
        <v>0.0983</v>
      </c>
      <c r="C53" s="582">
        <v>6.0</v>
      </c>
      <c r="D53" s="583">
        <v>0.0</v>
      </c>
      <c r="E53" s="584">
        <f>D53*$B$52*Sectors!B81</f>
        <v>0</v>
      </c>
      <c r="F53" s="583">
        <v>0.0</v>
      </c>
      <c r="G53" s="584">
        <f>F53*$B$52*Sectors!C81</f>
        <v>0</v>
      </c>
      <c r="H53" s="585">
        <v>0.0</v>
      </c>
      <c r="I53" s="584">
        <f>H53*$B$52*Sectors!D81</f>
        <v>0</v>
      </c>
      <c r="J53" s="585">
        <v>0.0</v>
      </c>
      <c r="K53" s="586"/>
      <c r="L53" s="585">
        <v>0.0</v>
      </c>
      <c r="M53" s="586"/>
      <c r="N53" s="585">
        <v>0.0</v>
      </c>
      <c r="O53" s="586"/>
      <c r="P53" s="585">
        <v>0.0</v>
      </c>
      <c r="Q53" s="586"/>
      <c r="R53" s="585">
        <v>0.0</v>
      </c>
      <c r="S53" s="586"/>
      <c r="T53" s="585">
        <v>0.0</v>
      </c>
      <c r="U53" s="586"/>
      <c r="V53" s="585">
        <v>0.0</v>
      </c>
      <c r="W53" s="586"/>
      <c r="X53" s="583">
        <v>0.0</v>
      </c>
      <c r="Y53" s="587">
        <f>X53*$B$52*Sectors!L81</f>
        <v>0</v>
      </c>
      <c r="Z53" s="583">
        <v>0.0</v>
      </c>
      <c r="AA53" s="587">
        <f>Z53*$B$52*Sectors!M81</f>
        <v>0</v>
      </c>
      <c r="AB53" s="588"/>
    </row>
    <row r="54">
      <c r="A54" s="589" t="s">
        <v>380</v>
      </c>
      <c r="B54" s="575">
        <v>0.0406</v>
      </c>
      <c r="C54" s="576">
        <v>2.5</v>
      </c>
      <c r="D54" s="590">
        <v>0.0</v>
      </c>
      <c r="E54" s="429">
        <f>D54*$B$52*Sectors!B82</f>
        <v>0</v>
      </c>
      <c r="F54" s="590">
        <v>0.0</v>
      </c>
      <c r="G54" s="429">
        <f>F54*$B$52*Sectors!C82</f>
        <v>0</v>
      </c>
      <c r="H54" s="590">
        <v>0.0</v>
      </c>
      <c r="I54" s="429">
        <f>H54*$B$52*Sectors!D82</f>
        <v>0</v>
      </c>
      <c r="J54" s="590">
        <v>0.0</v>
      </c>
      <c r="K54" s="591"/>
      <c r="L54" s="590">
        <v>0.0</v>
      </c>
      <c r="M54" s="591"/>
      <c r="N54" s="590">
        <v>0.0</v>
      </c>
      <c r="O54" s="591"/>
      <c r="P54" s="590">
        <v>0.0</v>
      </c>
      <c r="Q54" s="591"/>
      <c r="R54" s="590">
        <v>0.0</v>
      </c>
      <c r="S54" s="591"/>
      <c r="T54" s="590">
        <v>0.0</v>
      </c>
      <c r="U54" s="591"/>
      <c r="V54" s="590">
        <v>0.0</v>
      </c>
      <c r="W54" s="591"/>
      <c r="X54" s="590">
        <v>0.0</v>
      </c>
      <c r="Y54" s="578">
        <f>X54*$B$52*Sectors!L82</f>
        <v>0</v>
      </c>
      <c r="Z54" s="590">
        <v>0.0</v>
      </c>
      <c r="AA54" s="578">
        <f>Z54*$B$52*Sectors!M82</f>
        <v>0</v>
      </c>
      <c r="AB54" s="592"/>
    </row>
    <row r="55">
      <c r="A55" s="477" t="s">
        <v>403</v>
      </c>
      <c r="B55" s="581">
        <v>0.0321</v>
      </c>
      <c r="C55" s="582">
        <v>1.96</v>
      </c>
      <c r="D55" s="585">
        <v>0.0</v>
      </c>
      <c r="E55" s="584">
        <f>D55*$B$52*Sectors!B83</f>
        <v>0</v>
      </c>
      <c r="F55" s="585">
        <v>0.0</v>
      </c>
      <c r="G55" s="584">
        <f>F55*$B$52*Sectors!C83</f>
        <v>0</v>
      </c>
      <c r="H55" s="585">
        <v>0.0</v>
      </c>
      <c r="I55" s="584">
        <f>H55*$B$52*Sectors!D83</f>
        <v>0</v>
      </c>
      <c r="J55" s="585">
        <v>0.0</v>
      </c>
      <c r="K55" s="586"/>
      <c r="L55" s="585">
        <v>0.0</v>
      </c>
      <c r="M55" s="586"/>
      <c r="N55" s="585">
        <v>0.0</v>
      </c>
      <c r="O55" s="586"/>
      <c r="P55" s="585">
        <v>0.0</v>
      </c>
      <c r="Q55" s="586"/>
      <c r="R55" s="585">
        <v>0.0</v>
      </c>
      <c r="S55" s="586"/>
      <c r="T55" s="585">
        <v>0.0</v>
      </c>
      <c r="U55" s="586"/>
      <c r="V55" s="585">
        <v>0.0</v>
      </c>
      <c r="W55" s="586"/>
      <c r="X55" s="585">
        <v>0.0</v>
      </c>
      <c r="Y55" s="587">
        <f>X55*$B$52*Sectors!L83</f>
        <v>0</v>
      </c>
      <c r="Z55" s="585">
        <v>0.0</v>
      </c>
      <c r="AA55" s="587">
        <f>Z55*$B$52*Sectors!M83</f>
        <v>0</v>
      </c>
      <c r="AB55" s="593"/>
    </row>
    <row r="56">
      <c r="A56" s="574" t="s">
        <v>404</v>
      </c>
      <c r="B56" s="575">
        <v>0.0085</v>
      </c>
      <c r="C56" s="576">
        <v>0.5</v>
      </c>
      <c r="D56" s="590">
        <v>0.0</v>
      </c>
      <c r="E56" s="429">
        <f>D56*$B$52*Sectors!B84</f>
        <v>0</v>
      </c>
      <c r="F56" s="590">
        <v>0.0</v>
      </c>
      <c r="G56" s="429">
        <f>F56*$B$52*Sectors!C84</f>
        <v>0</v>
      </c>
      <c r="H56" s="590">
        <v>0.0</v>
      </c>
      <c r="I56" s="429">
        <f>H56*$B$52*Sectors!D84</f>
        <v>0</v>
      </c>
      <c r="J56" s="590">
        <v>0.0</v>
      </c>
      <c r="K56" s="591"/>
      <c r="L56" s="590">
        <v>0.0</v>
      </c>
      <c r="M56" s="591"/>
      <c r="N56" s="590">
        <v>0.0</v>
      </c>
      <c r="O56" s="591"/>
      <c r="P56" s="590">
        <v>0.0</v>
      </c>
      <c r="Q56" s="591"/>
      <c r="R56" s="590">
        <v>0.0</v>
      </c>
      <c r="S56" s="591"/>
      <c r="T56" s="590">
        <v>0.0</v>
      </c>
      <c r="U56" s="591"/>
      <c r="V56" s="590">
        <v>0.0</v>
      </c>
      <c r="W56" s="591"/>
      <c r="X56" s="590">
        <v>0.0</v>
      </c>
      <c r="Y56" s="578">
        <f>X56*$B$52*Sectors!L84</f>
        <v>0</v>
      </c>
      <c r="Z56" s="590">
        <v>0.0</v>
      </c>
      <c r="AA56" s="578">
        <f>Z56*$B$52*Sectors!M84</f>
        <v>0</v>
      </c>
      <c r="AB56" s="592"/>
    </row>
    <row r="57">
      <c r="A57" s="477" t="s">
        <v>269</v>
      </c>
      <c r="B57" s="594"/>
      <c r="C57" s="584">
        <v>60.94</v>
      </c>
      <c r="D57" s="595"/>
      <c r="E57" s="596">
        <f>SUM(E52:E56)</f>
        <v>-3.13022983</v>
      </c>
      <c r="F57" s="595"/>
      <c r="G57" s="596">
        <f>SUM(G52:G56)</f>
        <v>-3.389358204</v>
      </c>
      <c r="H57" s="595"/>
      <c r="I57" s="596">
        <f>SUM(I52:I56)</f>
        <v>-2.497304255</v>
      </c>
      <c r="J57" s="595"/>
      <c r="K57" s="596">
        <f>SUM(K52:K56)</f>
        <v>0</v>
      </c>
      <c r="L57" s="595"/>
      <c r="M57" s="596">
        <f>SUM(M52:M56)</f>
        <v>0</v>
      </c>
      <c r="N57" s="595"/>
      <c r="O57" s="596">
        <f>SUM(O52:O56)</f>
        <v>0</v>
      </c>
      <c r="P57" s="595"/>
      <c r="Q57" s="596">
        <f>SUM(Q52:Q56)</f>
        <v>0</v>
      </c>
      <c r="R57" s="595"/>
      <c r="S57" s="596">
        <f>SUM(S52:S56)</f>
        <v>0</v>
      </c>
      <c r="T57" s="595"/>
      <c r="U57" s="596">
        <f>SUM(U52:U56)</f>
        <v>0</v>
      </c>
      <c r="V57" s="595"/>
      <c r="W57" s="596">
        <f>SUM(W52:W56)</f>
        <v>0</v>
      </c>
      <c r="X57" s="595"/>
      <c r="Y57" s="597">
        <f>SUM(Y52:Y56)</f>
        <v>0</v>
      </c>
      <c r="Z57" s="597"/>
      <c r="AA57" s="597">
        <f>SUM(AA52:AA56)</f>
        <v>-3.118631134</v>
      </c>
      <c r="AB57" s="598">
        <f>SUM(E57:AA57)</f>
        <v>-12.13552342</v>
      </c>
    </row>
  </sheetData>
  <mergeCells count="24">
    <mergeCell ref="N4:N9"/>
    <mergeCell ref="N10:N15"/>
    <mergeCell ref="N16:N20"/>
    <mergeCell ref="N21:N23"/>
    <mergeCell ref="N24:N28"/>
    <mergeCell ref="N29:N31"/>
    <mergeCell ref="N39:N40"/>
    <mergeCell ref="N41:N42"/>
    <mergeCell ref="N43:N44"/>
    <mergeCell ref="N45:N46"/>
    <mergeCell ref="N47:N48"/>
    <mergeCell ref="B51:C51"/>
    <mergeCell ref="D51:E51"/>
    <mergeCell ref="F51:G51"/>
    <mergeCell ref="L51:M51"/>
    <mergeCell ref="X51:Y51"/>
    <mergeCell ref="Z51:AA51"/>
    <mergeCell ref="H51:I51"/>
    <mergeCell ref="J51:K51"/>
    <mergeCell ref="N51:O51"/>
    <mergeCell ref="P51:Q51"/>
    <mergeCell ref="R51:S51"/>
    <mergeCell ref="T51:U51"/>
    <mergeCell ref="V51:W51"/>
  </mergeCells>
  <drawing r:id="rId1"/>
</worksheet>
</file>