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770" firstSheet="1" activeTab="13"/>
  </bookViews>
  <sheets>
    <sheet name="map" sheetId="4" r:id="rId1"/>
    <sheet name="plan" sheetId="1" r:id="rId2"/>
    <sheet name="Лист1" sheetId="5" r:id="rId3"/>
    <sheet name="calendar_plan" sheetId="6" r:id="rId4"/>
    <sheet name="calendar_men" sheetId="12" r:id="rId5"/>
    <sheet name="calendar_women" sheetId="8" r:id="rId6"/>
    <sheet name="calendar_child" sheetId="9" r:id="rId7"/>
    <sheet name="calendar_old" sheetId="10" r:id="rId8"/>
    <sheet name="calendar_country" sheetId="11" r:id="rId9"/>
    <sheet name="top 100" sheetId="13" r:id="rId10"/>
    <sheet name="top fide" sheetId="17" r:id="rId11"/>
    <sheet name="секции" sheetId="14" r:id="rId12"/>
    <sheet name="время работы клуба" sheetId="15" r:id="rId13"/>
    <sheet name="bill_federation" sheetId="16" r:id="rId14"/>
  </sheets>
  <definedNames>
    <definedName name="__DdeLink__347_65971897711" localSheetId="2">Лист1!$D$91</definedName>
    <definedName name="__DdeLink__349_6597189771" localSheetId="2">Лист1!$C$91</definedName>
    <definedName name="__DdeLink__351_659718977" localSheetId="2">Лист1!$B$90</definedName>
    <definedName name="_GoBack" localSheetId="12">'время работы клуба'!$A$1</definedName>
    <definedName name="_xlnm._FilterDatabase" localSheetId="3" hidden="1">calendar_plan!$A$2:$AI$139</definedName>
  </definedNames>
  <calcPr calcId="125725"/>
</workbook>
</file>

<file path=xl/calcChain.xml><?xml version="1.0" encoding="utf-8"?>
<calcChain xmlns="http://schemas.openxmlformats.org/spreadsheetml/2006/main">
  <c r="A1" i="17"/>
  <c r="G4" l="1"/>
  <c r="G6"/>
  <c r="G8"/>
  <c r="G10"/>
  <c r="G12"/>
  <c r="G14"/>
  <c r="G16"/>
  <c r="G18"/>
  <c r="G20"/>
  <c r="G22"/>
  <c r="I52"/>
  <c r="G52" s="1"/>
  <c r="I51"/>
  <c r="G51" s="1"/>
  <c r="I50"/>
  <c r="G50" s="1"/>
  <c r="I49"/>
  <c r="G49" s="1"/>
  <c r="I48"/>
  <c r="G48" s="1"/>
  <c r="I47"/>
  <c r="G47" s="1"/>
  <c r="I46"/>
  <c r="G46" s="1"/>
  <c r="I45"/>
  <c r="G45" s="1"/>
  <c r="I44"/>
  <c r="G44" s="1"/>
  <c r="I43"/>
  <c r="G43" s="1"/>
  <c r="I42"/>
  <c r="G42" s="1"/>
  <c r="I41"/>
  <c r="G41" s="1"/>
  <c r="I40"/>
  <c r="G40" s="1"/>
  <c r="I39"/>
  <c r="G39" s="1"/>
  <c r="I38"/>
  <c r="G38" s="1"/>
  <c r="I37"/>
  <c r="G37" s="1"/>
  <c r="I36"/>
  <c r="G36" s="1"/>
  <c r="I35"/>
  <c r="G35" s="1"/>
  <c r="I34"/>
  <c r="G34" s="1"/>
  <c r="I33"/>
  <c r="G33" s="1"/>
  <c r="I32"/>
  <c r="G32" s="1"/>
  <c r="I31"/>
  <c r="G31" s="1"/>
  <c r="I30"/>
  <c r="G30" s="1"/>
  <c r="I29"/>
  <c r="G29" s="1"/>
  <c r="I28"/>
  <c r="G28" s="1"/>
  <c r="I27"/>
  <c r="G27" s="1"/>
  <c r="I26"/>
  <c r="G26" s="1"/>
  <c r="I25"/>
  <c r="G25" s="1"/>
  <c r="I24"/>
  <c r="G24" s="1"/>
  <c r="I23"/>
  <c r="G23" s="1"/>
  <c r="I21"/>
  <c r="G21" s="1"/>
  <c r="I20"/>
  <c r="I19"/>
  <c r="G19" s="1"/>
  <c r="I18"/>
  <c r="I17"/>
  <c r="G17" s="1"/>
  <c r="I16"/>
  <c r="I15"/>
  <c r="G15" s="1"/>
  <c r="I14"/>
  <c r="I13"/>
  <c r="G13" s="1"/>
  <c r="I12"/>
  <c r="I11"/>
  <c r="G11" s="1"/>
  <c r="I10"/>
  <c r="I9"/>
  <c r="G9" s="1"/>
  <c r="I8"/>
  <c r="I7"/>
  <c r="G7" s="1"/>
  <c r="I6"/>
  <c r="I5"/>
  <c r="G5" s="1"/>
  <c r="I4"/>
  <c r="I3"/>
  <c r="G3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I102" i="13"/>
  <c r="F102"/>
  <c r="I101"/>
  <c r="F101"/>
  <c r="I100"/>
  <c r="F100"/>
  <c r="I99"/>
  <c r="F99"/>
  <c r="I98"/>
  <c r="F98"/>
  <c r="I97"/>
  <c r="F97"/>
  <c r="I96"/>
  <c r="F96"/>
  <c r="I95"/>
  <c r="F95"/>
  <c r="I94"/>
  <c r="F94"/>
  <c r="I93"/>
  <c r="F93"/>
  <c r="I92"/>
  <c r="F92"/>
  <c r="I91"/>
  <c r="F91"/>
  <c r="I90"/>
  <c r="F90"/>
  <c r="I89"/>
  <c r="F89"/>
  <c r="I88"/>
  <c r="F88"/>
  <c r="I87"/>
  <c r="F87"/>
  <c r="I86"/>
  <c r="F86"/>
  <c r="I85"/>
  <c r="F85"/>
  <c r="I84"/>
  <c r="F84"/>
  <c r="I83"/>
  <c r="F83"/>
  <c r="I82"/>
  <c r="F82"/>
  <c r="I81"/>
  <c r="F81"/>
  <c r="I80"/>
  <c r="F80"/>
  <c r="I79"/>
  <c r="F79"/>
  <c r="I78"/>
  <c r="F78"/>
  <c r="I77"/>
  <c r="F77"/>
  <c r="I76"/>
  <c r="F76"/>
  <c r="I75"/>
  <c r="F75"/>
  <c r="I74"/>
  <c r="F74"/>
  <c r="I73"/>
  <c r="F73"/>
  <c r="I72"/>
  <c r="F72"/>
  <c r="I71"/>
  <c r="F71"/>
  <c r="I70"/>
  <c r="F70"/>
  <c r="I69"/>
  <c r="F69"/>
  <c r="I68"/>
  <c r="F68"/>
  <c r="I67"/>
  <c r="F67"/>
  <c r="I66"/>
  <c r="F66"/>
  <c r="I65"/>
  <c r="F65"/>
  <c r="I64"/>
  <c r="F64"/>
  <c r="I63"/>
  <c r="F63"/>
  <c r="I62"/>
  <c r="F62"/>
  <c r="I61"/>
  <c r="F61"/>
  <c r="I60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I45"/>
  <c r="F45"/>
  <c r="I44"/>
  <c r="F44"/>
  <c r="I43"/>
  <c r="F43"/>
  <c r="I42"/>
  <c r="F42"/>
  <c r="I41"/>
  <c r="F41"/>
  <c r="I40"/>
  <c r="F40"/>
  <c r="I39"/>
  <c r="F39"/>
  <c r="I38"/>
  <c r="F38"/>
  <c r="I37"/>
  <c r="F37"/>
  <c r="I36"/>
  <c r="F36"/>
  <c r="I35"/>
  <c r="F35"/>
  <c r="I34"/>
  <c r="F34"/>
  <c r="I33"/>
  <c r="F33"/>
  <c r="I32"/>
  <c r="F32"/>
  <c r="I31"/>
  <c r="F31"/>
  <c r="I30"/>
  <c r="F30"/>
  <c r="I29"/>
  <c r="F29"/>
  <c r="I28"/>
  <c r="F28"/>
  <c r="I27"/>
  <c r="F27"/>
  <c r="I26"/>
  <c r="F26"/>
  <c r="I25"/>
  <c r="F25"/>
  <c r="I24"/>
  <c r="F24"/>
  <c r="I23"/>
  <c r="F23"/>
  <c r="F22"/>
  <c r="I21"/>
  <c r="F21"/>
  <c r="I20"/>
  <c r="F20"/>
  <c r="I19"/>
  <c r="F19"/>
  <c r="I18"/>
  <c r="F18"/>
  <c r="I17"/>
  <c r="F17"/>
  <c r="I16"/>
  <c r="F16"/>
  <c r="I15"/>
  <c r="F15"/>
  <c r="I14"/>
  <c r="F14"/>
  <c r="I13"/>
  <c r="F13"/>
  <c r="I12"/>
  <c r="F12"/>
  <c r="I11"/>
  <c r="F11"/>
  <c r="I10"/>
  <c r="F10"/>
  <c r="I9"/>
  <c r="F9"/>
  <c r="I8"/>
  <c r="F8"/>
  <c r="I7"/>
  <c r="F7"/>
  <c r="I6"/>
  <c r="F6"/>
  <c r="I5"/>
  <c r="F5"/>
  <c r="I4"/>
  <c r="F4"/>
  <c r="I3"/>
  <c r="F3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B1" i="6"/>
  <c r="AB111"/>
  <c r="AB110"/>
  <c r="AB96"/>
  <c r="AB89"/>
  <c r="AB85"/>
  <c r="AB78"/>
  <c r="AB74"/>
  <c r="AE70"/>
  <c r="AB70"/>
  <c r="AB69"/>
  <c r="AB68"/>
  <c r="AB63"/>
  <c r="AB59"/>
  <c r="AE46"/>
  <c r="AB46"/>
  <c r="AE39"/>
  <c r="AB39"/>
  <c r="AE36"/>
  <c r="AD36"/>
  <c r="AA36"/>
  <c r="Z36"/>
  <c r="AB36" s="1"/>
  <c r="AB31"/>
  <c r="AD30"/>
  <c r="AD26"/>
  <c r="AB26"/>
  <c r="AE23"/>
  <c r="AB23"/>
  <c r="AE22"/>
  <c r="AB22"/>
  <c r="AE21"/>
  <c r="AB21"/>
  <c r="AE20"/>
  <c r="AB20"/>
  <c r="AD18"/>
  <c r="AB16"/>
  <c r="AE13"/>
  <c r="AB12"/>
  <c r="AE9"/>
  <c r="AB9"/>
  <c r="AD5"/>
  <c r="AB4"/>
  <c r="AD3"/>
</calcChain>
</file>

<file path=xl/sharedStrings.xml><?xml version="1.0" encoding="utf-8"?>
<sst xmlns="http://schemas.openxmlformats.org/spreadsheetml/2006/main" count="10638" uniqueCount="828">
  <si>
    <t>1) У блока "Новости" сделать эффект выделения при наведении курсором на картинку</t>
  </si>
  <si>
    <t>(https://www.unilever.com/about/)</t>
  </si>
  <si>
    <t>2) сделать табы (женщины, мужчины, юноши)  внести их в начало таблицы/перед таблицей</t>
  </si>
  <si>
    <t>3) сделать выпадающее меню</t>
  </si>
  <si>
    <t>4) турниры :</t>
  </si>
  <si>
    <t xml:space="preserve"> разделить на три столбика и оформить как на этом сайте https://www.total.com/en</t>
  </si>
  <si>
    <t>сделать для кнопок overflow</t>
  </si>
  <si>
    <t>1) искать цветовую палитру</t>
  </si>
  <si>
    <t>рассмотреть</t>
  </si>
  <si>
    <t>https://www.zurich.com/</t>
  </si>
  <si>
    <t>http://old.economy.gov.ru/minec/main</t>
  </si>
  <si>
    <t>2) структруа сайта основа:</t>
  </si>
  <si>
    <t>https://www.fide.com/</t>
  </si>
  <si>
    <t>https://ruchess.ru/</t>
  </si>
  <si>
    <t>https://wrbc2019.com/ru/</t>
  </si>
  <si>
    <t>3) доработать меню сайта</t>
  </si>
  <si>
    <t>4) сделать проекты федерации как на сайте</t>
  </si>
  <si>
    <t>5) доработать News block</t>
  </si>
  <si>
    <t>6) footer</t>
  </si>
  <si>
    <t>7) иконки соц сетей</t>
  </si>
  <si>
    <t>8) строка для поиска по сайту</t>
  </si>
  <si>
    <t>сделать прокрутку на турниры</t>
  </si>
  <si>
    <t>убрать кнопке "все новсости" "все турниры"</t>
  </si>
  <si>
    <t>сделать стрелки</t>
  </si>
  <si>
    <t>https://mfacademy.ru/</t>
  </si>
  <si>
    <t>http://silalawyers.com/</t>
  </si>
  <si>
    <t>присмотреться</t>
  </si>
  <si>
    <t>Новости</t>
  </si>
  <si>
    <t>Турниры</t>
  </si>
  <si>
    <t>Федерация</t>
  </si>
  <si>
    <t>Шахматисты</t>
  </si>
  <si>
    <t>Трансляции</t>
  </si>
  <si>
    <t>Клубы и школы</t>
  </si>
  <si>
    <t>Фотоальбом</t>
  </si>
  <si>
    <t>Последние</t>
  </si>
  <si>
    <t>Календарь</t>
  </si>
  <si>
    <t>Президиум</t>
  </si>
  <si>
    <t>Рейтинг-лист</t>
  </si>
  <si>
    <t>Краевой шахматный клуб</t>
  </si>
  <si>
    <t>Объявления</t>
  </si>
  <si>
    <t>Тренерский совет</t>
  </si>
  <si>
    <t>Сборные</t>
  </si>
  <si>
    <t>Администрация АКШК</t>
  </si>
  <si>
    <t>Пресса</t>
  </si>
  <si>
    <t>Судейско-квалификационная комиссия</t>
  </si>
  <si>
    <t>Молодежная сборная АК</t>
  </si>
  <si>
    <t>Время работы</t>
  </si>
  <si>
    <t>Детско-Юношеская Комиссия</t>
  </si>
  <si>
    <t>Чемпионы АК</t>
  </si>
  <si>
    <t>Членство</t>
  </si>
  <si>
    <t>и т.д.</t>
  </si>
  <si>
    <t>Чемпионы Барнаула</t>
  </si>
  <si>
    <t>Реквизиты</t>
  </si>
  <si>
    <t>Архив турниров</t>
  </si>
  <si>
    <t>Контакты</t>
  </si>
  <si>
    <t>Кубок АКШК</t>
  </si>
  <si>
    <t>Документы</t>
  </si>
  <si>
    <t>Секции</t>
  </si>
  <si>
    <t>История шахмат Алтая</t>
  </si>
  <si>
    <t>Академия</t>
  </si>
  <si>
    <t>Проекты Федерации</t>
  </si>
  <si>
    <t>Шахматы в школе</t>
  </si>
  <si>
    <t>Шахматы в детский дом</t>
  </si>
  <si>
    <t>Шахматы в университетах</t>
  </si>
  <si>
    <t>https://tilda.cc/tpls/page/?q=cvtemplateru&amp;startwithexample=77652</t>
  </si>
  <si>
    <t>подключить fontawesome</t>
  </si>
  <si>
    <t>1) to make the menu of my website</t>
  </si>
  <si>
    <t>2) to set file gitignore</t>
  </si>
  <si>
    <t>3) to make the block of photo</t>
  </si>
  <si>
    <t>30 of January 2020</t>
  </si>
  <si>
    <t>4) icons in the header</t>
  </si>
  <si>
    <t>find шрифт</t>
  </si>
  <si>
    <t>сделать ссылку на all card photo</t>
  </si>
  <si>
    <t>to make the design my button</t>
  </si>
  <si>
    <t>31 of January</t>
  </si>
  <si>
    <t>попробовать новую заливку сайта: блок белый, блок светло-серый - после того как будет готов вся страница</t>
  </si>
  <si>
    <t>оформить строку с контактами как http://cfochess.ru/</t>
  </si>
  <si>
    <t>убрать из блоков новости ссылку на весь блок, оставить только на фото и link "читать"</t>
  </si>
  <si>
    <t>в блоке новости поменять a design of the data</t>
  </si>
  <si>
    <t>01 of Febrary</t>
  </si>
  <si>
    <t>to make the modal window - registration</t>
  </si>
  <si>
    <t>to make the memu what a burger</t>
  </si>
  <si>
    <t>№ п/п</t>
  </si>
  <si>
    <t>Наименование учреждения</t>
  </si>
  <si>
    <t>Полный почтовый адрес учреждения</t>
  </si>
  <si>
    <t>Адреса эл.почты</t>
  </si>
  <si>
    <t>Ф.И.О. руководителя</t>
  </si>
  <si>
    <t>Контактный телефон</t>
  </si>
  <si>
    <t>Муниципальное бюджетное учреждение спортивной подготовки «Спортивная школа олимпийского резерва № 3»</t>
  </si>
  <si>
    <t>spshkul_3@mail.ru</t>
  </si>
  <si>
    <t>Шубенков Владимир</t>
  </si>
  <si>
    <t>Сергеевич, директор</t>
  </si>
  <si>
    <t>Елисеева Ирина Николаевна, зам. директора поУВР</t>
  </si>
  <si>
    <r>
      <t>тренер – Цепенникова Т.В</t>
    </r>
    <r>
      <rPr>
        <sz val="11"/>
        <color theme="1"/>
        <rFont val="Times New Roman"/>
        <family val="1"/>
        <charset val="204"/>
      </rPr>
      <t>.</t>
    </r>
  </si>
  <si>
    <t>(83852) 655-142</t>
  </si>
  <si>
    <t>Муниципальное бюджетное учреждение спортивной подготовки «Спортивная школа №2» г. Бийск</t>
  </si>
  <si>
    <t>659300, г. Бийск, ул. Владимира Ленина,149/1</t>
  </si>
  <si>
    <t>ssport2@mail.ru</t>
  </si>
  <si>
    <t>Вирбицкас Сергей Михайлович- директор</t>
  </si>
  <si>
    <t>тренер – Труфанов А.Г.</t>
  </si>
  <si>
    <t>8(3854)329422</t>
  </si>
  <si>
    <t xml:space="preserve">Муниципальное бюджетное учреждение спортивной подготовки «Спортивная школа» г.Славгорода </t>
  </si>
  <si>
    <t>658820,  г. Славгород, ул. Володарского 145/1</t>
  </si>
  <si>
    <t>sport-slaw@yandex.ru</t>
  </si>
  <si>
    <t>Иванов Владимир Анатольевич - директор</t>
  </si>
  <si>
    <t>тренер – Медведев Н.И.</t>
  </si>
  <si>
    <t xml:space="preserve">                Великанова Л.А.</t>
  </si>
  <si>
    <t xml:space="preserve">(838568)  5-23-75 </t>
  </si>
  <si>
    <t xml:space="preserve">5-23-74  - комитет по спорту </t>
  </si>
  <si>
    <t>Сельские спортивные школы системы спорта</t>
  </si>
  <si>
    <t xml:space="preserve">Муниципальное казенное образовательное учреждение дополнительного образования детей «Детско – юношеская спортивная школа» Баевского р-на </t>
  </si>
  <si>
    <t xml:space="preserve">658510, Баевский район, </t>
  </si>
  <si>
    <t xml:space="preserve">с. Баево, </t>
  </si>
  <si>
    <t>ул. Терешковой, 25 а</t>
  </si>
  <si>
    <t>baewskaiasportschkola2017@yandex.ru</t>
  </si>
  <si>
    <t>Шайдуров Владимир Васильевич- директор</t>
  </si>
  <si>
    <t>тренер – Верещагина О.В.</t>
  </si>
  <si>
    <t xml:space="preserve">(838585) 22-2-80 </t>
  </si>
  <si>
    <t xml:space="preserve">8-903-912-67-94 </t>
  </si>
  <si>
    <t>Муниципальное казенное учреждение дополнительного образования «Благовещенская детско – юношеская спортивная школа»</t>
  </si>
  <si>
    <t>658670, Благовещенский район, р.п. Благовещенка, ул. Ленина 114</t>
  </si>
  <si>
    <t>dysh-blg@mail.ru</t>
  </si>
  <si>
    <t>Моротченко Алена Андреевна- директор</t>
  </si>
  <si>
    <t>тренер - Беребердина Т.С.</t>
  </si>
  <si>
    <t>8 (385 64) 21 0 65</t>
  </si>
  <si>
    <t xml:space="preserve">Муниципальное  бюджетное учреждение дополнительного образования детско-юношеская спортивная школа «Юность» Ключевского района </t>
  </si>
  <si>
    <t>656980, Ключевский район, с. Ключи, ул. Октябрьская, 6</t>
  </si>
  <si>
    <t>kl.unost@mail.ru</t>
  </si>
  <si>
    <t>Кривошеев Сергей Николаевич – директор</t>
  </si>
  <si>
    <t>тренер - Семейкин Н.Н.</t>
  </si>
  <si>
    <t xml:space="preserve">(838578) 22-1-37, </t>
  </si>
  <si>
    <t>Муниципальное бюджетное физкультурно-спортивное учреждение «Косихинский центр физической культуры и массового спорта»</t>
  </si>
  <si>
    <t>659820, Косихинский район, с. Косиха, ул. Советская, 9А</t>
  </si>
  <si>
    <t>sport@kosiha-raion.ru</t>
  </si>
  <si>
    <t>Юдакова Юлия Михайловна - директор</t>
  </si>
  <si>
    <r>
      <t>тренер - Бурцев М.Ф</t>
    </r>
    <r>
      <rPr>
        <sz val="11"/>
        <color theme="1"/>
        <rFont val="Times New Roman"/>
        <family val="1"/>
        <charset val="204"/>
      </rPr>
      <t>.</t>
    </r>
  </si>
  <si>
    <t xml:space="preserve">(838531) 22-7-08, </t>
  </si>
  <si>
    <t xml:space="preserve">8929-395-85-87 </t>
  </si>
  <si>
    <t xml:space="preserve">Муниципальное бюджетное учреждение «Спортивная школа» Локтевского района </t>
  </si>
  <si>
    <t>658420, г. Горняк, ул. Миронова, 97 б</t>
  </si>
  <si>
    <t xml:space="preserve">dush.gornuak@mail.ru </t>
  </si>
  <si>
    <t>Артюхов Александр Иванович- директор</t>
  </si>
  <si>
    <t>планируют принимать тренера на учебный год</t>
  </si>
  <si>
    <t xml:space="preserve">(838586) 31024  </t>
  </si>
  <si>
    <t xml:space="preserve">89059875983, </t>
  </si>
  <si>
    <t>Муниципальное бюджетное учреждение дополнительного образования «ДЮСШ»</t>
  </si>
  <si>
    <t>Немецкого национального района</t>
  </si>
  <si>
    <t>658870, Немецкого национального района</t>
  </si>
  <si>
    <t>с. Гальбштадт, ул. Тракторная, 1а</t>
  </si>
  <si>
    <t>dyush.nnr@mail.ru</t>
  </si>
  <si>
    <r>
      <t>Марушкин Николай Эммануилович -  директор</t>
    </r>
    <r>
      <rPr>
        <b/>
        <sz val="11"/>
        <color theme="1"/>
        <rFont val="Times New Roman"/>
        <family val="1"/>
        <charset val="204"/>
      </rPr>
      <t xml:space="preserve"> тренер – Марушкин Н.Э.</t>
    </r>
  </si>
  <si>
    <t>(8-385-39) 22-1-11, 89609546883</t>
  </si>
  <si>
    <t>Муниципальное бюджетное учреждение спортивной подготовки «Павловская спортивная школа имени Чекушкиных»</t>
  </si>
  <si>
    <t xml:space="preserve">659000 Павловский район, с. Павловск, ул. Ленина 3 </t>
  </si>
  <si>
    <t>duschpvl@yandex.ru</t>
  </si>
  <si>
    <t>Панкратов Владимир Николаевич - директор</t>
  </si>
  <si>
    <t>тренер - Подчуфаров А.Б.</t>
  </si>
  <si>
    <t xml:space="preserve"> 8 (38581) 2-28-23</t>
  </si>
  <si>
    <t xml:space="preserve">8905-080-98-84, </t>
  </si>
  <si>
    <r>
      <t>Муниципальное казенное учреждение дополнительного образования</t>
    </r>
    <r>
      <rPr>
        <sz val="11"/>
        <color rgb="FF000000"/>
        <rFont val="Times New Roman"/>
        <family val="1"/>
        <charset val="204"/>
      </rPr>
      <t>  «Панкрушихинская ДЮСШ» Панкрушихинского района</t>
    </r>
  </si>
  <si>
    <t xml:space="preserve">658760, </t>
  </si>
  <si>
    <t>с. Панкрушиха, ул. Ленина, 25</t>
  </si>
  <si>
    <t>pankrushihinskaja-djussh@rambler.ru</t>
  </si>
  <si>
    <r>
      <t xml:space="preserve">Горин Дмитрий Сергеевич </t>
    </r>
    <r>
      <rPr>
        <sz val="11"/>
        <color theme="1"/>
        <rFont val="Times New Roman"/>
        <family val="1"/>
        <charset val="204"/>
      </rPr>
      <t>- директор</t>
    </r>
  </si>
  <si>
    <t>тренер – Типикин В.Н.</t>
  </si>
  <si>
    <t xml:space="preserve">(8-385-80), </t>
  </si>
  <si>
    <t xml:space="preserve">Муниципальное бюджетное учреждение дополнительного образования «Ребрихинская детско-юношеская спортивная школа» </t>
  </si>
  <si>
    <t xml:space="preserve">658540, Ребрихинский район, с. Ребриха, </t>
  </si>
  <si>
    <t>ул. Партизанская, 68</t>
  </si>
  <si>
    <t>rebriha.dyssh@mail.ru</t>
  </si>
  <si>
    <t>Анцупов Владимир Гелиевич - директор</t>
  </si>
  <si>
    <t>тренер – Белых А.Я.</t>
  </si>
  <si>
    <t>(838582) 21-4-88</t>
  </si>
  <si>
    <t>Муниципальное бюджетное учреждение спортивной подготовки «Спортивная школа «Олимп» Романовского района</t>
  </si>
  <si>
    <t xml:space="preserve">658640, Романовский район с. Романово, </t>
  </si>
  <si>
    <t>ул. Советская, 65</t>
  </si>
  <si>
    <t>olimp-romanovo@yandex.ru</t>
  </si>
  <si>
    <t>Сидоренко Денис Юрьевич- директор</t>
  </si>
  <si>
    <t>тренер – Зинец Т.П.</t>
  </si>
  <si>
    <t>Учреждения системы образования</t>
  </si>
  <si>
    <t>Муниципальное бюджетное учреждение ДО «Детско-юношеская спортивная школа» г. Белокуриха</t>
  </si>
  <si>
    <t xml:space="preserve">659900, г. Белокуриха </t>
  </si>
  <si>
    <t xml:space="preserve">ул. Соболева 9а, </t>
  </si>
  <si>
    <t>dyusha22bel@mail.ru</t>
  </si>
  <si>
    <t>директор Языков Виталий Вячеславович</t>
  </si>
  <si>
    <t>тренер – Фефелов В.Е.</t>
  </si>
  <si>
    <t>(838577) 21111, 203-46,</t>
  </si>
  <si>
    <t xml:space="preserve">913-095-88-66, </t>
  </si>
  <si>
    <t>Муниципальное бюджетное учреждение дополнительного образования ДЮСШ Чарышского р-на</t>
  </si>
  <si>
    <t xml:space="preserve">658170 Чарышский р-н </t>
  </si>
  <si>
    <t>с. Чарышское,</t>
  </si>
  <si>
    <t>ул. Спортивная, 8</t>
  </si>
  <si>
    <t>obraz@charysh.ru</t>
  </si>
  <si>
    <t>s.shabanov</t>
  </si>
  <si>
    <t>Шабанов Сергей Николаевич- директор</t>
  </si>
  <si>
    <t>тренер – Шабанова Лариса Леонидовна</t>
  </si>
  <si>
    <t xml:space="preserve">8(385 74) 2 26 96 </t>
  </si>
  <si>
    <t>8 961 999 77 09</t>
  </si>
  <si>
    <t>Муниципальное казенное образовательное учреждение дополнительного образования детей   «Топчихинская ДЮСШ»</t>
  </si>
  <si>
    <t>659070 Топчихинский р-н, с. Топчиха,</t>
  </si>
  <si>
    <t>пер. Мельничный, 2-А</t>
  </si>
  <si>
    <t>top-sport@bk.ru</t>
  </si>
  <si>
    <t>Колмаков Эдуард Дмитриевич - директор</t>
  </si>
  <si>
    <t>тренер – Орехов В.М.</t>
  </si>
  <si>
    <t>8(385 52) 22 3 01</t>
  </si>
  <si>
    <t>8 923 653 33 91</t>
  </si>
  <si>
    <t xml:space="preserve">Центры </t>
  </si>
  <si>
    <t>ДЮСШ структурное подразделение МБУ ДО «Детско-юношеский центр» Советского района</t>
  </si>
  <si>
    <t xml:space="preserve">659540 Советский р-н          с. Советское, </t>
  </si>
  <si>
    <t>ул. Ленина 76</t>
  </si>
  <si>
    <t>sovetskayadush@mail.ru</t>
  </si>
  <si>
    <t>Шнейдер Максим Владимирович - директор</t>
  </si>
  <si>
    <t>тренер – Борисов А.Н.</t>
  </si>
  <si>
    <t>8(385 98) 22 5 78</t>
  </si>
  <si>
    <t>8 906 965 34 96</t>
  </si>
  <si>
    <t>Муниципальное бюджетное учреждение дополнительного образования «Ельцовский ЦСТ»» Ельцовского района</t>
  </si>
  <si>
    <t>659470 Ельцовский район, с. Ельцовка.</t>
  </si>
  <si>
    <t>elc-rcdo@yandex.ru</t>
  </si>
  <si>
    <t>Резнина Ирина Николаевна</t>
  </si>
  <si>
    <t>8 923 727 06 68</t>
  </si>
  <si>
    <t>656053 г. Барнаул, ул. Воронежская, 2</t>
  </si>
  <si>
    <t>ГДЕ МОЖНО ЗАНИМАТЬСЯ ШАХМАТАМИ</t>
  </si>
  <si>
    <t>Город, село</t>
  </si>
  <si>
    <t>Название учреждения</t>
  </si>
  <si>
    <t>Адрес, телефон</t>
  </si>
  <si>
    <t>Тренеры</t>
  </si>
  <si>
    <t>Барнаул</t>
  </si>
  <si>
    <t>Ул.Гоголя, 42</t>
  </si>
  <si>
    <t>56-75-41</t>
  </si>
  <si>
    <t>Суторихин В.Г.</t>
  </si>
  <si>
    <t>Уманский С.А.</t>
  </si>
  <si>
    <t>СДЮШОР №3</t>
  </si>
  <si>
    <t xml:space="preserve">Пер.Некрасова, 43, </t>
  </si>
  <si>
    <t>65-51-42</t>
  </si>
  <si>
    <t>Цепенникова Т.В.</t>
  </si>
  <si>
    <t>Зыкина Н.Н.</t>
  </si>
  <si>
    <t>Пышнограй Д.И.</t>
  </si>
  <si>
    <t>ДЮСШ №5</t>
  </si>
  <si>
    <t xml:space="preserve">Ул.Тимуровская, 23, </t>
  </si>
  <si>
    <t>33-60-83</t>
  </si>
  <si>
    <t>Шаталова И.Д.</t>
  </si>
  <si>
    <t>Кухарев А.И.</t>
  </si>
  <si>
    <t>Пузиков Н.В.</t>
  </si>
  <si>
    <t>Эртель В.А.</t>
  </si>
  <si>
    <t>ДЮСШ №9</t>
  </si>
  <si>
    <t>Ул.Гущина, 177,</t>
  </si>
  <si>
    <t xml:space="preserve"> 55-99-60</t>
  </si>
  <si>
    <t>Якимов С.Ю.</t>
  </si>
  <si>
    <t>Белых В.П.</t>
  </si>
  <si>
    <t>ЦРТДиЮ Индустриального р-на</t>
  </si>
  <si>
    <t>Ул.Благовещенская, 4а, 31-39-38</t>
  </si>
  <si>
    <t>Унжакова И.И.</t>
  </si>
  <si>
    <t>ДЮЦ Железнодорожного</t>
  </si>
  <si>
    <t xml:space="preserve"> р-на</t>
  </si>
  <si>
    <t>Ул.Молодежная, 51,</t>
  </si>
  <si>
    <t>24-39-42</t>
  </si>
  <si>
    <t>Логачев А.В.</t>
  </si>
  <si>
    <t>ЦРТДиЮ Ленинского</t>
  </si>
  <si>
    <t>Ул.В.М.Шукшина, 29,</t>
  </si>
  <si>
    <t>43-37-23, 52-42-45</t>
  </si>
  <si>
    <t>Гаркуша Н.А.</t>
  </si>
  <si>
    <t>Гимназия №123</t>
  </si>
  <si>
    <t>Ул.Ленинградская, 18, 52-48-17</t>
  </si>
  <si>
    <t>Долгов А.А.</t>
  </si>
  <si>
    <t>Университеты</t>
  </si>
  <si>
    <t>АлтГМУ</t>
  </si>
  <si>
    <t>Ул. Некрасова 65</t>
  </si>
  <si>
    <t>АлтГУ</t>
  </si>
  <si>
    <t>Пр. Социалистический 68, ауд. 4ф</t>
  </si>
  <si>
    <t>Пастухов Н.Я.</t>
  </si>
  <si>
    <t>АлтГАУ</t>
  </si>
  <si>
    <t>Пр. Красноармейский 98, ауд.314</t>
  </si>
  <si>
    <t>АлтГТУ</t>
  </si>
  <si>
    <t xml:space="preserve">Спортивный манеж, кабинет №8 </t>
  </si>
  <si>
    <t>Хабаров С.Н.</t>
  </si>
  <si>
    <t>АлтГПА</t>
  </si>
  <si>
    <t>Пр. Социалистический 126, ауд. 424</t>
  </si>
  <si>
    <t>Белокуриха</t>
  </si>
  <si>
    <t>ДЮСШ</t>
  </si>
  <si>
    <t>Ул.Соболева, 9/1</t>
  </si>
  <si>
    <t>Горбейко Э.С.</t>
  </si>
  <si>
    <t>Бийск</t>
  </si>
  <si>
    <t>ДЮСШ №2</t>
  </si>
  <si>
    <t>Ул.Коммунаров, 19-51</t>
  </si>
  <si>
    <t>32-94-22</t>
  </si>
  <si>
    <t>Труфанов А.Г.</t>
  </si>
  <si>
    <t>Дегтерев А.Н.</t>
  </si>
  <si>
    <t>Бийский лицей</t>
  </si>
  <si>
    <t>Ул.Кутузова, 9/3</t>
  </si>
  <si>
    <t>31-26-52</t>
  </si>
  <si>
    <t>Васильев Г.В.</t>
  </si>
  <si>
    <t>Новоалтайск</t>
  </si>
  <si>
    <t>Стадион 50-летия Алтая</t>
  </si>
  <si>
    <t>Николаев В.М.</t>
  </si>
  <si>
    <t>Рубцовск</t>
  </si>
  <si>
    <t>Лицей «Эрудит»</t>
  </si>
  <si>
    <t>Ул.Осипенко, 182в</t>
  </si>
  <si>
    <t>Сухоруков А.А.</t>
  </si>
  <si>
    <t>ДЮЦ</t>
  </si>
  <si>
    <t>Ул.Советская, 8</t>
  </si>
  <si>
    <t>Агафонов А.А.</t>
  </si>
  <si>
    <t>Славгород</t>
  </si>
  <si>
    <t>Ул.К.Маркса, 160, 89293983367</t>
  </si>
  <si>
    <t>Великанова Л.А.</t>
  </si>
  <si>
    <t>Благовещенка</t>
  </si>
  <si>
    <t>Дворец спорта для детей и юношества</t>
  </si>
  <si>
    <t>ул.Ленина, 114</t>
  </si>
  <si>
    <t>21-0-65</t>
  </si>
  <si>
    <t>Городецкий В.Г.</t>
  </si>
  <si>
    <t>Завьялово</t>
  </si>
  <si>
    <t>ЦДТ</t>
  </si>
  <si>
    <t>Ул.Центральная, 7</t>
  </si>
  <si>
    <t>Исаков В.Б.</t>
  </si>
  <si>
    <t>Ключи</t>
  </si>
  <si>
    <t>ДЮКФП «Юность»</t>
  </si>
  <si>
    <t>Ул.Октябрьская,6</t>
  </si>
  <si>
    <t>Семейкин Н.Н.</t>
  </si>
  <si>
    <t>Косиха</t>
  </si>
  <si>
    <t>Ул.Советская, 9а</t>
  </si>
  <si>
    <t>Бурцев М.Ф.</t>
  </si>
  <si>
    <t>Локтьевский р-он</t>
  </si>
  <si>
    <t>Горняк</t>
  </si>
  <si>
    <t>Ул.Миронова, 97б</t>
  </si>
  <si>
    <t>Фомин А.В.</t>
  </si>
  <si>
    <t>Павловск</t>
  </si>
  <si>
    <t>Ул.Ленина, 3</t>
  </si>
  <si>
    <t>2-28-23</t>
  </si>
  <si>
    <t>Подчуфаров А.Б.</t>
  </si>
  <si>
    <t>Петропавловское</t>
  </si>
  <si>
    <t>Черненко Т.Н.</t>
  </si>
  <si>
    <t>с. Ребриха</t>
  </si>
  <si>
    <t>Ул.Ленина, 134</t>
  </si>
  <si>
    <t>Щербаков В.Г.</t>
  </si>
  <si>
    <t>ст. Ребриха</t>
  </si>
  <si>
    <t xml:space="preserve">ДЮСШ </t>
  </si>
  <si>
    <t>(Средняя школа)</t>
  </si>
  <si>
    <t>Ул.Д.Бедного, 7</t>
  </si>
  <si>
    <t>21-488</t>
  </si>
  <si>
    <t>Белых А.Я.</t>
  </si>
  <si>
    <t>Романово</t>
  </si>
  <si>
    <t>Ул.Мира, 23</t>
  </si>
  <si>
    <t>2-22-57</t>
  </si>
  <si>
    <t>Зимец Т.П.</t>
  </si>
  <si>
    <t>Целинное</t>
  </si>
  <si>
    <t>ДЮКФП</t>
  </si>
  <si>
    <t>Ул.Советская, 25</t>
  </si>
  <si>
    <t>Зайцев С.А.</t>
  </si>
  <si>
    <t>№</t>
  </si>
  <si>
    <t>Наименование мероприятия</t>
  </si>
  <si>
    <t xml:space="preserve">Участники </t>
  </si>
  <si>
    <t>Комиссия</t>
  </si>
  <si>
    <t>Место проведения</t>
  </si>
  <si>
    <t>Ответственный</t>
  </si>
  <si>
    <t>Количество участников</t>
  </si>
  <si>
    <t>командировочные расходы на 1 участника</t>
  </si>
  <si>
    <t>Сумма</t>
  </si>
  <si>
    <t>Призовые</t>
  </si>
  <si>
    <t>Судьи</t>
  </si>
  <si>
    <t>Командировочные</t>
  </si>
  <si>
    <t>Краевое соревнование по шахматам</t>
  </si>
  <si>
    <t>Все желающие</t>
  </si>
  <si>
    <t>Все</t>
  </si>
  <si>
    <t>КГБУ КШК</t>
  </si>
  <si>
    <t>Герасимюк М.В.</t>
  </si>
  <si>
    <t>Первенство г. Барнаула среди дошкольников и школьников по возрастам</t>
  </si>
  <si>
    <t>дети г. Барнаула</t>
  </si>
  <si>
    <t>ДЮК</t>
  </si>
  <si>
    <t>СДЮШОР №3, Барнаул</t>
  </si>
  <si>
    <t>Косачев Д.Ю.</t>
  </si>
  <si>
    <t>Сессия ГЦ "Сибирский"</t>
  </si>
  <si>
    <t>ДЮК, тренерский совет</t>
  </si>
  <si>
    <t>по назначению</t>
  </si>
  <si>
    <t>НФШ</t>
  </si>
  <si>
    <t xml:space="preserve">Рапид Гран-При </t>
  </si>
  <si>
    <t>Кольцово, НСО</t>
  </si>
  <si>
    <t xml:space="preserve">Кубок Алтайского края по блицу 1-й этап </t>
  </si>
  <si>
    <t>члены клуба</t>
  </si>
  <si>
    <t>Науаева М.П.</t>
  </si>
  <si>
    <t>Первенство СФО среди ветеранов</t>
  </si>
  <si>
    <t>Ветераны</t>
  </si>
  <si>
    <t>Прокопьевск</t>
  </si>
  <si>
    <t>КФШ</t>
  </si>
  <si>
    <t>Кубок Алтайского края по быстрым шахматам - 1-й этап</t>
  </si>
  <si>
    <t>Открытый Кубок г. Барнаула среди молодежи 1-й этап</t>
  </si>
  <si>
    <t>шахматисты в возрасте до 35 лет</t>
  </si>
  <si>
    <t>Международный шахматный фестиваль "Moscow open"</t>
  </si>
  <si>
    <t>Москва</t>
  </si>
  <si>
    <t>ФШАК</t>
  </si>
  <si>
    <t>Краевые командные соревнования по шахматам среди малых городов и сельских поселений </t>
  </si>
  <si>
    <t>Сельские</t>
  </si>
  <si>
    <t>ФШАК
КШК</t>
  </si>
  <si>
    <t xml:space="preserve">Кубок Алтайского края по блицу 2-й этап </t>
  </si>
  <si>
    <t>Кубок Алтайского края по быстрым шахматам - 2-й этап</t>
  </si>
  <si>
    <t>Международный шахматный турнир "Аэрофлот оупен"</t>
  </si>
  <si>
    <t>Зимняя Олимпиада сельских спортсменов Алтая. Шахматы. Финал </t>
  </si>
  <si>
    <t>с. Алтайское</t>
  </si>
  <si>
    <t>Борисов А.Н.</t>
  </si>
  <si>
    <t>Первенство Алтайского края до 9 лет</t>
  </si>
  <si>
    <t>шахматисты Алтайского края, не старше 2011 г.р.</t>
  </si>
  <si>
    <t>Этап Рапид Гран-При России - Мемориал Р.М. Кура</t>
  </si>
  <si>
    <t>Поломошнов А.А.</t>
  </si>
  <si>
    <t>Первенство России по шахматам (спорт глухих)</t>
  </si>
  <si>
    <t>шахматисты с нарушением слуха</t>
  </si>
  <si>
    <t>ОВЗ</t>
  </si>
  <si>
    <t>Зеленоград, Московская область</t>
  </si>
  <si>
    <t>Всероссийские соревнования среди команд детских домов и школ-интернатов для детей-сирот</t>
  </si>
  <si>
    <t>Сочи</t>
  </si>
  <si>
    <t>Чемпионат СФО по блицу среди мужчин и женщин</t>
  </si>
  <si>
    <t>Омск</t>
  </si>
  <si>
    <t>ОФШ</t>
  </si>
  <si>
    <t>Чемпионат СФО по быстрым шахматам среди мужчин и женщин</t>
  </si>
  <si>
    <t>Чемпионат Алтайского края седи женщин по быстрым шахматам - посвященный Международному женскому дню 8 марта</t>
  </si>
  <si>
    <t>Женские</t>
  </si>
  <si>
    <t>Аржанникова Н.С.</t>
  </si>
  <si>
    <t>Личное первенство Алтайского края среди студентов по классическим шахматам</t>
  </si>
  <si>
    <t>Студенты</t>
  </si>
  <si>
    <t>Чемпионат СФО по шахматам среди мужчин и женщин</t>
  </si>
  <si>
    <t>Новосибирск</t>
  </si>
  <si>
    <t>Первенство России по шахматам (спорт слепых)</t>
  </si>
  <si>
    <t>Кострома</t>
  </si>
  <si>
    <t xml:space="preserve">Кубок Алтайского края по блицу 3-й этап </t>
  </si>
  <si>
    <t>КШК</t>
  </si>
  <si>
    <t>Кубок Алтайского края по быстрым шахматам - 3-й этап</t>
  </si>
  <si>
    <t>Первенство СФО до 9 лет</t>
  </si>
  <si>
    <t>шахматисты СФО, не старше 2011 г.р.</t>
  </si>
  <si>
    <t>Гроссшкола</t>
  </si>
  <si>
    <t>школьники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</si>
  <si>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</si>
  <si>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</si>
  <si>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</si>
  <si>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среди студентов по быстрым шахматам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</si>
  <si>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</si>
  <si>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</si>
  <si>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</si>
  <si>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Краевой финал турнира "Белая ладья"</t>
  </si>
  <si>
    <t>команды школ-победителей муниципальных отборочных турниров</t>
  </si>
  <si>
    <t xml:space="preserve">Первенство Алтайского края среди сельских спортсменов  </t>
  </si>
  <si>
    <t xml:space="preserve">сельские шахматисты Алтайского края </t>
  </si>
  <si>
    <t>Первенство Алтайского края среди ДЮСШ</t>
  </si>
  <si>
    <t>ДЮК, сельские</t>
  </si>
  <si>
    <t>Косачев Д.Ю., Борисов А.Н.</t>
  </si>
  <si>
    <t>Первенство России среди юношей и девушек</t>
  </si>
  <si>
    <t>Полуфинал краевых соревнований среди сельских спортсменов по блицу, группа А</t>
  </si>
  <si>
    <t>сельские шахматисты</t>
  </si>
  <si>
    <t>Ребриха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</si>
  <si>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</si>
  <si>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</si>
  <si>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</si>
  <si>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</si>
  <si>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Открытое первенство г. Барнаула среди дошкольников и 1-классников</t>
  </si>
  <si>
    <t>Краевые соревнования среди юных сельских шахматистов</t>
  </si>
  <si>
    <t>Овечкино</t>
  </si>
  <si>
    <t xml:space="preserve">Командное Первенство России  </t>
  </si>
  <si>
    <t>взрослые и школьники</t>
  </si>
  <si>
    <t>«Кубок Алтая» – детский этап Кубка России</t>
  </si>
  <si>
    <t>Кубок Победы</t>
  </si>
  <si>
    <t>пенсионеры-шахматисты</t>
  </si>
  <si>
    <t>Гришин Д.А.</t>
  </si>
  <si>
    <t>Первенство г.Барнаула среди учащихся начальных классов</t>
  </si>
  <si>
    <t>Чемпионат г. Барнаула</t>
  </si>
  <si>
    <t>ФШАК, СДЮСШОР №3</t>
  </si>
  <si>
    <t>Чемпионат г. Барнаула по блицу</t>
  </si>
  <si>
    <t>жители г. Барнаула</t>
  </si>
  <si>
    <t>Финал Первенства Алтайского края среди сельских спортсменов по блицу</t>
  </si>
  <si>
    <t xml:space="preserve">сельские спортсмены
прошедшие отбор в финал по итогам полуфиналов 
</t>
  </si>
  <si>
    <t>Финал Первенства Алтайского края среди сельских спортсменов по быстрым шахматам</t>
  </si>
  <si>
    <t xml:space="preserve">Кубок Алтайского края по блицу 4-й этап </t>
  </si>
  <si>
    <t>Чемпионат г. Барнаула по быстрым шахматам</t>
  </si>
  <si>
    <t>Личное первенство г.Барнаула среди учащихся 1 классов</t>
  </si>
  <si>
    <t>Кубок Алтайского края по быстрым шахматам - 4-й этап</t>
  </si>
  <si>
    <t>Турнир юных талантов памяти Кожевниковой</t>
  </si>
  <si>
    <t>Турнир, посвященный дню защиты детей</t>
  </si>
  <si>
    <t>дошкольники и школьники младших классов</t>
  </si>
  <si>
    <t>Парк Центрального района</t>
  </si>
  <si>
    <t>Шахматная смена детского лагеря</t>
  </si>
  <si>
    <t>Всероссийский турнир "Белая ладья" финал</t>
  </si>
  <si>
    <t>Турнир, посвященный дню России</t>
  </si>
  <si>
    <t xml:space="preserve">«Мемориал В.А. Дохленко» - этап детского Кубка России </t>
  </si>
  <si>
    <t>юные шахматисты</t>
  </si>
  <si>
    <t>Томск</t>
  </si>
  <si>
    <t>ТФШ</t>
  </si>
  <si>
    <t>Краевые соревнования среди сельской молодёжи</t>
  </si>
  <si>
    <t xml:space="preserve">Кубок Алтайского края по блицу 5-й этап </t>
  </si>
  <si>
    <t>Кубок Алтайского края по быстрым шахматам - 5-й этап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</si>
  <si>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</si>
  <si>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</si>
  <si>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</si>
  <si>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Чемпионат России по шахматам среди мужчин и женщин, Высшая лига</t>
  </si>
  <si>
    <t>лучшие спортсмены края</t>
  </si>
  <si>
    <t>Всероссийские соревнования по шахматам среди учащихся, проживающих в сельской местности</t>
  </si>
  <si>
    <t>Самарская область</t>
  </si>
  <si>
    <t>Детский этап Кубка России «Маэстро-2020»</t>
  </si>
  <si>
    <t>Бердск</t>
  </si>
  <si>
    <t>Новосибирская ФШ</t>
  </si>
  <si>
    <t>Чемпионат России среди лиц с ПОДА</t>
  </si>
  <si>
    <t xml:space="preserve">Кубок Алтайского края по блицу 6-й этап </t>
  </si>
  <si>
    <t>Краевые командные соревнования посвященные Международному дню шахмат среди сельских шахматистов</t>
  </si>
  <si>
    <t>сельские спортсмены команда 3+1 (первый день детские команды / второй день смешаный состав)</t>
  </si>
  <si>
    <t>Мемориал Русакова - Этап Детского Кубка России</t>
  </si>
  <si>
    <t>Кубок Алтайского края по быстрым шахматам - 6-й этап</t>
  </si>
  <si>
    <t>Турнир по быстрым шахматам среди школьников 3-х возрастов, посвященный Дню шахмат</t>
  </si>
  <si>
    <t>Мемориал Василия Лепихина</t>
  </si>
  <si>
    <t>Мемориал М. Чигорина</t>
  </si>
  <si>
    <t>Санкт-Петербург</t>
  </si>
  <si>
    <t>Первенство России по шахматам среди лиц с ПОДА</t>
  </si>
  <si>
    <t>Этап детского Кубка России-«Петровская ладья. Лето»</t>
  </si>
  <si>
    <t>школьники до 9,11,13,15 лет</t>
  </si>
  <si>
    <t>Турнир по быстрым шахматам, посвященный 59 годовщине полета Г.С. Титова в космос</t>
  </si>
  <si>
    <t>учащиеся начальных классов и дошкольники</t>
  </si>
  <si>
    <t>Полковниково</t>
  </si>
  <si>
    <t xml:space="preserve">Кубок Алтайского края по блицу 7-й этап </t>
  </si>
  <si>
    <t>Кубок Алтайского края по быстрым шахматам - 7-й этап</t>
  </si>
  <si>
    <t>Открытое Первенство Волчихинского района по быстрым шахматам, посвященное дню физкультурника</t>
  </si>
  <si>
    <t>Волчиха</t>
  </si>
  <si>
    <t>Чемпионат РССС по шахматам</t>
  </si>
  <si>
    <t>Новокузнецк</t>
  </si>
  <si>
    <t>Первенство Алтайского края среди юношей и девушек по возрастам</t>
  </si>
  <si>
    <t>Этап детского Кубка России-«Анапа 2020»</t>
  </si>
  <si>
    <t>Анапа</t>
  </si>
  <si>
    <t>Командное первенство России среди малых городов и сельских поселений </t>
  </si>
  <si>
    <t>По назначению</t>
  </si>
  <si>
    <t>Открытый кубок г. Барнаула среди молодежи 2 этап</t>
  </si>
  <si>
    <t>Школьники и взрослые до 35 лет</t>
  </si>
  <si>
    <t xml:space="preserve">Кубок Алтайского края по блицу 8-й этап </t>
  </si>
  <si>
    <t>Кубок Алтайского края по быстрым шахматам - 8-й этап</t>
  </si>
  <si>
    <t>Спартакиада среди ДЮСШ</t>
  </si>
  <si>
    <t>Турнир поколений по быстрым шахматам</t>
  </si>
  <si>
    <t>Турнир памяти  Акимочкина Андрея Владимировича быстрые шахматы</t>
  </si>
  <si>
    <t>Мемориал В. Корчного</t>
  </si>
  <si>
    <t>Этап Рапид Гран-При России по быстрым шахматам "Енисейские мосты"</t>
  </si>
  <si>
    <t>Красноярск</t>
  </si>
  <si>
    <t>КрФШ</t>
  </si>
  <si>
    <t>Краевое соревнование по быстрым шахматам среди школьников «Кубок Наукограда»</t>
  </si>
  <si>
    <t>школьники Алтайского края</t>
  </si>
  <si>
    <t>Филиал КГБУ "КШК" в Бийске</t>
  </si>
  <si>
    <t>уточняется</t>
  </si>
  <si>
    <t>Этап Рапид Гран-При России - Мемориал Найдова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</si>
  <si>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</si>
  <si>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</si>
  <si>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</si>
  <si>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Турнир национальных диаспор Алтайского края "Дружба народов"</t>
  </si>
  <si>
    <t>национальные диаспоры Алтайского края</t>
  </si>
  <si>
    <t>Первенство Алтайского края по шахматам среди трудовых коллективов</t>
  </si>
  <si>
    <t>Мамонтово</t>
  </si>
  <si>
    <t>Открытый кубок г. Барнаула среди молодежи 3 этап</t>
  </si>
  <si>
    <t>ветераны</t>
  </si>
  <si>
    <t xml:space="preserve">Кубок Алтайского края по блицу 9-й этап </t>
  </si>
  <si>
    <t>Кубок Алтайского края по быстрым шахматам - 9-й этап</t>
  </si>
  <si>
    <t>Первенство СФО по возрастам до 11, до 13 лет по быстрым шахматам</t>
  </si>
  <si>
    <t>Первенство СФО по возрастам до 15, 17, 19 лет по быстрым шахматам</t>
  </si>
  <si>
    <t>ФШАК, КШК</t>
  </si>
  <si>
    <t>Первенство СФО по возрастам до 11, до 13 лет</t>
  </si>
  <si>
    <t>Первенство СФО по возрастам до 15, 17, 19 лет</t>
  </si>
  <si>
    <t>Краевой лично-командный турнир младших школьников</t>
  </si>
  <si>
    <t>команды общеобразовательных учреждений 1-4 классы</t>
  </si>
  <si>
    <t>Районные первенства "Белая ладья" в г. Барнауле</t>
  </si>
  <si>
    <t>сборные команды школ Барнаула по районам</t>
  </si>
  <si>
    <t>Районы г. Барнаула</t>
  </si>
  <si>
    <t>Чемпионат Алтайского края среди мужчин и женщин</t>
  </si>
  <si>
    <t>Личное первенство г. Барнаула среди студентов по шахматам</t>
  </si>
  <si>
    <t>Турнир памяти Никонова Ю.П. (блиц)  среди ветеранов</t>
  </si>
  <si>
    <t>Первенство СФО по возрастам до 11, до 13 лет, блиц</t>
  </si>
  <si>
    <t>Первенство СФО по возрастам до 15, 17, 19 лет, блиц</t>
  </si>
  <si>
    <t>Личное первенство г. Барнаула среди студентов по быстрым шахматам</t>
  </si>
  <si>
    <t>Открытый командный чемпионат СФО</t>
  </si>
  <si>
    <t>сборные субъектов СФО, Павлодарской обл., Хэйлунцзян (КНР), Баян-Ульгийский аймак</t>
  </si>
  <si>
    <t xml:space="preserve">Кубок Алтайского края по блицу 10-й этап </t>
  </si>
  <si>
    <t>Кубок Алтайского края по быстрым шахматам - 10-й этап</t>
  </si>
  <si>
    <t xml:space="preserve">Командное первенство Алтайского края среди ВУЗов в зачет краевой Универсиады </t>
  </si>
  <si>
    <t>Чемпионат Алтайского края по блицу</t>
  </si>
  <si>
    <t>шахматисты Алтайского края</t>
  </si>
  <si>
    <t>Командный чемпионат Алтайского края</t>
  </si>
  <si>
    <t>команды городов и сельских поселений</t>
  </si>
  <si>
    <t>Первенство Алтайского края среди ветеранов</t>
  </si>
  <si>
    <t>ветераны-шахматисты</t>
  </si>
  <si>
    <t>Муниципальные этапы "Белая ладья"</t>
  </si>
  <si>
    <t>сборные комады школ по районам</t>
  </si>
  <si>
    <t>Районы Алтайского края</t>
  </si>
  <si>
    <t>Комитеты по спорту и комитеты по образованию Алтайского края</t>
  </si>
  <si>
    <t>Финал городского турнира "Белая Ладья"</t>
  </si>
  <si>
    <t>Открытый кубок г. Барнаула среди молодежи 4 этап</t>
  </si>
  <si>
    <t>Зональные турниры Зимней Олимпиады сельских спортсменов Алтая. Шахматы</t>
  </si>
  <si>
    <t>Первенство Алтайского края среди ветеранов по быстрым шахматам</t>
  </si>
  <si>
    <t>Первенство Алтайского края среди ветеранов по блицу</t>
  </si>
  <si>
    <t>Первенство Алтайского края среди детских домов</t>
  </si>
  <si>
    <t>Министерство образования Алтайского края,
Косачев Д.Ю.</t>
  </si>
  <si>
    <t>Кубок Алтайского края по блицу Финал</t>
  </si>
  <si>
    <t>участники, попавшие в финал</t>
  </si>
  <si>
    <t>Полуфинал г. Барнаула 2020 - Мемориал Черноколова</t>
  </si>
  <si>
    <t>Кубок Алтайского края по быстрым шахматам Финал</t>
  </si>
  <si>
    <t>Новогодний блиц-турнир</t>
  </si>
  <si>
    <t xml:space="preserve"> Дата начала</t>
  </si>
  <si>
    <t>&lt;th&gt;</t>
  </si>
  <si>
    <t>&lt;/th&gt;</t>
  </si>
  <si>
    <t>&lt;/tr&gt;</t>
  </si>
  <si>
    <r>
      <t xml:space="preserve">Кубок "Ветеран" по быстрым шахматам и блицу </t>
    </r>
    <r>
      <rPr>
        <b/>
        <sz val="14"/>
        <rFont val="Calibri"/>
        <family val="2"/>
        <charset val="204"/>
        <scheme val="minor"/>
      </rPr>
      <t>(личный)</t>
    </r>
    <r>
      <rPr>
        <sz val="14"/>
        <color theme="1"/>
        <rFont val="Calibri"/>
        <family val="2"/>
        <charset val="204"/>
        <scheme val="minor"/>
      </rPr>
      <t xml:space="preserve"> среди ветеранов</t>
    </r>
  </si>
  <si>
    <t>&lt;/td&gt;</t>
  </si>
  <si>
    <t>&lt;tr class="calendar__tourn"&gt;</t>
  </si>
  <si>
    <t>&lt;td  class="calendar__number"&gt;</t>
  </si>
  <si>
    <t>&lt;td  class="calendar__name"&gt;</t>
  </si>
  <si>
    <t>&lt;td  class="calendar__member"&gt;</t>
  </si>
  <si>
    <t>&lt;td  class="calendar__date"&gt;</t>
  </si>
  <si>
    <t>&lt;td  class="calendar__commission"&gt;</t>
  </si>
  <si>
    <t>&lt;td class="calendar__place"&gt;</t>
  </si>
  <si>
    <t>&lt;td class="calendar__responsible"&gt;</t>
  </si>
  <si>
    <t>Дата окончания</t>
  </si>
  <si>
    <t>&lt;th  class="calendar__number"&gt;</t>
  </si>
  <si>
    <t>&lt;th class="calendar__name"&gt;</t>
  </si>
  <si>
    <t>&lt;th class="calendar__member"&gt;</t>
  </si>
  <si>
    <t>&lt;th class="calendar__date"&gt;</t>
  </si>
  <si>
    <t>&lt;th class="calendar__commission"&gt;</t>
  </si>
  <si>
    <t>&lt;th  class="calendar__place"&gt;</t>
  </si>
  <si>
    <t>&lt;th class="calendar__responsible"&gt;</t>
  </si>
  <si>
    <t>сильнейшие спортсмены Алтайского края</t>
  </si>
  <si>
    <t>все желающие</t>
  </si>
  <si>
    <t>команда-победитель первенства Алтайского края</t>
  </si>
  <si>
    <t>шахматисты с нарушением зрения</t>
  </si>
  <si>
    <t>студенты Алтайского края</t>
  </si>
  <si>
    <t>школьники и учащиеся сельской местности 2003 года им оложе</t>
  </si>
  <si>
    <t>спортсмены соответствующей квалификации</t>
  </si>
  <si>
    <t>учащиеся начальных классов, прошедшие отбор по рейтингу</t>
  </si>
  <si>
    <t>команды по возрастам</t>
  </si>
  <si>
    <t>взрослые и дети с раздельным зачетом</t>
  </si>
  <si>
    <t>трудовые коллективы Алтайского края</t>
  </si>
  <si>
    <t>школьники и учащиеся сельской местности 2006 года и моложе</t>
  </si>
  <si>
    <t>школьники и взрослые до 35 лет</t>
  </si>
  <si>
    <t>дети 2013 года и младше</t>
  </si>
  <si>
    <t>http://rusfencing.ru/structure.php</t>
  </si>
  <si>
    <t>https://rfs.ru/nationals</t>
  </si>
  <si>
    <t>на новости можно устанавливать разделы</t>
  </si>
  <si>
    <t>Турниры Алтайского края</t>
  </si>
  <si>
    <t>сборная</t>
  </si>
  <si>
    <t>Код ФИДЕ</t>
  </si>
  <si>
    <t>ФИО</t>
  </si>
  <si>
    <t>г.р.</t>
  </si>
  <si>
    <t>город/район</t>
  </si>
  <si>
    <t>↓↑</t>
  </si>
  <si>
    <t>ФИДЕ клс</t>
  </si>
  <si>
    <t>ФИДЕ быс</t>
  </si>
  <si>
    <t>ФИДЕ блиц</t>
  </si>
  <si>
    <t>Сорокин Алексей Владиславович</t>
  </si>
  <si>
    <t/>
  </si>
  <si>
    <t>Кардашевский Евгений Евгеньевич</t>
  </si>
  <si>
    <t>Хатоев Эдуард Ромеович</t>
  </si>
  <si>
    <t>Гайдым Михаил Вячеславович</t>
  </si>
  <si>
    <t>Хабаров Сергей</t>
  </si>
  <si>
    <t>Бояринцев Виталий Олегович</t>
  </si>
  <si>
    <t>Дегтерев Александр</t>
  </si>
  <si>
    <t>Бочкарев Алексей Андреевич</t>
  </si>
  <si>
    <t>Дибров Илья Викторович</t>
  </si>
  <si>
    <t>Слизунков Дмитрий Валерьевич</t>
  </si>
  <si>
    <t>Чернов Александр Александрович</t>
  </si>
  <si>
    <t>Чанцев Шалико</t>
  </si>
  <si>
    <t>Сусляков Андрей Борисович</t>
  </si>
  <si>
    <t>Хан Александр Валентинович</t>
  </si>
  <si>
    <t>Марчук Максим</t>
  </si>
  <si>
    <t>Ефанов Михаил Дмитриевич</t>
  </si>
  <si>
    <t>Шершнёв Анатолий Викторович</t>
  </si>
  <si>
    <t>Реутов Антон Сергеевич</t>
  </si>
  <si>
    <t>Гайдым Арсений Михайлович</t>
  </si>
  <si>
    <t>Уманский Сергей Алексеевич</t>
  </si>
  <si>
    <t>Ворошилов Александр</t>
  </si>
  <si>
    <t>Зыкина Надежда Николаевна</t>
  </si>
  <si>
    <t>Головачук Ярослав</t>
  </si>
  <si>
    <t>Гемпель Виктор Константинович</t>
  </si>
  <si>
    <t>Труфанов Александр Григорьевич</t>
  </si>
  <si>
    <t>Аборнев Сергей Михайлович</t>
  </si>
  <si>
    <t>Крючков Александр Витальевич</t>
  </si>
  <si>
    <t>Арбузов Андрей</t>
  </si>
  <si>
    <t>Бурцев Владимир Николаевич</t>
  </si>
  <si>
    <t>Топчиха</t>
  </si>
  <si>
    <t>Батуев Антон</t>
  </si>
  <si>
    <t>Водясов Евгений Иванович</t>
  </si>
  <si>
    <t>Марчук Ростислав Максимович</t>
  </si>
  <si>
    <t>Хатников Александр Сергеевич</t>
  </si>
  <si>
    <t>Куприн Владимир Анатольевич</t>
  </si>
  <si>
    <t>Корсаков Дмитрий Николаевич</t>
  </si>
  <si>
    <t>Шлаузер Андрей Иванович</t>
  </si>
  <si>
    <t>Пастухов Николай Яковлевич</t>
  </si>
  <si>
    <t>Долгов Александр Александрович</t>
  </si>
  <si>
    <t>Васильев Геннадий Владимирович</t>
  </si>
  <si>
    <t>Агафонов Алексей Александрович</t>
  </si>
  <si>
    <t>Лоскутова Виктория Евгеньевна</t>
  </si>
  <si>
    <t>Жучек Дмитрий Николаевич</t>
  </si>
  <si>
    <t>Колодин Вячеслав</t>
  </si>
  <si>
    <t>Гениман Максим Павлович</t>
  </si>
  <si>
    <t>Ильин Константин</t>
  </si>
  <si>
    <t>Боровой Геннадий Георгиевич</t>
  </si>
  <si>
    <t>Рачев Сергей</t>
  </si>
  <si>
    <t>Разговоров Юрий Алексеевич</t>
  </si>
  <si>
    <t>Панфилов Николай Германович</t>
  </si>
  <si>
    <t>Щербаков Владимир Геннадьевич</t>
  </si>
  <si>
    <t>Ребрихинский</t>
  </si>
  <si>
    <t>Белых Александр Яковлевич</t>
  </si>
  <si>
    <t>Петунин Евгений Николаевич</t>
  </si>
  <si>
    <t>Косилов Дмитрий Владимирович</t>
  </si>
  <si>
    <t>Тальменка</t>
  </si>
  <si>
    <t>Клименко Максим Андреевич</t>
  </si>
  <si>
    <t>Литвинов Вячеслав Николаевич</t>
  </si>
  <si>
    <t>Камень-на-Оби</t>
  </si>
  <si>
    <t>Герасимюк Максим Викторович</t>
  </si>
  <si>
    <t>Салей Александр</t>
  </si>
  <si>
    <t>Грозов Алексей</t>
  </si>
  <si>
    <t>Легостаев Олег Александрович</t>
  </si>
  <si>
    <t>Кузмин Владимир</t>
  </si>
  <si>
    <t>Хитров Денис Владимирович</t>
  </si>
  <si>
    <t>Маматов Валерий Сергеевич</t>
  </si>
  <si>
    <t>Гайдабура Александр</t>
  </si>
  <si>
    <t>Вартанов Александр Эдуардович</t>
  </si>
  <si>
    <t>Прокошин Сергей</t>
  </si>
  <si>
    <t>Казанцев Александр Александрович</t>
  </si>
  <si>
    <t>Балыков Николай Егорович</t>
  </si>
  <si>
    <t>Белых Виктор Петрович</t>
  </si>
  <si>
    <t>Кураш Александр Вадимович</t>
  </si>
  <si>
    <t>Панин Михаил Андреевич</t>
  </si>
  <si>
    <t>Копин Вячеслав</t>
  </si>
  <si>
    <t>Лежнев Максим</t>
  </si>
  <si>
    <t>Городов Артём</t>
  </si>
  <si>
    <t>Юсупходжаев Владимир Ростиславович</t>
  </si>
  <si>
    <t>Вартанов Дмитрий Александрович</t>
  </si>
  <si>
    <t>Гриценко Алексей Владимирович</t>
  </si>
  <si>
    <t>Балаба Данил Дмитриевич</t>
  </si>
  <si>
    <t>Суторихин Евгений Владимирович</t>
  </si>
  <si>
    <t>Коломытченко Игорь Александрович</t>
  </si>
  <si>
    <t>Подчуфаров Андрей Борисович</t>
  </si>
  <si>
    <t>Амбарцумян Карен Мотевосович</t>
  </si>
  <si>
    <t>Первомайский</t>
  </si>
  <si>
    <t>Демидов Алексей Станиславович</t>
  </si>
  <si>
    <t>Русанов Олег Игоревич</t>
  </si>
  <si>
    <t>Сапожников Евгений</t>
  </si>
  <si>
    <t>Ануфриенко Дарья Геннадьевна</t>
  </si>
  <si>
    <t>Попов Максим Владимирович</t>
  </si>
  <si>
    <t>Сухов Артур Максимович</t>
  </si>
  <si>
    <t>Туртыгин Юрий</t>
  </si>
  <si>
    <t>Дронов Александр Анатольевич</t>
  </si>
  <si>
    <t>Горков Тимофей</t>
  </si>
  <si>
    <t>Удалов Алексей</t>
  </si>
  <si>
    <t>Похвалит Александр Григорьевич</t>
  </si>
  <si>
    <t>Коченко Илья Витальевич</t>
  </si>
  <si>
    <t>Яценко Леонид Кондратьевич</t>
  </si>
  <si>
    <t>Суртаев Андрей Владиславович</t>
  </si>
  <si>
    <t>Поломошнов Артем Анатольевич</t>
  </si>
  <si>
    <t>Алтухов Юрий</t>
  </si>
  <si>
    <t>Пересыпкин Владимир</t>
  </si>
  <si>
    <t>Маколкин Никита Вячеславович</t>
  </si>
  <si>
    <t>Скориков Дмитрий Яковлевич</t>
  </si>
  <si>
    <t>&lt;tr class=""&gt;</t>
  </si>
  <si>
    <t>&lt;th  class=""&gt;</t>
  </si>
  <si>
    <t>&lt;td  class=""&gt;</t>
  </si>
  <si>
    <t>&lt;th class=""&gt;</t>
  </si>
  <si>
    <t>Код ФШР</t>
  </si>
  <si>
    <t>ФШР клс</t>
  </si>
  <si>
    <t>ФШР быс</t>
  </si>
  <si>
    <t>ФШР блиц</t>
  </si>
  <si>
    <t>телефон</t>
  </si>
  <si>
    <t>Адрес</t>
  </si>
  <si>
    <t>Суторихин В.Г., Уманский С.А.</t>
  </si>
  <si>
    <t xml:space="preserve">Цепенникова Т.В., Зыкина Н.Н., Пышнограй Д.И., </t>
  </si>
  <si>
    <t>Шаталова И.Д., Кухарев А.И., Пузиков Н.В., Эртель В.А.</t>
  </si>
  <si>
    <t>Ул.Благовещенская, 4а</t>
  </si>
  <si>
    <t>31-39-38</t>
  </si>
  <si>
    <t>Ул.Ленинградская, 18</t>
  </si>
  <si>
    <t>52-48-17</t>
  </si>
  <si>
    <t>Горняк, Ул.Миронова, 97б</t>
  </si>
  <si>
    <t>Ул.К.Маркса, 160</t>
  </si>
  <si>
    <t>Труфанов А.Г., Дегтерев А.Н.</t>
  </si>
  <si>
    <t>ЦРТДиЮ Ленинского района</t>
  </si>
  <si>
    <t>ДЮЦ Железнодорожного района</t>
  </si>
  <si>
    <t>Администрация</t>
  </si>
  <si>
    <t>Для посетителей</t>
  </si>
  <si>
    <t>Понедельник</t>
  </si>
  <si>
    <t>Вторник</t>
  </si>
  <si>
    <t>Среда</t>
  </si>
  <si>
    <t>Четверг</t>
  </si>
  <si>
    <t>Пятница</t>
  </si>
  <si>
    <t xml:space="preserve">Суббота </t>
  </si>
  <si>
    <t>Воскресенье</t>
  </si>
  <si>
    <t>выходной</t>
  </si>
  <si>
    <t>Обед</t>
  </si>
  <si>
    <t>9.00-18.00</t>
  </si>
  <si>
    <t>13.00-13.48</t>
  </si>
  <si>
    <t>17.00-21.00</t>
  </si>
  <si>
    <t>9.00-17.00</t>
  </si>
  <si>
    <t>14.30-19.30</t>
  </si>
  <si>
    <t>В дни проведения соревнований клуб для посетителей не работает</t>
  </si>
  <si>
    <t>&lt;td  class="rating__color"&gt;</t>
  </si>
  <si>
    <t>Павловский</t>
  </si>
  <si>
    <t>Полное наименование:</t>
  </si>
  <si>
    <t>Сокращенное наименование:</t>
  </si>
  <si>
    <t>ИНН/КПП:</t>
  </si>
  <si>
    <t>ОРГН:</t>
  </si>
  <si>
    <t>ОКПО:</t>
  </si>
  <si>
    <t>ОКОПФ:</t>
  </si>
  <si>
    <t>Юридический адрес:</t>
  </si>
  <si>
    <t>Фактический адрес:</t>
  </si>
  <si>
    <t>Телефон:</t>
  </si>
  <si>
    <t>Электронная почта:</t>
  </si>
  <si>
    <t>Банковские реквизиты:</t>
  </si>
  <si>
    <t>Город: Новосибирск</t>
  </si>
  <si>
    <t>2225115318/222501001</t>
  </si>
  <si>
    <t>Общественная организация «Федерация Шахмат Алтайского края»</t>
  </si>
  <si>
    <t>656056, г. Барнаул, улица Гоголя, д. 42</t>
  </si>
  <si>
    <t>+7 (905) 084-57-77</t>
  </si>
  <si>
    <t>polomoshnov@chess22.ru</t>
  </si>
  <si>
    <t>Название: Филиал ГПБ (ОАО) в г. Новосибирске</t>
  </si>
  <si>
    <t>БИК: 045004783</t>
  </si>
  <si>
    <t>Р/с № 40703810800290006947</t>
  </si>
  <si>
    <t>Кор/счет: 30101810400000000783</t>
  </si>
  <si>
    <t>ОО "ФЕДЕРАЦИЯ ШАХМАТ АЛТАЙСКОГО КРАЯ"</t>
  </si>
  <si>
    <t xml:space="preserve">КПП: </t>
  </si>
  <si>
    <t xml:space="preserve">ИНН: </t>
  </si>
  <si>
    <t>&lt;/a&gt;</t>
  </si>
  <si>
    <t>&lt;a href="</t>
  </si>
  <si>
    <t>" target="_blank"&gt;</t>
  </si>
  <si>
    <t>&lt;th  class="rating__number"&gt;</t>
  </si>
  <si>
    <t>&lt;td  class="rating__number"&gt;</t>
  </si>
  <si>
    <t>&lt;th class="rating__id"&gt;</t>
  </si>
  <si>
    <t>&lt;td  class="rating__id"&gt;</t>
  </si>
  <si>
    <t>&lt;th class="rating__item"&gt;</t>
  </si>
  <si>
    <t>&lt;td  class="rating__item"&gt;</t>
  </si>
  <si>
    <t>&lt;td  class="rating__color  rating__change"&gt;</t>
  </si>
  <si>
    <t>&lt;th class="rating__change"&gt;</t>
  </si>
  <si>
    <t>&lt;th class="rating__name"&gt;</t>
  </si>
  <si>
    <t>&lt;td  class="rating__name"&gt;</t>
  </si>
  <si>
    <t>&lt;th class="rating_city"&gt;</t>
  </si>
  <si>
    <t>&lt;td  class="rating__city"&gt;</t>
  </si>
  <si>
    <t>&lt;td  class="rating__year"&gt;</t>
  </si>
  <si>
    <t>г. р.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</si>
</sst>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\+#,##0;\-#,##0"/>
  </numFmts>
  <fonts count="2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7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7"/>
      <color rgb="FF7030A0"/>
      <name val="Calibri"/>
      <family val="2"/>
      <charset val="204"/>
      <scheme val="minor"/>
    </font>
    <font>
      <sz val="10"/>
      <color rgb="FF333333"/>
      <name val="Arial"/>
      <family val="2"/>
      <charset val="204"/>
    </font>
    <font>
      <b/>
      <sz val="10"/>
      <color rgb="FF333333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EFF5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1" fillId="0" borderId="0"/>
  </cellStyleXfs>
  <cellXfs count="178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0" fillId="3" borderId="0" xfId="0" applyFill="1"/>
    <xf numFmtId="0" fontId="1" fillId="2" borderId="0" xfId="1" applyFill="1" applyAlignment="1" applyProtection="1"/>
    <xf numFmtId="14" fontId="0" fillId="0" borderId="0" xfId="0" applyNumberFormat="1"/>
    <xf numFmtId="16" fontId="0" fillId="0" borderId="0" xfId="0" applyNumberFormat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0" fillId="0" borderId="0" xfId="0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5" borderId="0" xfId="0" applyFill="1" applyBorder="1" applyAlignment="1">
      <alignment vertical="top"/>
    </xf>
    <xf numFmtId="0" fontId="0" fillId="0" borderId="0" xfId="0" applyAlignment="1">
      <alignment horizontal="left" vertical="top" indent="2"/>
    </xf>
    <xf numFmtId="0" fontId="0" fillId="0" borderId="0" xfId="0" applyBorder="1"/>
    <xf numFmtId="0" fontId="0" fillId="5" borderId="0" xfId="0" applyFill="1" applyAlignment="1">
      <alignment horizontal="left" vertical="top" indent="2"/>
    </xf>
    <xf numFmtId="0" fontId="0" fillId="5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5" borderId="0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6" borderId="3" xfId="1" applyFill="1" applyBorder="1" applyAlignment="1" applyProtection="1">
      <alignment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4" fontId="9" fillId="0" borderId="12" xfId="0" applyNumberFormat="1" applyFont="1" applyBorder="1" applyAlignment="1">
      <alignment vertical="top" wrapText="1"/>
    </xf>
    <xf numFmtId="44" fontId="0" fillId="0" borderId="0" xfId="2" applyFont="1"/>
    <xf numFmtId="44" fontId="12" fillId="0" borderId="0" xfId="2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/>
    <xf numFmtId="44" fontId="12" fillId="0" borderId="3" xfId="2" applyFont="1" applyBorder="1"/>
    <xf numFmtId="0" fontId="12" fillId="0" borderId="3" xfId="0" applyFont="1" applyBorder="1"/>
    <xf numFmtId="0" fontId="14" fillId="0" borderId="3" xfId="0" applyFont="1" applyBorder="1"/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center" vertical="top" wrapText="1"/>
    </xf>
    <xf numFmtId="14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44" fontId="12" fillId="0" borderId="3" xfId="2" applyFont="1" applyBorder="1" applyAlignment="1">
      <alignment horizontal="center" vertic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 vertical="center"/>
    </xf>
    <xf numFmtId="44" fontId="12" fillId="0" borderId="3" xfId="2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top" wrapText="1"/>
    </xf>
    <xf numFmtId="0" fontId="13" fillId="7" borderId="3" xfId="3" applyNumberFormat="1" applyFont="1" applyFill="1" applyBorder="1" applyAlignment="1">
      <alignment horizontal="right" vertical="center" wrapText="1" shrinkToFit="1"/>
    </xf>
    <xf numFmtId="0" fontId="15" fillId="0" borderId="0" xfId="0" applyFont="1" applyBorder="1" applyAlignment="1">
      <alignment horizontal="right"/>
    </xf>
    <xf numFmtId="44" fontId="12" fillId="0" borderId="3" xfId="2" applyFont="1" applyBorder="1" applyAlignment="1">
      <alignment vertical="top"/>
    </xf>
    <xf numFmtId="0" fontId="13" fillId="7" borderId="3" xfId="3" applyNumberFormat="1" applyFont="1" applyFill="1" applyBorder="1" applyAlignment="1">
      <alignment horizontal="center" vertical="top" wrapText="1" shrinkToFit="1"/>
    </xf>
    <xf numFmtId="0" fontId="13" fillId="7" borderId="3" xfId="3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vertical="top" wrapText="1" shrinkToFit="1"/>
    </xf>
    <xf numFmtId="0" fontId="13" fillId="0" borderId="3" xfId="3" applyFont="1" applyBorder="1" applyAlignment="1">
      <alignment horizontal="center"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44" fontId="12" fillId="0" borderId="3" xfId="2" applyFont="1" applyBorder="1" applyAlignment="1">
      <alignment horizontal="center" vertical="top" wrapText="1"/>
    </xf>
    <xf numFmtId="0" fontId="14" fillId="0" borderId="3" xfId="0" applyFont="1" applyBorder="1" applyAlignment="1">
      <alignment vertical="top"/>
    </xf>
    <xf numFmtId="44" fontId="0" fillId="0" borderId="0" xfId="2" applyFont="1" applyAlignment="1">
      <alignment vertical="top"/>
    </xf>
    <xf numFmtId="1" fontId="12" fillId="0" borderId="0" xfId="0" applyNumberFormat="1" applyFont="1" applyBorder="1"/>
    <xf numFmtId="0" fontId="12" fillId="8" borderId="3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7" borderId="3" xfId="3" applyNumberFormat="1" applyFont="1" applyFill="1" applyBorder="1" applyAlignment="1">
      <alignment horizontal="center" vertical="top" shrinkToFit="1"/>
    </xf>
    <xf numFmtId="0" fontId="13" fillId="7" borderId="3" xfId="3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vertical="top" shrinkToFit="1"/>
    </xf>
    <xf numFmtId="0" fontId="13" fillId="0" borderId="3" xfId="3" applyFont="1" applyBorder="1" applyAlignment="1">
      <alignment horizontal="center" vertical="top"/>
    </xf>
    <xf numFmtId="44" fontId="12" fillId="0" borderId="3" xfId="2" applyFont="1" applyBorder="1" applyAlignment="1"/>
    <xf numFmtId="0" fontId="13" fillId="7" borderId="3" xfId="3" applyNumberFormat="1" applyFont="1" applyFill="1" applyBorder="1" applyAlignment="1">
      <alignment horizontal="right" vertical="center" shrinkToFit="1"/>
    </xf>
    <xf numFmtId="0" fontId="12" fillId="0" borderId="3" xfId="0" applyFont="1" applyFill="1" applyBorder="1" applyAlignment="1">
      <alignment horizontal="left" vertical="top"/>
    </xf>
    <xf numFmtId="0" fontId="12" fillId="9" borderId="3" xfId="0" applyFont="1" applyFill="1" applyBorder="1" applyAlignment="1">
      <alignment horizontal="left" vertical="top"/>
    </xf>
    <xf numFmtId="14" fontId="12" fillId="0" borderId="3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4" fillId="0" borderId="3" xfId="0" applyFont="1" applyBorder="1" applyAlignment="1"/>
    <xf numFmtId="1" fontId="16" fillId="11" borderId="15" xfId="0" applyNumberFormat="1" applyFont="1" applyFill="1" applyBorder="1" applyAlignment="1">
      <alignment horizontal="center" vertical="top" wrapText="1"/>
    </xf>
    <xf numFmtId="0" fontId="16" fillId="11" borderId="16" xfId="0" applyFont="1" applyFill="1" applyBorder="1" applyAlignment="1">
      <alignment horizontal="center" vertical="top" wrapText="1"/>
    </xf>
    <xf numFmtId="1" fontId="16" fillId="11" borderId="16" xfId="0" applyNumberFormat="1" applyFont="1" applyFill="1" applyBorder="1" applyAlignment="1">
      <alignment horizontal="center" vertical="top" wrapText="1"/>
    </xf>
    <xf numFmtId="0" fontId="16" fillId="11" borderId="17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right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17" fillId="11" borderId="17" xfId="0" applyFont="1" applyFill="1" applyBorder="1" applyAlignment="1">
      <alignment horizontal="right" vertical="top" wrapText="1"/>
    </xf>
    <xf numFmtId="1" fontId="18" fillId="12" borderId="19" xfId="0" applyNumberFormat="1" applyFont="1" applyFill="1" applyBorder="1" applyAlignment="1">
      <alignment horizontal="right"/>
    </xf>
    <xf numFmtId="0" fontId="19" fillId="12" borderId="0" xfId="1" applyFont="1" applyFill="1" applyAlignment="1" applyProtection="1"/>
    <xf numFmtId="0" fontId="18" fillId="12" borderId="0" xfId="0" applyFont="1" applyFill="1" applyAlignment="1">
      <alignment horizontal="left"/>
    </xf>
    <xf numFmtId="0" fontId="18" fillId="12" borderId="0" xfId="0" applyFont="1" applyFill="1" applyAlignment="1">
      <alignment horizontal="center"/>
    </xf>
    <xf numFmtId="0" fontId="20" fillId="12" borderId="0" xfId="1" applyFont="1" applyFill="1" applyAlignment="1" applyProtection="1"/>
    <xf numFmtId="164" fontId="21" fillId="12" borderId="0" xfId="0" applyNumberFormat="1" applyFont="1" applyFill="1" applyAlignment="1">
      <alignment horizontal="center"/>
    </xf>
    <xf numFmtId="1" fontId="18" fillId="0" borderId="19" xfId="0" applyNumberFormat="1" applyFont="1" applyBorder="1" applyAlignment="1" applyProtection="1">
      <alignment horizontal="right"/>
      <protection hidden="1"/>
    </xf>
    <xf numFmtId="0" fontId="19" fillId="0" borderId="0" xfId="1" applyFont="1" applyAlignment="1" applyProtection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20" fillId="0" borderId="0" xfId="1" applyFont="1" applyAlignment="1" applyProtection="1"/>
    <xf numFmtId="164" fontId="21" fillId="0" borderId="0" xfId="0" applyNumberFormat="1" applyFont="1" applyAlignment="1">
      <alignment horizontal="center"/>
    </xf>
    <xf numFmtId="0" fontId="18" fillId="0" borderId="0" xfId="0" applyFont="1" applyAlignment="1"/>
    <xf numFmtId="0" fontId="18" fillId="12" borderId="0" xfId="0" applyFont="1" applyFill="1" applyAlignment="1"/>
    <xf numFmtId="0" fontId="18" fillId="0" borderId="0" xfId="0" applyFont="1" applyFill="1" applyAlignment="1">
      <alignment horizontal="left"/>
    </xf>
    <xf numFmtId="44" fontId="18" fillId="0" borderId="3" xfId="2" applyFont="1" applyBorder="1" applyAlignment="1">
      <alignment vertical="top"/>
    </xf>
    <xf numFmtId="0" fontId="20" fillId="0" borderId="3" xfId="0" applyFont="1" applyBorder="1" applyAlignment="1">
      <alignment vertical="top"/>
    </xf>
    <xf numFmtId="44" fontId="18" fillId="0" borderId="3" xfId="2" applyFont="1" applyBorder="1"/>
    <xf numFmtId="0" fontId="10" fillId="0" borderId="0" xfId="0" applyFont="1" applyAlignment="1">
      <alignment horizontal="left"/>
    </xf>
    <xf numFmtId="0" fontId="9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4" borderId="3" xfId="0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center" vertical="top" wrapText="1"/>
    </xf>
    <xf numFmtId="0" fontId="10" fillId="4" borderId="3" xfId="0" applyFont="1" applyFill="1" applyBorder="1" applyAlignment="1">
      <alignment vertical="top" wrapText="1"/>
    </xf>
    <xf numFmtId="0" fontId="0" fillId="4" borderId="0" xfId="0" applyFill="1"/>
    <xf numFmtId="0" fontId="23" fillId="6" borderId="0" xfId="0" applyFont="1" applyFill="1" applyAlignment="1">
      <alignment vertical="top" wrapText="1"/>
    </xf>
    <xf numFmtId="0" fontId="22" fillId="6" borderId="0" xfId="0" applyFont="1" applyFill="1" applyAlignment="1">
      <alignment vertical="top" wrapText="1"/>
    </xf>
    <xf numFmtId="0" fontId="23" fillId="13" borderId="0" xfId="0" applyFont="1" applyFill="1" applyAlignment="1">
      <alignment vertical="top" wrapText="1"/>
    </xf>
    <xf numFmtId="0" fontId="22" fillId="4" borderId="0" xfId="0" applyFont="1" applyFill="1" applyAlignment="1">
      <alignment vertical="top" wrapText="1"/>
    </xf>
    <xf numFmtId="1" fontId="22" fillId="4" borderId="0" xfId="0" applyNumberFormat="1" applyFont="1" applyFill="1" applyAlignment="1">
      <alignment horizontal="left" vertical="top" wrapText="1"/>
    </xf>
    <xf numFmtId="49" fontId="22" fillId="4" borderId="0" xfId="0" applyNumberFormat="1" applyFont="1" applyFill="1" applyAlignment="1">
      <alignment vertical="top" wrapText="1"/>
    </xf>
    <xf numFmtId="0" fontId="22" fillId="14" borderId="0" xfId="0" applyFont="1" applyFill="1" applyAlignment="1">
      <alignment vertical="top" wrapText="1"/>
    </xf>
    <xf numFmtId="0" fontId="1" fillId="14" borderId="0" xfId="1" applyFill="1" applyAlignment="1" applyProtection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1" fillId="0" borderId="3" xfId="1" applyBorder="1" applyAlignment="1" applyProtection="1">
      <alignment vertical="top"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7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1" fillId="6" borderId="3" xfId="1" applyFill="1" applyBorder="1" applyAlignment="1" applyProtection="1">
      <alignment vertical="top" wrapText="1"/>
    </xf>
    <xf numFmtId="0" fontId="8" fillId="6" borderId="3" xfId="0" applyFont="1" applyFill="1" applyBorder="1" applyAlignment="1">
      <alignment horizontal="center" vertical="top" wrapText="1"/>
    </xf>
    <xf numFmtId="0" fontId="23" fillId="6" borderId="0" xfId="0" applyFont="1" applyFill="1" applyAlignment="1">
      <alignment vertical="top" wrapText="1"/>
    </xf>
    <xf numFmtId="44" fontId="18" fillId="0" borderId="10" xfId="2" applyFont="1" applyBorder="1" applyAlignment="1">
      <alignment vertical="top"/>
    </xf>
    <xf numFmtId="44" fontId="18" fillId="0" borderId="0" xfId="2" applyFont="1" applyBorder="1"/>
    <xf numFmtId="1" fontId="16" fillId="0" borderId="10" xfId="0" applyNumberFormat="1" applyFont="1" applyFill="1" applyBorder="1" applyAlignment="1">
      <alignment horizontal="center" vertical="top" wrapText="1"/>
    </xf>
    <xf numFmtId="0" fontId="0" fillId="0" borderId="0" xfId="0" applyFill="1"/>
    <xf numFmtId="0" fontId="20" fillId="0" borderId="0" xfId="1" applyFont="1" applyFill="1" applyAlignment="1" applyProtection="1"/>
    <xf numFmtId="0" fontId="0" fillId="15" borderId="0" xfId="0" applyFill="1"/>
  </cellXfs>
  <cellStyles count="4">
    <cellStyle name="Гиперссылка" xfId="1" builtinId="8"/>
    <cellStyle name="Денежный" xfId="2" builtinId="4"/>
    <cellStyle name="Обычный" xfId="0" builtinId="0"/>
    <cellStyle name="Обычный_Лист1" xfId="3"/>
  </cellStyles>
  <dxfs count="14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606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lda.cc/tpls/page/?q=cvtemplateru&amp;startwithexample=7765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polomoshnov@chess22.r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facademy.ru/" TargetMode="External"/><Relationship Id="rId3" Type="http://schemas.openxmlformats.org/officeDocument/2006/relationships/hyperlink" Target="http://old.economy.gov.ru/minec/main" TargetMode="External"/><Relationship Id="rId7" Type="http://schemas.openxmlformats.org/officeDocument/2006/relationships/hyperlink" Target="https://wrbc2019.com/ru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old.economy.gov.ru/minec/main" TargetMode="External"/><Relationship Id="rId1" Type="http://schemas.openxmlformats.org/officeDocument/2006/relationships/hyperlink" Target="https://www.zurich.com/" TargetMode="External"/><Relationship Id="rId6" Type="http://schemas.openxmlformats.org/officeDocument/2006/relationships/hyperlink" Target="https://wrbc2019.com/ru/" TargetMode="External"/><Relationship Id="rId11" Type="http://schemas.openxmlformats.org/officeDocument/2006/relationships/hyperlink" Target="https://rfs.ru/nationals" TargetMode="External"/><Relationship Id="rId5" Type="http://schemas.openxmlformats.org/officeDocument/2006/relationships/hyperlink" Target="https://ruchess.ru/" TargetMode="External"/><Relationship Id="rId10" Type="http://schemas.openxmlformats.org/officeDocument/2006/relationships/hyperlink" Target="http://rusfencing.ru/structure.php" TargetMode="External"/><Relationship Id="rId4" Type="http://schemas.openxmlformats.org/officeDocument/2006/relationships/hyperlink" Target="https://www.fide.com/" TargetMode="External"/><Relationship Id="rId9" Type="http://schemas.openxmlformats.org/officeDocument/2006/relationships/hyperlink" Target="http://silalawyer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ono@ab.ru" TargetMode="External"/><Relationship Id="rId2" Type="http://schemas.openxmlformats.org/officeDocument/2006/relationships/hyperlink" Target="mailto:dush.gornuak@mail.ru" TargetMode="External"/><Relationship Id="rId1" Type="http://schemas.openxmlformats.org/officeDocument/2006/relationships/hyperlink" Target="mailto:spshkul_3@mail.ru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ovetskayadush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54" sqref="C54"/>
    </sheetView>
  </sheetViews>
  <sheetFormatPr defaultRowHeight="15"/>
  <cols>
    <col min="1" max="1" width="12.28515625" bestFit="1" customWidth="1"/>
    <col min="2" max="2" width="15.7109375" bestFit="1" customWidth="1"/>
    <col min="3" max="4" width="15.7109375" customWidth="1"/>
    <col min="5" max="5" width="11.7109375" bestFit="1" customWidth="1"/>
    <col min="6" max="6" width="18.28515625" customWidth="1"/>
    <col min="7" max="7" width="14.42578125" customWidth="1"/>
  </cols>
  <sheetData>
    <row r="1" spans="1:7" s="10" customFormat="1">
      <c r="A1" s="7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32</v>
      </c>
      <c r="G1" s="8" t="s">
        <v>33</v>
      </c>
    </row>
    <row r="2" spans="1:7" s="10" customFormat="1">
      <c r="A2" s="11" t="s">
        <v>34</v>
      </c>
      <c r="B2" s="12" t="s">
        <v>35</v>
      </c>
      <c r="C2" s="13" t="s">
        <v>36</v>
      </c>
      <c r="D2" s="13" t="s">
        <v>37</v>
      </c>
      <c r="E2" s="12"/>
      <c r="F2" s="14" t="s">
        <v>38</v>
      </c>
      <c r="G2" s="15"/>
    </row>
    <row r="3" spans="1:7">
      <c r="A3" s="11" t="s">
        <v>39</v>
      </c>
      <c r="B3" s="16">
        <v>2019</v>
      </c>
      <c r="C3" s="13" t="s">
        <v>40</v>
      </c>
      <c r="D3" s="17" t="s">
        <v>41</v>
      </c>
      <c r="E3" s="12"/>
      <c r="F3" s="18" t="s">
        <v>42</v>
      </c>
      <c r="G3" s="19"/>
    </row>
    <row r="4" spans="1:7">
      <c r="A4" s="11" t="s">
        <v>43</v>
      </c>
      <c r="B4" s="16">
        <v>2018</v>
      </c>
      <c r="C4" s="13" t="s">
        <v>44</v>
      </c>
      <c r="D4" s="17" t="s">
        <v>45</v>
      </c>
      <c r="E4" s="12"/>
      <c r="F4" s="18" t="s">
        <v>46</v>
      </c>
      <c r="G4" s="19"/>
    </row>
    <row r="5" spans="1:7">
      <c r="A5" s="11"/>
      <c r="B5" s="16">
        <v>2017</v>
      </c>
      <c r="C5" s="13" t="s">
        <v>47</v>
      </c>
      <c r="D5" s="12" t="s">
        <v>48</v>
      </c>
      <c r="E5" s="12"/>
      <c r="F5" s="18" t="s">
        <v>49</v>
      </c>
      <c r="G5" s="19"/>
    </row>
    <row r="6" spans="1:7">
      <c r="A6" s="11"/>
      <c r="B6" s="16" t="s">
        <v>50</v>
      </c>
      <c r="C6" s="13" t="s">
        <v>49</v>
      </c>
      <c r="D6" s="12" t="s">
        <v>51</v>
      </c>
      <c r="E6" s="12"/>
      <c r="F6" s="18" t="s">
        <v>52</v>
      </c>
      <c r="G6" s="19"/>
    </row>
    <row r="7" spans="1:7">
      <c r="A7" s="11"/>
      <c r="B7" s="16" t="s">
        <v>53</v>
      </c>
      <c r="C7" s="13" t="s">
        <v>54</v>
      </c>
      <c r="D7" s="13"/>
      <c r="E7" s="12"/>
      <c r="F7" s="20" t="s">
        <v>55</v>
      </c>
      <c r="G7" s="19"/>
    </row>
    <row r="8" spans="1:7">
      <c r="A8" s="11"/>
      <c r="B8" s="12"/>
      <c r="C8" s="13" t="s">
        <v>56</v>
      </c>
      <c r="D8" s="13"/>
      <c r="E8" s="12"/>
      <c r="F8" s="14" t="s">
        <v>57</v>
      </c>
      <c r="G8" s="19"/>
    </row>
    <row r="9" spans="1:7">
      <c r="A9" s="11"/>
      <c r="B9" s="12"/>
      <c r="C9" s="21" t="s">
        <v>58</v>
      </c>
      <c r="D9" s="12"/>
      <c r="E9" s="12"/>
      <c r="F9" s="22" t="s">
        <v>59</v>
      </c>
      <c r="G9" s="19"/>
    </row>
    <row r="10" spans="1:7">
      <c r="A10" s="11"/>
      <c r="B10" s="12"/>
      <c r="C10" s="23" t="s">
        <v>60</v>
      </c>
      <c r="D10" s="12"/>
      <c r="E10" s="12"/>
      <c r="F10" s="13"/>
      <c r="G10" s="19"/>
    </row>
    <row r="11" spans="1:7">
      <c r="A11" s="11"/>
      <c r="B11" s="12"/>
      <c r="C11" s="20" t="s">
        <v>61</v>
      </c>
      <c r="D11" s="12"/>
      <c r="E11" s="12"/>
      <c r="F11" s="12"/>
      <c r="G11" s="19"/>
    </row>
    <row r="12" spans="1:7">
      <c r="A12" s="11"/>
      <c r="B12" s="12"/>
      <c r="C12" s="20" t="s">
        <v>62</v>
      </c>
      <c r="D12" s="12"/>
      <c r="E12" s="12"/>
      <c r="F12" s="12"/>
      <c r="G12" s="19"/>
    </row>
    <row r="13" spans="1:7">
      <c r="A13" s="13"/>
      <c r="B13" s="13"/>
      <c r="C13" s="20" t="s">
        <v>63</v>
      </c>
      <c r="D13" s="13"/>
      <c r="E13" s="13"/>
      <c r="F13" s="13"/>
    </row>
    <row r="17" spans="1:1">
      <c r="A17" s="2" t="s">
        <v>64</v>
      </c>
    </row>
  </sheetData>
  <hyperlinks>
    <hyperlink ref="A17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D102"/>
  <sheetViews>
    <sheetView topLeftCell="AG1" workbookViewId="0">
      <selection sqref="A1:BD1048576"/>
    </sheetView>
  </sheetViews>
  <sheetFormatPr defaultRowHeight="15"/>
  <cols>
    <col min="23" max="23" width="23.7109375" bestFit="1" customWidth="1"/>
  </cols>
  <sheetData>
    <row r="2" spans="1:56" ht="25.5">
      <c r="A2" s="130" t="s">
        <v>746</v>
      </c>
      <c r="B2" s="130" t="s">
        <v>747</v>
      </c>
      <c r="C2" s="107" t="s">
        <v>347</v>
      </c>
      <c r="D2" s="130" t="s">
        <v>593</v>
      </c>
      <c r="E2" s="130" t="s">
        <v>749</v>
      </c>
      <c r="F2" s="108" t="s">
        <v>750</v>
      </c>
      <c r="G2" s="130" t="s">
        <v>593</v>
      </c>
      <c r="H2" s="130" t="s">
        <v>749</v>
      </c>
      <c r="I2" s="109" t="s">
        <v>632</v>
      </c>
      <c r="J2" s="130" t="s">
        <v>593</v>
      </c>
      <c r="K2" s="130" t="s">
        <v>749</v>
      </c>
      <c r="L2" s="108" t="s">
        <v>633</v>
      </c>
      <c r="M2" s="130" t="s">
        <v>593</v>
      </c>
      <c r="N2" s="130" t="s">
        <v>749</v>
      </c>
      <c r="O2" s="108" t="s">
        <v>634</v>
      </c>
      <c r="P2" s="130" t="s">
        <v>593</v>
      </c>
      <c r="Q2" s="130" t="s">
        <v>749</v>
      </c>
      <c r="R2" s="110" t="s">
        <v>635</v>
      </c>
      <c r="S2" s="130" t="s">
        <v>593</v>
      </c>
      <c r="T2" s="130" t="s">
        <v>749</v>
      </c>
      <c r="U2" s="108" t="s">
        <v>751</v>
      </c>
      <c r="V2" s="130" t="s">
        <v>593</v>
      </c>
      <c r="W2" s="130" t="s">
        <v>749</v>
      </c>
      <c r="X2" s="111" t="s">
        <v>636</v>
      </c>
      <c r="Y2" s="130" t="s">
        <v>593</v>
      </c>
      <c r="Z2" s="130" t="s">
        <v>749</v>
      </c>
      <c r="AA2" s="108" t="s">
        <v>752</v>
      </c>
      <c r="AB2" s="130" t="s">
        <v>593</v>
      </c>
      <c r="AC2" s="130" t="s">
        <v>749</v>
      </c>
      <c r="AD2" s="112" t="s">
        <v>636</v>
      </c>
      <c r="AE2" s="130" t="s">
        <v>593</v>
      </c>
      <c r="AF2" s="130" t="s">
        <v>749</v>
      </c>
      <c r="AG2" s="108" t="s">
        <v>753</v>
      </c>
      <c r="AH2" s="130" t="s">
        <v>593</v>
      </c>
      <c r="AI2" s="130" t="s">
        <v>749</v>
      </c>
      <c r="AJ2" s="112" t="s">
        <v>636</v>
      </c>
      <c r="AK2" s="130" t="s">
        <v>593</v>
      </c>
      <c r="AL2" s="130" t="s">
        <v>749</v>
      </c>
      <c r="AM2" s="113" t="s">
        <v>637</v>
      </c>
      <c r="AN2" s="130" t="s">
        <v>593</v>
      </c>
      <c r="AO2" s="130" t="s">
        <v>749</v>
      </c>
      <c r="AP2" s="112" t="s">
        <v>636</v>
      </c>
      <c r="AQ2" s="130" t="s">
        <v>593</v>
      </c>
      <c r="AR2" s="130" t="s">
        <v>749</v>
      </c>
      <c r="AS2" s="108" t="s">
        <v>638</v>
      </c>
      <c r="AT2" s="130" t="s">
        <v>593</v>
      </c>
      <c r="AU2" s="130" t="s">
        <v>749</v>
      </c>
      <c r="AV2" s="112" t="s">
        <v>636</v>
      </c>
      <c r="AW2" s="130" t="s">
        <v>593</v>
      </c>
      <c r="AX2" s="130" t="s">
        <v>749</v>
      </c>
      <c r="AY2" s="108" t="s">
        <v>639</v>
      </c>
      <c r="AZ2" s="130" t="s">
        <v>593</v>
      </c>
      <c r="BA2" s="130" t="s">
        <v>749</v>
      </c>
      <c r="BB2" s="114" t="s">
        <v>636</v>
      </c>
      <c r="BC2" s="130" t="s">
        <v>593</v>
      </c>
      <c r="BD2" s="131" t="s">
        <v>594</v>
      </c>
    </row>
    <row r="3" spans="1:56">
      <c r="A3" s="130" t="s">
        <v>746</v>
      </c>
      <c r="B3" s="130" t="s">
        <v>748</v>
      </c>
      <c r="C3" s="115">
        <f t="shared" ref="C3:C34" si="0">+IFERROR(IF(SUBTOTAL(3,L3),C2+1,C2),1)</f>
        <v>1</v>
      </c>
      <c r="D3" s="132" t="s">
        <v>596</v>
      </c>
      <c r="E3" s="132" t="s">
        <v>748</v>
      </c>
      <c r="F3" s="116">
        <f>HYPERLINK("http://ratings.ruchess.ru/people/3418",3418)</f>
        <v>3418</v>
      </c>
      <c r="G3" s="132" t="s">
        <v>596</v>
      </c>
      <c r="H3" s="132" t="s">
        <v>748</v>
      </c>
      <c r="I3" s="116">
        <f>HYPERLINK("https://ratings.fide.com/card.phtml?event=24176460",24176460)</f>
        <v>24176460</v>
      </c>
      <c r="J3" s="132" t="s">
        <v>596</v>
      </c>
      <c r="K3" s="132" t="s">
        <v>748</v>
      </c>
      <c r="L3" s="117" t="s">
        <v>640</v>
      </c>
      <c r="M3" s="132" t="s">
        <v>596</v>
      </c>
      <c r="N3" s="132" t="s">
        <v>748</v>
      </c>
      <c r="O3" s="118">
        <v>2000</v>
      </c>
      <c r="P3" s="132" t="s">
        <v>596</v>
      </c>
      <c r="Q3" s="132" t="s">
        <v>748</v>
      </c>
      <c r="R3" s="119" t="s">
        <v>641</v>
      </c>
      <c r="S3" s="132" t="s">
        <v>596</v>
      </c>
      <c r="T3" s="132" t="s">
        <v>748</v>
      </c>
      <c r="U3" s="118">
        <v>2524</v>
      </c>
      <c r="V3" s="132" t="s">
        <v>596</v>
      </c>
      <c r="W3" s="132" t="s">
        <v>785</v>
      </c>
      <c r="X3" s="120">
        <v>1</v>
      </c>
      <c r="Y3" s="132" t="s">
        <v>596</v>
      </c>
      <c r="Z3" s="132" t="s">
        <v>748</v>
      </c>
      <c r="AA3" s="118">
        <v>2546</v>
      </c>
      <c r="AB3" s="132" t="s">
        <v>596</v>
      </c>
      <c r="AC3" s="132" t="s">
        <v>785</v>
      </c>
      <c r="AD3" s="120" t="s">
        <v>641</v>
      </c>
      <c r="AE3" s="132" t="s">
        <v>596</v>
      </c>
      <c r="AF3" s="132" t="s">
        <v>748</v>
      </c>
      <c r="AG3" s="118">
        <v>2501</v>
      </c>
      <c r="AH3" s="132" t="s">
        <v>596</v>
      </c>
      <c r="AI3" s="132" t="s">
        <v>785</v>
      </c>
      <c r="AJ3" s="120" t="s">
        <v>641</v>
      </c>
      <c r="AK3" s="132" t="s">
        <v>596</v>
      </c>
      <c r="AL3" s="132" t="s">
        <v>748</v>
      </c>
      <c r="AM3" s="118">
        <v>2521</v>
      </c>
      <c r="AN3" s="132" t="s">
        <v>596</v>
      </c>
      <c r="AO3" s="132" t="s">
        <v>785</v>
      </c>
      <c r="AP3" s="120">
        <v>1</v>
      </c>
      <c r="AQ3" s="132" t="s">
        <v>596</v>
      </c>
      <c r="AR3" s="132" t="s">
        <v>748</v>
      </c>
      <c r="AS3" s="118">
        <v>2561</v>
      </c>
      <c r="AT3" s="132" t="s">
        <v>596</v>
      </c>
      <c r="AU3" s="132" t="s">
        <v>785</v>
      </c>
      <c r="AV3" s="120" t="s">
        <v>641</v>
      </c>
      <c r="AW3" s="132" t="s">
        <v>596</v>
      </c>
      <c r="AX3" s="132" t="s">
        <v>748</v>
      </c>
      <c r="AY3" s="118">
        <v>2476</v>
      </c>
      <c r="AZ3" s="132" t="s">
        <v>596</v>
      </c>
      <c r="BA3" s="132" t="s">
        <v>785</v>
      </c>
      <c r="BB3" s="120" t="s">
        <v>641</v>
      </c>
      <c r="BC3" s="132" t="s">
        <v>596</v>
      </c>
      <c r="BD3" s="131" t="s">
        <v>594</v>
      </c>
    </row>
    <row r="4" spans="1:56">
      <c r="A4" s="130" t="s">
        <v>746</v>
      </c>
      <c r="B4" s="130" t="s">
        <v>748</v>
      </c>
      <c r="C4" s="121">
        <f t="shared" si="0"/>
        <v>2</v>
      </c>
      <c r="D4" s="132" t="s">
        <v>596</v>
      </c>
      <c r="E4" s="132" t="s">
        <v>748</v>
      </c>
      <c r="F4" s="122">
        <f>HYPERLINK("http://ratings.ruchess.ru/people/3505",3505)</f>
        <v>3505</v>
      </c>
      <c r="G4" s="132" t="s">
        <v>596</v>
      </c>
      <c r="H4" s="132" t="s">
        <v>748</v>
      </c>
      <c r="I4" s="122">
        <f>HYPERLINK("https://ratings.fide.com/card.phtml?event=24108138",24108138)</f>
        <v>24108138</v>
      </c>
      <c r="J4" s="132" t="s">
        <v>596</v>
      </c>
      <c r="K4" s="132" t="s">
        <v>748</v>
      </c>
      <c r="L4" s="123" t="s">
        <v>642</v>
      </c>
      <c r="M4" s="132" t="s">
        <v>596</v>
      </c>
      <c r="N4" s="132" t="s">
        <v>748</v>
      </c>
      <c r="O4" s="124">
        <v>1997</v>
      </c>
      <c r="P4" s="132" t="s">
        <v>596</v>
      </c>
      <c r="Q4" s="132" t="s">
        <v>748</v>
      </c>
      <c r="R4" s="125" t="s">
        <v>641</v>
      </c>
      <c r="S4" s="132" t="s">
        <v>596</v>
      </c>
      <c r="T4" s="132" t="s">
        <v>748</v>
      </c>
      <c r="U4" s="124">
        <v>2445</v>
      </c>
      <c r="V4" s="132" t="s">
        <v>596</v>
      </c>
      <c r="W4" s="132" t="s">
        <v>785</v>
      </c>
      <c r="X4" s="126">
        <v>4</v>
      </c>
      <c r="Y4" s="132" t="s">
        <v>596</v>
      </c>
      <c r="Z4" s="132" t="s">
        <v>748</v>
      </c>
      <c r="AA4" s="124">
        <v>2443</v>
      </c>
      <c r="AB4" s="132" t="s">
        <v>596</v>
      </c>
      <c r="AC4" s="132" t="s">
        <v>785</v>
      </c>
      <c r="AD4" s="126">
        <v>14</v>
      </c>
      <c r="AE4" s="132" t="s">
        <v>596</v>
      </c>
      <c r="AF4" s="132" t="s">
        <v>748</v>
      </c>
      <c r="AG4" s="124">
        <v>2324</v>
      </c>
      <c r="AH4" s="132" t="s">
        <v>596</v>
      </c>
      <c r="AI4" s="132" t="s">
        <v>785</v>
      </c>
      <c r="AJ4" s="126">
        <v>1</v>
      </c>
      <c r="AK4" s="132" t="s">
        <v>596</v>
      </c>
      <c r="AL4" s="132" t="s">
        <v>748</v>
      </c>
      <c r="AM4" s="124">
        <v>2437</v>
      </c>
      <c r="AN4" s="132" t="s">
        <v>596</v>
      </c>
      <c r="AO4" s="132" t="s">
        <v>785</v>
      </c>
      <c r="AP4" s="126" t="s">
        <v>641</v>
      </c>
      <c r="AQ4" s="132" t="s">
        <v>596</v>
      </c>
      <c r="AR4" s="132" t="s">
        <v>748</v>
      </c>
      <c r="AS4" s="124">
        <v>2442</v>
      </c>
      <c r="AT4" s="132" t="s">
        <v>596</v>
      </c>
      <c r="AU4" s="132" t="s">
        <v>785</v>
      </c>
      <c r="AV4" s="126">
        <v>33</v>
      </c>
      <c r="AW4" s="132" t="s">
        <v>596</v>
      </c>
      <c r="AX4" s="132" t="s">
        <v>748</v>
      </c>
      <c r="AY4" s="124">
        <v>2343</v>
      </c>
      <c r="AZ4" s="132" t="s">
        <v>596</v>
      </c>
      <c r="BA4" s="132" t="s">
        <v>785</v>
      </c>
      <c r="BB4" s="126" t="s">
        <v>641</v>
      </c>
      <c r="BC4" s="132" t="s">
        <v>596</v>
      </c>
      <c r="BD4" s="131" t="s">
        <v>594</v>
      </c>
    </row>
    <row r="5" spans="1:56">
      <c r="A5" s="130" t="s">
        <v>746</v>
      </c>
      <c r="B5" s="130" t="s">
        <v>748</v>
      </c>
      <c r="C5" s="115">
        <f t="shared" si="0"/>
        <v>3</v>
      </c>
      <c r="D5" s="132" t="s">
        <v>596</v>
      </c>
      <c r="E5" s="132" t="s">
        <v>748</v>
      </c>
      <c r="F5" s="116">
        <f>HYPERLINK("http://ratings.ruchess.ru/people/12043",12043)</f>
        <v>12043</v>
      </c>
      <c r="G5" s="132" t="s">
        <v>596</v>
      </c>
      <c r="H5" s="132" t="s">
        <v>748</v>
      </c>
      <c r="I5" s="116">
        <f>HYPERLINK("https://ratings.fide.com/card.phtml?event=24145076",24145076)</f>
        <v>24145076</v>
      </c>
      <c r="J5" s="132" t="s">
        <v>596</v>
      </c>
      <c r="K5" s="132" t="s">
        <v>748</v>
      </c>
      <c r="L5" s="117" t="s">
        <v>643</v>
      </c>
      <c r="M5" s="132" t="s">
        <v>596</v>
      </c>
      <c r="N5" s="132" t="s">
        <v>748</v>
      </c>
      <c r="O5" s="118">
        <v>1995</v>
      </c>
      <c r="P5" s="132" t="s">
        <v>596</v>
      </c>
      <c r="Q5" s="132" t="s">
        <v>748</v>
      </c>
      <c r="R5" s="119" t="s">
        <v>641</v>
      </c>
      <c r="S5" s="132" t="s">
        <v>596</v>
      </c>
      <c r="T5" s="132" t="s">
        <v>748</v>
      </c>
      <c r="U5" s="118">
        <v>2413</v>
      </c>
      <c r="V5" s="132" t="s">
        <v>596</v>
      </c>
      <c r="W5" s="132" t="s">
        <v>785</v>
      </c>
      <c r="X5" s="120" t="s">
        <v>641</v>
      </c>
      <c r="Y5" s="132" t="s">
        <v>596</v>
      </c>
      <c r="Z5" s="132" t="s">
        <v>748</v>
      </c>
      <c r="AA5" s="118">
        <v>0</v>
      </c>
      <c r="AB5" s="132" t="s">
        <v>596</v>
      </c>
      <c r="AC5" s="132" t="s">
        <v>785</v>
      </c>
      <c r="AD5" s="120" t="s">
        <v>641</v>
      </c>
      <c r="AE5" s="132" t="s">
        <v>596</v>
      </c>
      <c r="AF5" s="132" t="s">
        <v>748</v>
      </c>
      <c r="AG5" s="118">
        <v>0</v>
      </c>
      <c r="AH5" s="132" t="s">
        <v>596</v>
      </c>
      <c r="AI5" s="132" t="s">
        <v>785</v>
      </c>
      <c r="AJ5" s="120" t="s">
        <v>641</v>
      </c>
      <c r="AK5" s="132" t="s">
        <v>596</v>
      </c>
      <c r="AL5" s="132" t="s">
        <v>748</v>
      </c>
      <c r="AM5" s="118">
        <v>2409</v>
      </c>
      <c r="AN5" s="132" t="s">
        <v>596</v>
      </c>
      <c r="AO5" s="132" t="s">
        <v>785</v>
      </c>
      <c r="AP5" s="120" t="s">
        <v>641</v>
      </c>
      <c r="AQ5" s="132" t="s">
        <v>596</v>
      </c>
      <c r="AR5" s="132" t="s">
        <v>748</v>
      </c>
      <c r="AS5" s="118">
        <v>2382</v>
      </c>
      <c r="AT5" s="132" t="s">
        <v>596</v>
      </c>
      <c r="AU5" s="132" t="s">
        <v>785</v>
      </c>
      <c r="AV5" s="120" t="s">
        <v>641</v>
      </c>
      <c r="AW5" s="132" t="s">
        <v>596</v>
      </c>
      <c r="AX5" s="132" t="s">
        <v>748</v>
      </c>
      <c r="AY5" s="118">
        <v>2382</v>
      </c>
      <c r="AZ5" s="132" t="s">
        <v>596</v>
      </c>
      <c r="BA5" s="132" t="s">
        <v>785</v>
      </c>
      <c r="BB5" s="120" t="s">
        <v>641</v>
      </c>
      <c r="BC5" s="132" t="s">
        <v>596</v>
      </c>
      <c r="BD5" s="131" t="s">
        <v>594</v>
      </c>
    </row>
    <row r="6" spans="1:56">
      <c r="A6" s="130" t="s">
        <v>746</v>
      </c>
      <c r="B6" s="130" t="s">
        <v>748</v>
      </c>
      <c r="C6" s="121">
        <f t="shared" si="0"/>
        <v>4</v>
      </c>
      <c r="D6" s="132" t="s">
        <v>596</v>
      </c>
      <c r="E6" s="132" t="s">
        <v>748</v>
      </c>
      <c r="F6" s="122">
        <f>HYPERLINK("http://ratings.ruchess.ru/people/3425",3425)</f>
        <v>3425</v>
      </c>
      <c r="G6" s="132" t="s">
        <v>596</v>
      </c>
      <c r="H6" s="132" t="s">
        <v>748</v>
      </c>
      <c r="I6" s="122">
        <f>HYPERLINK("https://ratings.fide.com/card.phtml?event=24180211",24180211)</f>
        <v>24180211</v>
      </c>
      <c r="J6" s="132" t="s">
        <v>596</v>
      </c>
      <c r="K6" s="132" t="s">
        <v>748</v>
      </c>
      <c r="L6" s="123" t="s">
        <v>644</v>
      </c>
      <c r="M6" s="132" t="s">
        <v>596</v>
      </c>
      <c r="N6" s="132" t="s">
        <v>748</v>
      </c>
      <c r="O6" s="124">
        <v>1972</v>
      </c>
      <c r="P6" s="132" t="s">
        <v>596</v>
      </c>
      <c r="Q6" s="132" t="s">
        <v>748</v>
      </c>
      <c r="R6" s="127" t="s">
        <v>281</v>
      </c>
      <c r="S6" s="132" t="s">
        <v>596</v>
      </c>
      <c r="T6" s="132" t="s">
        <v>748</v>
      </c>
      <c r="U6" s="124">
        <v>2344</v>
      </c>
      <c r="V6" s="132" t="s">
        <v>596</v>
      </c>
      <c r="W6" s="132" t="s">
        <v>785</v>
      </c>
      <c r="X6" s="126" t="s">
        <v>641</v>
      </c>
      <c r="Y6" s="132" t="s">
        <v>596</v>
      </c>
      <c r="Z6" s="132" t="s">
        <v>748</v>
      </c>
      <c r="AA6" s="124">
        <v>2193</v>
      </c>
      <c r="AB6" s="132" t="s">
        <v>596</v>
      </c>
      <c r="AC6" s="132" t="s">
        <v>785</v>
      </c>
      <c r="AD6" s="126">
        <v>-16</v>
      </c>
      <c r="AE6" s="132" t="s">
        <v>596</v>
      </c>
      <c r="AF6" s="132" t="s">
        <v>748</v>
      </c>
      <c r="AG6" s="124">
        <v>2169</v>
      </c>
      <c r="AH6" s="132" t="s">
        <v>596</v>
      </c>
      <c r="AI6" s="132" t="s">
        <v>785</v>
      </c>
      <c r="AJ6" s="126">
        <v>32</v>
      </c>
      <c r="AK6" s="132" t="s">
        <v>596</v>
      </c>
      <c r="AL6" s="132" t="s">
        <v>748</v>
      </c>
      <c r="AM6" s="124">
        <v>2337</v>
      </c>
      <c r="AN6" s="132" t="s">
        <v>596</v>
      </c>
      <c r="AO6" s="132" t="s">
        <v>785</v>
      </c>
      <c r="AP6" s="126" t="s">
        <v>641</v>
      </c>
      <c r="AQ6" s="132" t="s">
        <v>596</v>
      </c>
      <c r="AR6" s="132" t="s">
        <v>748</v>
      </c>
      <c r="AS6" s="124">
        <v>2190</v>
      </c>
      <c r="AT6" s="132" t="s">
        <v>596</v>
      </c>
      <c r="AU6" s="132" t="s">
        <v>785</v>
      </c>
      <c r="AV6" s="126">
        <v>16</v>
      </c>
      <c r="AW6" s="132" t="s">
        <v>596</v>
      </c>
      <c r="AX6" s="132" t="s">
        <v>748</v>
      </c>
      <c r="AY6" s="124">
        <v>2180</v>
      </c>
      <c r="AZ6" s="132" t="s">
        <v>596</v>
      </c>
      <c r="BA6" s="132" t="s">
        <v>785</v>
      </c>
      <c r="BB6" s="126">
        <v>16</v>
      </c>
      <c r="BC6" s="132" t="s">
        <v>596</v>
      </c>
      <c r="BD6" s="131" t="s">
        <v>594</v>
      </c>
    </row>
    <row r="7" spans="1:56">
      <c r="A7" s="130" t="s">
        <v>746</v>
      </c>
      <c r="B7" s="130" t="s">
        <v>748</v>
      </c>
      <c r="C7" s="115">
        <f t="shared" si="0"/>
        <v>5</v>
      </c>
      <c r="D7" s="132" t="s">
        <v>596</v>
      </c>
      <c r="E7" s="132" t="s">
        <v>748</v>
      </c>
      <c r="F7" s="116">
        <f>HYPERLINK("http://ratings.ruchess.ru/people/16802",16802)</f>
        <v>16802</v>
      </c>
      <c r="G7" s="132" t="s">
        <v>596</v>
      </c>
      <c r="H7" s="132" t="s">
        <v>748</v>
      </c>
      <c r="I7" s="116">
        <f>HYPERLINK("https://ratings.fide.com/card.phtml?event=24132918",24132918)</f>
        <v>24132918</v>
      </c>
      <c r="J7" s="132" t="s">
        <v>596</v>
      </c>
      <c r="K7" s="132" t="s">
        <v>748</v>
      </c>
      <c r="L7" s="117" t="s">
        <v>645</v>
      </c>
      <c r="M7" s="132" t="s">
        <v>596</v>
      </c>
      <c r="N7" s="132" t="s">
        <v>748</v>
      </c>
      <c r="O7" s="118">
        <v>1961</v>
      </c>
      <c r="P7" s="132" t="s">
        <v>596</v>
      </c>
      <c r="Q7" s="132" t="s">
        <v>748</v>
      </c>
      <c r="R7" s="119" t="s">
        <v>641</v>
      </c>
      <c r="S7" s="132" t="s">
        <v>596</v>
      </c>
      <c r="T7" s="132" t="s">
        <v>748</v>
      </c>
      <c r="U7" s="118">
        <v>2340</v>
      </c>
      <c r="V7" s="132" t="s">
        <v>596</v>
      </c>
      <c r="W7" s="132" t="s">
        <v>785</v>
      </c>
      <c r="X7" s="120" t="s">
        <v>641</v>
      </c>
      <c r="Y7" s="132" t="s">
        <v>596</v>
      </c>
      <c r="Z7" s="132" t="s">
        <v>748</v>
      </c>
      <c r="AA7" s="118">
        <v>2249</v>
      </c>
      <c r="AB7" s="132" t="s">
        <v>596</v>
      </c>
      <c r="AC7" s="132" t="s">
        <v>785</v>
      </c>
      <c r="AD7" s="120" t="s">
        <v>641</v>
      </c>
      <c r="AE7" s="132" t="s">
        <v>596</v>
      </c>
      <c r="AF7" s="132" t="s">
        <v>748</v>
      </c>
      <c r="AG7" s="118">
        <v>0</v>
      </c>
      <c r="AH7" s="132" t="s">
        <v>596</v>
      </c>
      <c r="AI7" s="132" t="s">
        <v>785</v>
      </c>
      <c r="AJ7" s="120" t="s">
        <v>641</v>
      </c>
      <c r="AK7" s="132" t="s">
        <v>596</v>
      </c>
      <c r="AL7" s="132" t="s">
        <v>748</v>
      </c>
      <c r="AM7" s="118">
        <v>2320</v>
      </c>
      <c r="AN7" s="132" t="s">
        <v>596</v>
      </c>
      <c r="AO7" s="132" t="s">
        <v>785</v>
      </c>
      <c r="AP7" s="120" t="s">
        <v>641</v>
      </c>
      <c r="AQ7" s="132" t="s">
        <v>596</v>
      </c>
      <c r="AR7" s="132" t="s">
        <v>748</v>
      </c>
      <c r="AS7" s="118">
        <v>2250</v>
      </c>
      <c r="AT7" s="132" t="s">
        <v>596</v>
      </c>
      <c r="AU7" s="132" t="s">
        <v>785</v>
      </c>
      <c r="AV7" s="120" t="s">
        <v>641</v>
      </c>
      <c r="AW7" s="132" t="s">
        <v>596</v>
      </c>
      <c r="AX7" s="132" t="s">
        <v>748</v>
      </c>
      <c r="AY7" s="118">
        <v>2355</v>
      </c>
      <c r="AZ7" s="132" t="s">
        <v>596</v>
      </c>
      <c r="BA7" s="132" t="s">
        <v>785</v>
      </c>
      <c r="BB7" s="120" t="s">
        <v>641</v>
      </c>
      <c r="BC7" s="132" t="s">
        <v>596</v>
      </c>
      <c r="BD7" s="131" t="s">
        <v>594</v>
      </c>
    </row>
    <row r="8" spans="1:56">
      <c r="A8" s="130" t="s">
        <v>746</v>
      </c>
      <c r="B8" s="130" t="s">
        <v>748</v>
      </c>
      <c r="C8" s="121">
        <f t="shared" si="0"/>
        <v>6</v>
      </c>
      <c r="D8" s="132" t="s">
        <v>596</v>
      </c>
      <c r="E8" s="132" t="s">
        <v>748</v>
      </c>
      <c r="F8" s="122">
        <f>HYPERLINK("http://ratings.ruchess.ru/people/3503",3503)</f>
        <v>3503</v>
      </c>
      <c r="G8" s="132" t="s">
        <v>596</v>
      </c>
      <c r="H8" s="132" t="s">
        <v>748</v>
      </c>
      <c r="I8" s="122">
        <f>HYPERLINK("https://ratings.fide.com/card.phtml?event=34128384",34128384)</f>
        <v>34128384</v>
      </c>
      <c r="J8" s="132" t="s">
        <v>596</v>
      </c>
      <c r="K8" s="132" t="s">
        <v>748</v>
      </c>
      <c r="L8" s="123" t="s">
        <v>646</v>
      </c>
      <c r="M8" s="132" t="s">
        <v>596</v>
      </c>
      <c r="N8" s="132" t="s">
        <v>748</v>
      </c>
      <c r="O8" s="124">
        <v>1982</v>
      </c>
      <c r="P8" s="132" t="s">
        <v>596</v>
      </c>
      <c r="Q8" s="132" t="s">
        <v>748</v>
      </c>
      <c r="R8" s="127" t="s">
        <v>226</v>
      </c>
      <c r="S8" s="132" t="s">
        <v>596</v>
      </c>
      <c r="T8" s="132" t="s">
        <v>748</v>
      </c>
      <c r="U8" s="124">
        <v>2295</v>
      </c>
      <c r="V8" s="132" t="s">
        <v>596</v>
      </c>
      <c r="W8" s="132" t="s">
        <v>785</v>
      </c>
      <c r="X8" s="126">
        <v>15</v>
      </c>
      <c r="Y8" s="132" t="s">
        <v>596</v>
      </c>
      <c r="Z8" s="132" t="s">
        <v>748</v>
      </c>
      <c r="AA8" s="124">
        <v>2377</v>
      </c>
      <c r="AB8" s="132" t="s">
        <v>596</v>
      </c>
      <c r="AC8" s="132" t="s">
        <v>785</v>
      </c>
      <c r="AD8" s="126">
        <v>32</v>
      </c>
      <c r="AE8" s="132" t="s">
        <v>596</v>
      </c>
      <c r="AF8" s="132" t="s">
        <v>748</v>
      </c>
      <c r="AG8" s="124">
        <v>2325</v>
      </c>
      <c r="AH8" s="132" t="s">
        <v>596</v>
      </c>
      <c r="AI8" s="132" t="s">
        <v>785</v>
      </c>
      <c r="AJ8" s="126">
        <v>5</v>
      </c>
      <c r="AK8" s="132" t="s">
        <v>596</v>
      </c>
      <c r="AL8" s="132" t="s">
        <v>748</v>
      </c>
      <c r="AM8" s="124">
        <v>2301</v>
      </c>
      <c r="AN8" s="132" t="s">
        <v>596</v>
      </c>
      <c r="AO8" s="132" t="s">
        <v>785</v>
      </c>
      <c r="AP8" s="126" t="s">
        <v>641</v>
      </c>
      <c r="AQ8" s="132" t="s">
        <v>596</v>
      </c>
      <c r="AR8" s="132" t="s">
        <v>748</v>
      </c>
      <c r="AS8" s="124">
        <v>2401</v>
      </c>
      <c r="AT8" s="132" t="s">
        <v>596</v>
      </c>
      <c r="AU8" s="132" t="s">
        <v>785</v>
      </c>
      <c r="AV8" s="126">
        <v>25</v>
      </c>
      <c r="AW8" s="132" t="s">
        <v>596</v>
      </c>
      <c r="AX8" s="132" t="s">
        <v>748</v>
      </c>
      <c r="AY8" s="124">
        <v>2348</v>
      </c>
      <c r="AZ8" s="132" t="s">
        <v>596</v>
      </c>
      <c r="BA8" s="132" t="s">
        <v>785</v>
      </c>
      <c r="BB8" s="126">
        <v>-1</v>
      </c>
      <c r="BC8" s="132" t="s">
        <v>596</v>
      </c>
      <c r="BD8" s="131" t="s">
        <v>594</v>
      </c>
    </row>
    <row r="9" spans="1:56">
      <c r="A9" s="130" t="s">
        <v>746</v>
      </c>
      <c r="B9" s="130" t="s">
        <v>748</v>
      </c>
      <c r="C9" s="115">
        <f t="shared" si="0"/>
        <v>7</v>
      </c>
      <c r="D9" s="132" t="s">
        <v>596</v>
      </c>
      <c r="E9" s="132" t="s">
        <v>748</v>
      </c>
      <c r="F9" s="116">
        <f>HYPERLINK("http://ratings.ruchess.ru/people/19379",19379)</f>
        <v>19379</v>
      </c>
      <c r="G9" s="132" t="s">
        <v>596</v>
      </c>
      <c r="H9" s="132" t="s">
        <v>748</v>
      </c>
      <c r="I9" s="116">
        <f>HYPERLINK("https://ratings.fide.com/card.phtml?event=4153820",4153820)</f>
        <v>4153820</v>
      </c>
      <c r="J9" s="132" t="s">
        <v>596</v>
      </c>
      <c r="K9" s="132" t="s">
        <v>748</v>
      </c>
      <c r="L9" s="117" t="s">
        <v>647</v>
      </c>
      <c r="M9" s="132" t="s">
        <v>596</v>
      </c>
      <c r="N9" s="132" t="s">
        <v>748</v>
      </c>
      <c r="O9" s="118">
        <v>1970</v>
      </c>
      <c r="P9" s="132" t="s">
        <v>596</v>
      </c>
      <c r="Q9" s="132" t="s">
        <v>748</v>
      </c>
      <c r="R9" s="119" t="s">
        <v>641</v>
      </c>
      <c r="S9" s="132" t="s">
        <v>596</v>
      </c>
      <c r="T9" s="132" t="s">
        <v>748</v>
      </c>
      <c r="U9" s="118">
        <v>2295</v>
      </c>
      <c r="V9" s="132" t="s">
        <v>596</v>
      </c>
      <c r="W9" s="132" t="s">
        <v>785</v>
      </c>
      <c r="X9" s="120" t="s">
        <v>641</v>
      </c>
      <c r="Y9" s="132" t="s">
        <v>596</v>
      </c>
      <c r="Z9" s="132" t="s">
        <v>748</v>
      </c>
      <c r="AA9" s="118">
        <v>2282</v>
      </c>
      <c r="AB9" s="132" t="s">
        <v>596</v>
      </c>
      <c r="AC9" s="132" t="s">
        <v>785</v>
      </c>
      <c r="AD9" s="120" t="s">
        <v>641</v>
      </c>
      <c r="AE9" s="132" t="s">
        <v>596</v>
      </c>
      <c r="AF9" s="132" t="s">
        <v>748</v>
      </c>
      <c r="AG9" s="118">
        <v>2229</v>
      </c>
      <c r="AH9" s="132" t="s">
        <v>596</v>
      </c>
      <c r="AI9" s="132" t="s">
        <v>785</v>
      </c>
      <c r="AJ9" s="120" t="s">
        <v>641</v>
      </c>
      <c r="AK9" s="132" t="s">
        <v>596</v>
      </c>
      <c r="AL9" s="132" t="s">
        <v>748</v>
      </c>
      <c r="AM9" s="118">
        <v>2295</v>
      </c>
      <c r="AN9" s="132" t="s">
        <v>596</v>
      </c>
      <c r="AO9" s="132" t="s">
        <v>785</v>
      </c>
      <c r="AP9" s="120" t="s">
        <v>641</v>
      </c>
      <c r="AQ9" s="132" t="s">
        <v>596</v>
      </c>
      <c r="AR9" s="132" t="s">
        <v>748</v>
      </c>
      <c r="AS9" s="118">
        <v>2289</v>
      </c>
      <c r="AT9" s="132" t="s">
        <v>596</v>
      </c>
      <c r="AU9" s="132" t="s">
        <v>785</v>
      </c>
      <c r="AV9" s="120" t="s">
        <v>641</v>
      </c>
      <c r="AW9" s="132" t="s">
        <v>596</v>
      </c>
      <c r="AX9" s="132" t="s">
        <v>748</v>
      </c>
      <c r="AY9" s="118">
        <v>2238</v>
      </c>
      <c r="AZ9" s="132" t="s">
        <v>596</v>
      </c>
      <c r="BA9" s="132" t="s">
        <v>785</v>
      </c>
      <c r="BB9" s="120" t="s">
        <v>641</v>
      </c>
      <c r="BC9" s="132" t="s">
        <v>596</v>
      </c>
      <c r="BD9" s="131" t="s">
        <v>594</v>
      </c>
    </row>
    <row r="10" spans="1:56">
      <c r="A10" s="130" t="s">
        <v>746</v>
      </c>
      <c r="B10" s="130" t="s">
        <v>748</v>
      </c>
      <c r="C10" s="121">
        <f t="shared" si="0"/>
        <v>8</v>
      </c>
      <c r="D10" s="132" t="s">
        <v>596</v>
      </c>
      <c r="E10" s="132" t="s">
        <v>748</v>
      </c>
      <c r="F10" s="122">
        <f>HYPERLINK("http://ratings.ruchess.ru/people/1021",1021)</f>
        <v>1021</v>
      </c>
      <c r="G10" s="132" t="s">
        <v>596</v>
      </c>
      <c r="H10" s="132" t="s">
        <v>748</v>
      </c>
      <c r="I10" s="122">
        <f>HYPERLINK("https://ratings.fide.com/card.phtml?event=34101516",34101516)</f>
        <v>34101516</v>
      </c>
      <c r="J10" s="132" t="s">
        <v>596</v>
      </c>
      <c r="K10" s="132" t="s">
        <v>748</v>
      </c>
      <c r="L10" s="123" t="s">
        <v>648</v>
      </c>
      <c r="M10" s="132" t="s">
        <v>596</v>
      </c>
      <c r="N10" s="132" t="s">
        <v>748</v>
      </c>
      <c r="O10" s="124">
        <v>1978</v>
      </c>
      <c r="P10" s="132" t="s">
        <v>596</v>
      </c>
      <c r="Q10" s="132" t="s">
        <v>748</v>
      </c>
      <c r="R10" s="127" t="s">
        <v>226</v>
      </c>
      <c r="S10" s="132" t="s">
        <v>596</v>
      </c>
      <c r="T10" s="132" t="s">
        <v>748</v>
      </c>
      <c r="U10" s="124">
        <v>2292</v>
      </c>
      <c r="V10" s="132" t="s">
        <v>596</v>
      </c>
      <c r="W10" s="132" t="s">
        <v>785</v>
      </c>
      <c r="X10" s="126" t="s">
        <v>641</v>
      </c>
      <c r="Y10" s="132" t="s">
        <v>596</v>
      </c>
      <c r="Z10" s="132" t="s">
        <v>748</v>
      </c>
      <c r="AA10" s="124">
        <v>2135</v>
      </c>
      <c r="AB10" s="132" t="s">
        <v>596</v>
      </c>
      <c r="AC10" s="132" t="s">
        <v>785</v>
      </c>
      <c r="AD10" s="126" t="s">
        <v>641</v>
      </c>
      <c r="AE10" s="132" t="s">
        <v>596</v>
      </c>
      <c r="AF10" s="132" t="s">
        <v>748</v>
      </c>
      <c r="AG10" s="124">
        <v>2141</v>
      </c>
      <c r="AH10" s="132" t="s">
        <v>596</v>
      </c>
      <c r="AI10" s="132" t="s">
        <v>785</v>
      </c>
      <c r="AJ10" s="126" t="s">
        <v>641</v>
      </c>
      <c r="AK10" s="132" t="s">
        <v>596</v>
      </c>
      <c r="AL10" s="132" t="s">
        <v>748</v>
      </c>
      <c r="AM10" s="124">
        <v>2298</v>
      </c>
      <c r="AN10" s="132" t="s">
        <v>596</v>
      </c>
      <c r="AO10" s="132" t="s">
        <v>785</v>
      </c>
      <c r="AP10" s="126" t="s">
        <v>641</v>
      </c>
      <c r="AQ10" s="132" t="s">
        <v>596</v>
      </c>
      <c r="AR10" s="132" t="s">
        <v>748</v>
      </c>
      <c r="AS10" s="124">
        <v>2213</v>
      </c>
      <c r="AT10" s="132" t="s">
        <v>596</v>
      </c>
      <c r="AU10" s="132" t="s">
        <v>785</v>
      </c>
      <c r="AV10" s="126" t="s">
        <v>641</v>
      </c>
      <c r="AW10" s="132" t="s">
        <v>596</v>
      </c>
      <c r="AX10" s="132" t="s">
        <v>748</v>
      </c>
      <c r="AY10" s="124">
        <v>2130</v>
      </c>
      <c r="AZ10" s="132" t="s">
        <v>596</v>
      </c>
      <c r="BA10" s="132" t="s">
        <v>785</v>
      </c>
      <c r="BB10" s="126">
        <v>4</v>
      </c>
      <c r="BC10" s="132" t="s">
        <v>596</v>
      </c>
      <c r="BD10" s="131" t="s">
        <v>594</v>
      </c>
    </row>
    <row r="11" spans="1:56">
      <c r="A11" s="130" t="s">
        <v>746</v>
      </c>
      <c r="B11" s="130" t="s">
        <v>748</v>
      </c>
      <c r="C11" s="115">
        <f t="shared" si="0"/>
        <v>9</v>
      </c>
      <c r="D11" s="132" t="s">
        <v>596</v>
      </c>
      <c r="E11" s="132" t="s">
        <v>748</v>
      </c>
      <c r="F11" s="116">
        <f>HYPERLINK("http://ratings.ruchess.ru/people/995",995)</f>
        <v>995</v>
      </c>
      <c r="G11" s="132" t="s">
        <v>596</v>
      </c>
      <c r="H11" s="132" t="s">
        <v>748</v>
      </c>
      <c r="I11" s="116">
        <f>HYPERLINK("https://ratings.fide.com/card.phtml?event=24132853",24132853)</f>
        <v>24132853</v>
      </c>
      <c r="J11" s="132" t="s">
        <v>596</v>
      </c>
      <c r="K11" s="132" t="s">
        <v>748</v>
      </c>
      <c r="L11" s="117" t="s">
        <v>649</v>
      </c>
      <c r="M11" s="132" t="s">
        <v>596</v>
      </c>
      <c r="N11" s="132" t="s">
        <v>748</v>
      </c>
      <c r="O11" s="118">
        <v>1986</v>
      </c>
      <c r="P11" s="132" t="s">
        <v>596</v>
      </c>
      <c r="Q11" s="132" t="s">
        <v>748</v>
      </c>
      <c r="R11" s="119" t="s">
        <v>291</v>
      </c>
      <c r="S11" s="132" t="s">
        <v>596</v>
      </c>
      <c r="T11" s="132" t="s">
        <v>748</v>
      </c>
      <c r="U11" s="118">
        <v>2276</v>
      </c>
      <c r="V11" s="132" t="s">
        <v>596</v>
      </c>
      <c r="W11" s="132" t="s">
        <v>785</v>
      </c>
      <c r="X11" s="120" t="s">
        <v>641</v>
      </c>
      <c r="Y11" s="132" t="s">
        <v>596</v>
      </c>
      <c r="Z11" s="132" t="s">
        <v>748</v>
      </c>
      <c r="AA11" s="118">
        <v>0</v>
      </c>
      <c r="AB11" s="132" t="s">
        <v>596</v>
      </c>
      <c r="AC11" s="132" t="s">
        <v>785</v>
      </c>
      <c r="AD11" s="120" t="s">
        <v>641</v>
      </c>
      <c r="AE11" s="132" t="s">
        <v>596</v>
      </c>
      <c r="AF11" s="132" t="s">
        <v>748</v>
      </c>
      <c r="AG11" s="118">
        <v>0</v>
      </c>
      <c r="AH11" s="132" t="s">
        <v>596</v>
      </c>
      <c r="AI11" s="132" t="s">
        <v>785</v>
      </c>
      <c r="AJ11" s="120" t="s">
        <v>641</v>
      </c>
      <c r="AK11" s="132" t="s">
        <v>596</v>
      </c>
      <c r="AL11" s="132" t="s">
        <v>748</v>
      </c>
      <c r="AM11" s="118">
        <v>2269</v>
      </c>
      <c r="AN11" s="132" t="s">
        <v>596</v>
      </c>
      <c r="AO11" s="132" t="s">
        <v>785</v>
      </c>
      <c r="AP11" s="120" t="s">
        <v>641</v>
      </c>
      <c r="AQ11" s="132" t="s">
        <v>596</v>
      </c>
      <c r="AR11" s="132" t="s">
        <v>748</v>
      </c>
      <c r="AS11" s="118">
        <v>2302</v>
      </c>
      <c r="AT11" s="132" t="s">
        <v>596</v>
      </c>
      <c r="AU11" s="132" t="s">
        <v>785</v>
      </c>
      <c r="AV11" s="120" t="s">
        <v>641</v>
      </c>
      <c r="AW11" s="132" t="s">
        <v>596</v>
      </c>
      <c r="AX11" s="132" t="s">
        <v>748</v>
      </c>
      <c r="AY11" s="118">
        <v>0</v>
      </c>
      <c r="AZ11" s="132" t="s">
        <v>596</v>
      </c>
      <c r="BA11" s="132" t="s">
        <v>785</v>
      </c>
      <c r="BB11" s="120" t="s">
        <v>641</v>
      </c>
      <c r="BC11" s="132" t="s">
        <v>596</v>
      </c>
      <c r="BD11" s="131" t="s">
        <v>594</v>
      </c>
    </row>
    <row r="12" spans="1:56">
      <c r="A12" s="130" t="s">
        <v>746</v>
      </c>
      <c r="B12" s="130" t="s">
        <v>748</v>
      </c>
      <c r="C12" s="121">
        <f t="shared" si="0"/>
        <v>10</v>
      </c>
      <c r="D12" s="132" t="s">
        <v>596</v>
      </c>
      <c r="E12" s="132" t="s">
        <v>748</v>
      </c>
      <c r="F12" s="122">
        <f>HYPERLINK("http://ratings.ruchess.ru/people/3506",3506)</f>
        <v>3506</v>
      </c>
      <c r="G12" s="132" t="s">
        <v>596</v>
      </c>
      <c r="H12" s="132" t="s">
        <v>748</v>
      </c>
      <c r="I12" s="122">
        <f>HYPERLINK("https://ratings.fide.com/card.phtml?event=34185949",34185949)</f>
        <v>34185949</v>
      </c>
      <c r="J12" s="132" t="s">
        <v>596</v>
      </c>
      <c r="K12" s="132" t="s">
        <v>748</v>
      </c>
      <c r="L12" s="123" t="s">
        <v>650</v>
      </c>
      <c r="M12" s="132" t="s">
        <v>596</v>
      </c>
      <c r="N12" s="132" t="s">
        <v>748</v>
      </c>
      <c r="O12" s="124">
        <v>1998</v>
      </c>
      <c r="P12" s="132" t="s">
        <v>596</v>
      </c>
      <c r="Q12" s="132" t="s">
        <v>748</v>
      </c>
      <c r="R12" s="125" t="s">
        <v>786</v>
      </c>
      <c r="S12" s="132" t="s">
        <v>596</v>
      </c>
      <c r="T12" s="132" t="s">
        <v>748</v>
      </c>
      <c r="U12" s="124">
        <v>2256</v>
      </c>
      <c r="V12" s="132" t="s">
        <v>596</v>
      </c>
      <c r="W12" s="132" t="s">
        <v>785</v>
      </c>
      <c r="X12" s="126" t="s">
        <v>641</v>
      </c>
      <c r="Y12" s="132" t="s">
        <v>596</v>
      </c>
      <c r="Z12" s="132" t="s">
        <v>748</v>
      </c>
      <c r="AA12" s="124">
        <v>2217</v>
      </c>
      <c r="AB12" s="132" t="s">
        <v>596</v>
      </c>
      <c r="AC12" s="132" t="s">
        <v>785</v>
      </c>
      <c r="AD12" s="126">
        <v>-2</v>
      </c>
      <c r="AE12" s="132" t="s">
        <v>596</v>
      </c>
      <c r="AF12" s="132" t="s">
        <v>748</v>
      </c>
      <c r="AG12" s="124">
        <v>2126</v>
      </c>
      <c r="AH12" s="132" t="s">
        <v>596</v>
      </c>
      <c r="AI12" s="132" t="s">
        <v>785</v>
      </c>
      <c r="AJ12" s="126">
        <v>-62</v>
      </c>
      <c r="AK12" s="132" t="s">
        <v>596</v>
      </c>
      <c r="AL12" s="132" t="s">
        <v>748</v>
      </c>
      <c r="AM12" s="124">
        <v>2165</v>
      </c>
      <c r="AN12" s="132" t="s">
        <v>596</v>
      </c>
      <c r="AO12" s="132" t="s">
        <v>785</v>
      </c>
      <c r="AP12" s="126" t="s">
        <v>641</v>
      </c>
      <c r="AQ12" s="132" t="s">
        <v>596</v>
      </c>
      <c r="AR12" s="132" t="s">
        <v>748</v>
      </c>
      <c r="AS12" s="124">
        <v>2179</v>
      </c>
      <c r="AT12" s="132" t="s">
        <v>596</v>
      </c>
      <c r="AU12" s="132" t="s">
        <v>785</v>
      </c>
      <c r="AV12" s="126" t="s">
        <v>641</v>
      </c>
      <c r="AW12" s="132" t="s">
        <v>596</v>
      </c>
      <c r="AX12" s="132" t="s">
        <v>748</v>
      </c>
      <c r="AY12" s="124">
        <v>2169</v>
      </c>
      <c r="AZ12" s="132" t="s">
        <v>596</v>
      </c>
      <c r="BA12" s="132" t="s">
        <v>785</v>
      </c>
      <c r="BB12" s="126">
        <v>-46</v>
      </c>
      <c r="BC12" s="132" t="s">
        <v>596</v>
      </c>
      <c r="BD12" s="131" t="s">
        <v>594</v>
      </c>
    </row>
    <row r="13" spans="1:56">
      <c r="A13" s="130" t="s">
        <v>746</v>
      </c>
      <c r="B13" s="130" t="s">
        <v>748</v>
      </c>
      <c r="C13" s="115">
        <f t="shared" si="0"/>
        <v>11</v>
      </c>
      <c r="D13" s="132" t="s">
        <v>596</v>
      </c>
      <c r="E13" s="132" t="s">
        <v>748</v>
      </c>
      <c r="F13" s="116">
        <f>HYPERLINK("http://ratings.ruchess.ru/people/6571",6571)</f>
        <v>6571</v>
      </c>
      <c r="G13" s="132" t="s">
        <v>596</v>
      </c>
      <c r="H13" s="132" t="s">
        <v>748</v>
      </c>
      <c r="I13" s="116">
        <f>HYPERLINK("https://ratings.fide.com/card.phtml?event=4152492",4152492)</f>
        <v>4152492</v>
      </c>
      <c r="J13" s="132" t="s">
        <v>596</v>
      </c>
      <c r="K13" s="132" t="s">
        <v>748</v>
      </c>
      <c r="L13" s="117" t="s">
        <v>651</v>
      </c>
      <c r="M13" s="132" t="s">
        <v>596</v>
      </c>
      <c r="N13" s="132" t="s">
        <v>748</v>
      </c>
      <c r="O13" s="118">
        <v>1958</v>
      </c>
      <c r="P13" s="132" t="s">
        <v>596</v>
      </c>
      <c r="Q13" s="132" t="s">
        <v>748</v>
      </c>
      <c r="R13" s="128" t="s">
        <v>226</v>
      </c>
      <c r="S13" s="132" t="s">
        <v>596</v>
      </c>
      <c r="T13" s="132" t="s">
        <v>748</v>
      </c>
      <c r="U13" s="118">
        <v>2241</v>
      </c>
      <c r="V13" s="132" t="s">
        <v>596</v>
      </c>
      <c r="W13" s="132" t="s">
        <v>785</v>
      </c>
      <c r="X13" s="120" t="s">
        <v>641</v>
      </c>
      <c r="Y13" s="132" t="s">
        <v>596</v>
      </c>
      <c r="Z13" s="132" t="s">
        <v>748</v>
      </c>
      <c r="AA13" s="118">
        <v>2003</v>
      </c>
      <c r="AB13" s="132" t="s">
        <v>596</v>
      </c>
      <c r="AC13" s="132" t="s">
        <v>785</v>
      </c>
      <c r="AD13" s="120">
        <v>-48</v>
      </c>
      <c r="AE13" s="132" t="s">
        <v>596</v>
      </c>
      <c r="AF13" s="132" t="s">
        <v>748</v>
      </c>
      <c r="AG13" s="118">
        <v>2115</v>
      </c>
      <c r="AH13" s="132" t="s">
        <v>596</v>
      </c>
      <c r="AI13" s="132" t="s">
        <v>785</v>
      </c>
      <c r="AJ13" s="120">
        <v>75</v>
      </c>
      <c r="AK13" s="132" t="s">
        <v>596</v>
      </c>
      <c r="AL13" s="132" t="s">
        <v>748</v>
      </c>
      <c r="AM13" s="118">
        <v>2314</v>
      </c>
      <c r="AN13" s="132" t="s">
        <v>596</v>
      </c>
      <c r="AO13" s="132" t="s">
        <v>785</v>
      </c>
      <c r="AP13" s="120" t="s">
        <v>641</v>
      </c>
      <c r="AQ13" s="132" t="s">
        <v>596</v>
      </c>
      <c r="AR13" s="132" t="s">
        <v>748</v>
      </c>
      <c r="AS13" s="118">
        <v>2000</v>
      </c>
      <c r="AT13" s="132" t="s">
        <v>596</v>
      </c>
      <c r="AU13" s="132" t="s">
        <v>785</v>
      </c>
      <c r="AV13" s="120">
        <v>-13</v>
      </c>
      <c r="AW13" s="132" t="s">
        <v>596</v>
      </c>
      <c r="AX13" s="132" t="s">
        <v>748</v>
      </c>
      <c r="AY13" s="118">
        <v>2037</v>
      </c>
      <c r="AZ13" s="132" t="s">
        <v>596</v>
      </c>
      <c r="BA13" s="132" t="s">
        <v>785</v>
      </c>
      <c r="BB13" s="120">
        <v>85</v>
      </c>
      <c r="BC13" s="132" t="s">
        <v>596</v>
      </c>
      <c r="BD13" s="131" t="s">
        <v>594</v>
      </c>
    </row>
    <row r="14" spans="1:56">
      <c r="A14" s="130" t="s">
        <v>746</v>
      </c>
      <c r="B14" s="130" t="s">
        <v>748</v>
      </c>
      <c r="C14" s="121">
        <f t="shared" si="0"/>
        <v>12</v>
      </c>
      <c r="D14" s="132" t="s">
        <v>596</v>
      </c>
      <c r="E14" s="132" t="s">
        <v>748</v>
      </c>
      <c r="F14" s="122">
        <f>HYPERLINK("http://ratings.ruchess.ru/people/111587",111587)</f>
        <v>111587</v>
      </c>
      <c r="G14" s="132" t="s">
        <v>596</v>
      </c>
      <c r="H14" s="132" t="s">
        <v>748</v>
      </c>
      <c r="I14" s="122">
        <f>HYPERLINK("https://ratings.fide.com/card.phtml?event=4136551",4136551)</f>
        <v>4136551</v>
      </c>
      <c r="J14" s="132" t="s">
        <v>596</v>
      </c>
      <c r="K14" s="132" t="s">
        <v>748</v>
      </c>
      <c r="L14" s="123" t="s">
        <v>652</v>
      </c>
      <c r="M14" s="132" t="s">
        <v>596</v>
      </c>
      <c r="N14" s="132" t="s">
        <v>748</v>
      </c>
      <c r="O14" s="124">
        <v>1962</v>
      </c>
      <c r="P14" s="132" t="s">
        <v>596</v>
      </c>
      <c r="Q14" s="132" t="s">
        <v>748</v>
      </c>
      <c r="R14" s="127" t="s">
        <v>281</v>
      </c>
      <c r="S14" s="132" t="s">
        <v>596</v>
      </c>
      <c r="T14" s="132" t="s">
        <v>748</v>
      </c>
      <c r="U14" s="124">
        <v>2234</v>
      </c>
      <c r="V14" s="132" t="s">
        <v>596</v>
      </c>
      <c r="W14" s="132" t="s">
        <v>785</v>
      </c>
      <c r="X14" s="126" t="s">
        <v>641</v>
      </c>
      <c r="Y14" s="132" t="s">
        <v>596</v>
      </c>
      <c r="Z14" s="132" t="s">
        <v>748</v>
      </c>
      <c r="AA14" s="124">
        <v>0</v>
      </c>
      <c r="AB14" s="132" t="s">
        <v>596</v>
      </c>
      <c r="AC14" s="132" t="s">
        <v>785</v>
      </c>
      <c r="AD14" s="126" t="s">
        <v>641</v>
      </c>
      <c r="AE14" s="132" t="s">
        <v>596</v>
      </c>
      <c r="AF14" s="132" t="s">
        <v>748</v>
      </c>
      <c r="AG14" s="124">
        <v>0</v>
      </c>
      <c r="AH14" s="132" t="s">
        <v>596</v>
      </c>
      <c r="AI14" s="132" t="s">
        <v>785</v>
      </c>
      <c r="AJ14" s="126" t="s">
        <v>641</v>
      </c>
      <c r="AK14" s="132" t="s">
        <v>596</v>
      </c>
      <c r="AL14" s="132" t="s">
        <v>748</v>
      </c>
      <c r="AM14" s="124">
        <v>2229</v>
      </c>
      <c r="AN14" s="132" t="s">
        <v>596</v>
      </c>
      <c r="AO14" s="132" t="s">
        <v>785</v>
      </c>
      <c r="AP14" s="126" t="s">
        <v>641</v>
      </c>
      <c r="AQ14" s="132" t="s">
        <v>596</v>
      </c>
      <c r="AR14" s="132" t="s">
        <v>748</v>
      </c>
      <c r="AS14" s="124">
        <v>0</v>
      </c>
      <c r="AT14" s="132" t="s">
        <v>596</v>
      </c>
      <c r="AU14" s="132" t="s">
        <v>785</v>
      </c>
      <c r="AV14" s="126" t="s">
        <v>641</v>
      </c>
      <c r="AW14" s="132" t="s">
        <v>596</v>
      </c>
      <c r="AX14" s="132" t="s">
        <v>748</v>
      </c>
      <c r="AY14" s="124">
        <v>2244</v>
      </c>
      <c r="AZ14" s="132" t="s">
        <v>596</v>
      </c>
      <c r="BA14" s="132" t="s">
        <v>785</v>
      </c>
      <c r="BB14" s="126" t="s">
        <v>641</v>
      </c>
      <c r="BC14" s="132" t="s">
        <v>596</v>
      </c>
      <c r="BD14" s="131" t="s">
        <v>594</v>
      </c>
    </row>
    <row r="15" spans="1:56">
      <c r="A15" s="130" t="s">
        <v>746</v>
      </c>
      <c r="B15" s="130" t="s">
        <v>748</v>
      </c>
      <c r="C15" s="115">
        <f t="shared" si="0"/>
        <v>13</v>
      </c>
      <c r="D15" s="132" t="s">
        <v>596</v>
      </c>
      <c r="E15" s="132" t="s">
        <v>748</v>
      </c>
      <c r="F15" s="116">
        <f>HYPERLINK("http://ratings.ruchess.ru/people/3523",3523)</f>
        <v>3523</v>
      </c>
      <c r="G15" s="132" t="s">
        <v>596</v>
      </c>
      <c r="H15" s="132" t="s">
        <v>748</v>
      </c>
      <c r="I15" s="116">
        <f>HYPERLINK("https://ratings.fide.com/card.phtml?event=24126829",24126829)</f>
        <v>24126829</v>
      </c>
      <c r="J15" s="132" t="s">
        <v>596</v>
      </c>
      <c r="K15" s="132" t="s">
        <v>748</v>
      </c>
      <c r="L15" s="117" t="s">
        <v>653</v>
      </c>
      <c r="M15" s="132" t="s">
        <v>596</v>
      </c>
      <c r="N15" s="132" t="s">
        <v>748</v>
      </c>
      <c r="O15" s="118">
        <v>1968</v>
      </c>
      <c r="P15" s="132" t="s">
        <v>596</v>
      </c>
      <c r="Q15" s="132" t="s">
        <v>748</v>
      </c>
      <c r="R15" s="119" t="s">
        <v>226</v>
      </c>
      <c r="S15" s="132" t="s">
        <v>596</v>
      </c>
      <c r="T15" s="132" t="s">
        <v>748</v>
      </c>
      <c r="U15" s="118">
        <v>2202</v>
      </c>
      <c r="V15" s="132" t="s">
        <v>596</v>
      </c>
      <c r="W15" s="132" t="s">
        <v>785</v>
      </c>
      <c r="X15" s="120" t="s">
        <v>641</v>
      </c>
      <c r="Y15" s="132" t="s">
        <v>596</v>
      </c>
      <c r="Z15" s="132" t="s">
        <v>748</v>
      </c>
      <c r="AA15" s="118">
        <v>2017</v>
      </c>
      <c r="AB15" s="132" t="s">
        <v>596</v>
      </c>
      <c r="AC15" s="132" t="s">
        <v>785</v>
      </c>
      <c r="AD15" s="120" t="s">
        <v>641</v>
      </c>
      <c r="AE15" s="132" t="s">
        <v>596</v>
      </c>
      <c r="AF15" s="132" t="s">
        <v>748</v>
      </c>
      <c r="AG15" s="118">
        <v>2101</v>
      </c>
      <c r="AH15" s="132" t="s">
        <v>596</v>
      </c>
      <c r="AI15" s="132" t="s">
        <v>785</v>
      </c>
      <c r="AJ15" s="120">
        <v>1</v>
      </c>
      <c r="AK15" s="132" t="s">
        <v>596</v>
      </c>
      <c r="AL15" s="132" t="s">
        <v>748</v>
      </c>
      <c r="AM15" s="118">
        <v>2187</v>
      </c>
      <c r="AN15" s="132" t="s">
        <v>596</v>
      </c>
      <c r="AO15" s="132" t="s">
        <v>785</v>
      </c>
      <c r="AP15" s="120" t="s">
        <v>641</v>
      </c>
      <c r="AQ15" s="132" t="s">
        <v>596</v>
      </c>
      <c r="AR15" s="132" t="s">
        <v>748</v>
      </c>
      <c r="AS15" s="118">
        <v>2091</v>
      </c>
      <c r="AT15" s="132" t="s">
        <v>596</v>
      </c>
      <c r="AU15" s="132" t="s">
        <v>785</v>
      </c>
      <c r="AV15" s="120" t="s">
        <v>641</v>
      </c>
      <c r="AW15" s="132" t="s">
        <v>596</v>
      </c>
      <c r="AX15" s="132" t="s">
        <v>748</v>
      </c>
      <c r="AY15" s="118">
        <v>2091</v>
      </c>
      <c r="AZ15" s="132" t="s">
        <v>596</v>
      </c>
      <c r="BA15" s="132" t="s">
        <v>785</v>
      </c>
      <c r="BB15" s="120" t="s">
        <v>641</v>
      </c>
      <c r="BC15" s="132" t="s">
        <v>596</v>
      </c>
      <c r="BD15" s="131" t="s">
        <v>594</v>
      </c>
    </row>
    <row r="16" spans="1:56">
      <c r="A16" s="130" t="s">
        <v>746</v>
      </c>
      <c r="B16" s="130" t="s">
        <v>748</v>
      </c>
      <c r="C16" s="121">
        <f t="shared" si="0"/>
        <v>14</v>
      </c>
      <c r="D16" s="132" t="s">
        <v>596</v>
      </c>
      <c r="E16" s="132" t="s">
        <v>748</v>
      </c>
      <c r="F16" s="122">
        <f>HYPERLINK("http://ratings.ruchess.ru/people/113491",113491)</f>
        <v>113491</v>
      </c>
      <c r="G16" s="132" t="s">
        <v>596</v>
      </c>
      <c r="H16" s="132" t="s">
        <v>748</v>
      </c>
      <c r="I16" s="122">
        <f>HYPERLINK("https://ratings.fide.com/card.phtml?event=4179617",4179617)</f>
        <v>4179617</v>
      </c>
      <c r="J16" s="132" t="s">
        <v>596</v>
      </c>
      <c r="K16" s="132" t="s">
        <v>748</v>
      </c>
      <c r="L16" s="123" t="s">
        <v>654</v>
      </c>
      <c r="M16" s="132" t="s">
        <v>596</v>
      </c>
      <c r="N16" s="132" t="s">
        <v>748</v>
      </c>
      <c r="O16" s="124">
        <v>1967</v>
      </c>
      <c r="P16" s="132" t="s">
        <v>596</v>
      </c>
      <c r="Q16" s="132" t="s">
        <v>748</v>
      </c>
      <c r="R16" s="127" t="s">
        <v>226</v>
      </c>
      <c r="S16" s="132" t="s">
        <v>596</v>
      </c>
      <c r="T16" s="132" t="s">
        <v>748</v>
      </c>
      <c r="U16" s="124">
        <v>2202</v>
      </c>
      <c r="V16" s="132" t="s">
        <v>596</v>
      </c>
      <c r="W16" s="132" t="s">
        <v>785</v>
      </c>
      <c r="X16" s="126" t="s">
        <v>641</v>
      </c>
      <c r="Y16" s="132" t="s">
        <v>596</v>
      </c>
      <c r="Z16" s="132" t="s">
        <v>748</v>
      </c>
      <c r="AA16" s="124">
        <v>0</v>
      </c>
      <c r="AB16" s="132" t="s">
        <v>596</v>
      </c>
      <c r="AC16" s="132" t="s">
        <v>785</v>
      </c>
      <c r="AD16" s="126" t="s">
        <v>641</v>
      </c>
      <c r="AE16" s="132" t="s">
        <v>596</v>
      </c>
      <c r="AF16" s="132" t="s">
        <v>748</v>
      </c>
      <c r="AG16" s="124">
        <v>0</v>
      </c>
      <c r="AH16" s="132" t="s">
        <v>596</v>
      </c>
      <c r="AI16" s="132" t="s">
        <v>785</v>
      </c>
      <c r="AJ16" s="126" t="s">
        <v>641</v>
      </c>
      <c r="AK16" s="132" t="s">
        <v>596</v>
      </c>
      <c r="AL16" s="132" t="s">
        <v>748</v>
      </c>
      <c r="AM16" s="124">
        <v>2321</v>
      </c>
      <c r="AN16" s="132" t="s">
        <v>596</v>
      </c>
      <c r="AO16" s="132" t="s">
        <v>785</v>
      </c>
      <c r="AP16" s="126" t="s">
        <v>641</v>
      </c>
      <c r="AQ16" s="132" t="s">
        <v>596</v>
      </c>
      <c r="AR16" s="132" t="s">
        <v>748</v>
      </c>
      <c r="AS16" s="124">
        <v>2258</v>
      </c>
      <c r="AT16" s="132" t="s">
        <v>596</v>
      </c>
      <c r="AU16" s="132" t="s">
        <v>785</v>
      </c>
      <c r="AV16" s="126" t="s">
        <v>641</v>
      </c>
      <c r="AW16" s="132" t="s">
        <v>596</v>
      </c>
      <c r="AX16" s="132" t="s">
        <v>748</v>
      </c>
      <c r="AY16" s="124">
        <v>2203</v>
      </c>
      <c r="AZ16" s="132" t="s">
        <v>596</v>
      </c>
      <c r="BA16" s="132" t="s">
        <v>785</v>
      </c>
      <c r="BB16" s="126" t="s">
        <v>641</v>
      </c>
      <c r="BC16" s="132" t="s">
        <v>596</v>
      </c>
      <c r="BD16" s="131" t="s">
        <v>594</v>
      </c>
    </row>
    <row r="17" spans="1:56">
      <c r="A17" s="130" t="s">
        <v>746</v>
      </c>
      <c r="B17" s="130" t="s">
        <v>748</v>
      </c>
      <c r="C17" s="115">
        <f t="shared" si="0"/>
        <v>15</v>
      </c>
      <c r="D17" s="132" t="s">
        <v>596</v>
      </c>
      <c r="E17" s="132" t="s">
        <v>748</v>
      </c>
      <c r="F17" s="116">
        <f>HYPERLINK("http://ratings.ruchess.ru/people/39992",39992)</f>
        <v>39992</v>
      </c>
      <c r="G17" s="132" t="s">
        <v>596</v>
      </c>
      <c r="H17" s="132" t="s">
        <v>748</v>
      </c>
      <c r="I17" s="116">
        <f>HYPERLINK("https://ratings.fide.com/card.phtml?event=24141739",24141739)</f>
        <v>24141739</v>
      </c>
      <c r="J17" s="132" t="s">
        <v>596</v>
      </c>
      <c r="K17" s="132" t="s">
        <v>748</v>
      </c>
      <c r="L17" s="117" t="s">
        <v>655</v>
      </c>
      <c r="M17" s="132" t="s">
        <v>596</v>
      </c>
      <c r="N17" s="132" t="s">
        <v>748</v>
      </c>
      <c r="O17" s="118">
        <v>1969</v>
      </c>
      <c r="P17" s="132" t="s">
        <v>596</v>
      </c>
      <c r="Q17" s="132" t="s">
        <v>748</v>
      </c>
      <c r="R17" s="119" t="s">
        <v>641</v>
      </c>
      <c r="S17" s="132" t="s">
        <v>596</v>
      </c>
      <c r="T17" s="132" t="s">
        <v>748</v>
      </c>
      <c r="U17" s="118">
        <v>2189</v>
      </c>
      <c r="V17" s="132" t="s">
        <v>596</v>
      </c>
      <c r="W17" s="132" t="s">
        <v>785</v>
      </c>
      <c r="X17" s="120" t="s">
        <v>641</v>
      </c>
      <c r="Y17" s="132" t="s">
        <v>596</v>
      </c>
      <c r="Z17" s="132" t="s">
        <v>748</v>
      </c>
      <c r="AA17" s="118">
        <v>2148</v>
      </c>
      <c r="AB17" s="132" t="s">
        <v>596</v>
      </c>
      <c r="AC17" s="132" t="s">
        <v>785</v>
      </c>
      <c r="AD17" s="120" t="s">
        <v>641</v>
      </c>
      <c r="AE17" s="132" t="s">
        <v>596</v>
      </c>
      <c r="AF17" s="132" t="s">
        <v>748</v>
      </c>
      <c r="AG17" s="118">
        <v>2097</v>
      </c>
      <c r="AH17" s="132" t="s">
        <v>596</v>
      </c>
      <c r="AI17" s="132" t="s">
        <v>785</v>
      </c>
      <c r="AJ17" s="120" t="s">
        <v>641</v>
      </c>
      <c r="AK17" s="132" t="s">
        <v>596</v>
      </c>
      <c r="AL17" s="132" t="s">
        <v>748</v>
      </c>
      <c r="AM17" s="118">
        <v>2174</v>
      </c>
      <c r="AN17" s="132" t="s">
        <v>596</v>
      </c>
      <c r="AO17" s="132" t="s">
        <v>785</v>
      </c>
      <c r="AP17" s="120" t="s">
        <v>641</v>
      </c>
      <c r="AQ17" s="132" t="s">
        <v>596</v>
      </c>
      <c r="AR17" s="132" t="s">
        <v>748</v>
      </c>
      <c r="AS17" s="118">
        <v>2162</v>
      </c>
      <c r="AT17" s="132" t="s">
        <v>596</v>
      </c>
      <c r="AU17" s="132" t="s">
        <v>785</v>
      </c>
      <c r="AV17" s="120" t="s">
        <v>641</v>
      </c>
      <c r="AW17" s="132" t="s">
        <v>596</v>
      </c>
      <c r="AX17" s="132" t="s">
        <v>748</v>
      </c>
      <c r="AY17" s="118">
        <v>2205</v>
      </c>
      <c r="AZ17" s="132" t="s">
        <v>596</v>
      </c>
      <c r="BA17" s="132" t="s">
        <v>785</v>
      </c>
      <c r="BB17" s="120" t="s">
        <v>641</v>
      </c>
      <c r="BC17" s="132" t="s">
        <v>596</v>
      </c>
      <c r="BD17" s="131" t="s">
        <v>594</v>
      </c>
    </row>
    <row r="18" spans="1:56">
      <c r="A18" s="130" t="s">
        <v>746</v>
      </c>
      <c r="B18" s="130" t="s">
        <v>748</v>
      </c>
      <c r="C18" s="121">
        <f t="shared" si="0"/>
        <v>16</v>
      </c>
      <c r="D18" s="132" t="s">
        <v>596</v>
      </c>
      <c r="E18" s="132" t="s">
        <v>748</v>
      </c>
      <c r="F18" s="122">
        <f>HYPERLINK("http://ratings.ruchess.ru/people/3504",3504)</f>
        <v>3504</v>
      </c>
      <c r="G18" s="132" t="s">
        <v>596</v>
      </c>
      <c r="H18" s="132" t="s">
        <v>748</v>
      </c>
      <c r="I18" s="122">
        <f>HYPERLINK("https://ratings.fide.com/card.phtml?event=24159620",24159620)</f>
        <v>24159620</v>
      </c>
      <c r="J18" s="132" t="s">
        <v>596</v>
      </c>
      <c r="K18" s="132" t="s">
        <v>748</v>
      </c>
      <c r="L18" s="123" t="s">
        <v>656</v>
      </c>
      <c r="M18" s="132" t="s">
        <v>596</v>
      </c>
      <c r="N18" s="132" t="s">
        <v>748</v>
      </c>
      <c r="O18" s="124">
        <v>1997</v>
      </c>
      <c r="P18" s="132" t="s">
        <v>596</v>
      </c>
      <c r="Q18" s="132" t="s">
        <v>748</v>
      </c>
      <c r="R18" s="125" t="s">
        <v>226</v>
      </c>
      <c r="S18" s="132" t="s">
        <v>596</v>
      </c>
      <c r="T18" s="132" t="s">
        <v>748</v>
      </c>
      <c r="U18" s="124">
        <v>2187</v>
      </c>
      <c r="V18" s="132" t="s">
        <v>596</v>
      </c>
      <c r="W18" s="132" t="s">
        <v>785</v>
      </c>
      <c r="X18" s="126">
        <v>4</v>
      </c>
      <c r="Y18" s="132" t="s">
        <v>596</v>
      </c>
      <c r="Z18" s="132" t="s">
        <v>748</v>
      </c>
      <c r="AA18" s="124">
        <v>2027</v>
      </c>
      <c r="AB18" s="132" t="s">
        <v>596</v>
      </c>
      <c r="AC18" s="132" t="s">
        <v>785</v>
      </c>
      <c r="AD18" s="126" t="s">
        <v>641</v>
      </c>
      <c r="AE18" s="132" t="s">
        <v>596</v>
      </c>
      <c r="AF18" s="132" t="s">
        <v>748</v>
      </c>
      <c r="AG18" s="124">
        <v>1981</v>
      </c>
      <c r="AH18" s="132" t="s">
        <v>596</v>
      </c>
      <c r="AI18" s="132" t="s">
        <v>785</v>
      </c>
      <c r="AJ18" s="126" t="s">
        <v>641</v>
      </c>
      <c r="AK18" s="132" t="s">
        <v>596</v>
      </c>
      <c r="AL18" s="132" t="s">
        <v>748</v>
      </c>
      <c r="AM18" s="124">
        <v>2159</v>
      </c>
      <c r="AN18" s="132" t="s">
        <v>596</v>
      </c>
      <c r="AO18" s="132" t="s">
        <v>785</v>
      </c>
      <c r="AP18" s="126" t="s">
        <v>641</v>
      </c>
      <c r="AQ18" s="132" t="s">
        <v>596</v>
      </c>
      <c r="AR18" s="132" t="s">
        <v>748</v>
      </c>
      <c r="AS18" s="124">
        <v>2066</v>
      </c>
      <c r="AT18" s="132" t="s">
        <v>596</v>
      </c>
      <c r="AU18" s="132" t="s">
        <v>785</v>
      </c>
      <c r="AV18" s="126" t="s">
        <v>641</v>
      </c>
      <c r="AW18" s="132" t="s">
        <v>596</v>
      </c>
      <c r="AX18" s="132" t="s">
        <v>748</v>
      </c>
      <c r="AY18" s="124">
        <v>2014</v>
      </c>
      <c r="AZ18" s="132" t="s">
        <v>596</v>
      </c>
      <c r="BA18" s="132" t="s">
        <v>785</v>
      </c>
      <c r="BB18" s="126" t="s">
        <v>641</v>
      </c>
      <c r="BC18" s="132" t="s">
        <v>596</v>
      </c>
      <c r="BD18" s="131" t="s">
        <v>594</v>
      </c>
    </row>
    <row r="19" spans="1:56">
      <c r="A19" s="130" t="s">
        <v>746</v>
      </c>
      <c r="B19" s="130" t="s">
        <v>748</v>
      </c>
      <c r="C19" s="115">
        <f t="shared" si="0"/>
        <v>17</v>
      </c>
      <c r="D19" s="132" t="s">
        <v>596</v>
      </c>
      <c r="E19" s="132" t="s">
        <v>748</v>
      </c>
      <c r="F19" s="116">
        <f>HYPERLINK("http://ratings.ruchess.ru/people/19381",19381)</f>
        <v>19381</v>
      </c>
      <c r="G19" s="132" t="s">
        <v>596</v>
      </c>
      <c r="H19" s="132" t="s">
        <v>748</v>
      </c>
      <c r="I19" s="116">
        <f>HYPERLINK("https://ratings.fide.com/card.phtml?event=4124073",4124073)</f>
        <v>4124073</v>
      </c>
      <c r="J19" s="132" t="s">
        <v>596</v>
      </c>
      <c r="K19" s="132" t="s">
        <v>748</v>
      </c>
      <c r="L19" s="117" t="s">
        <v>657</v>
      </c>
      <c r="M19" s="132" t="s">
        <v>596</v>
      </c>
      <c r="N19" s="132" t="s">
        <v>748</v>
      </c>
      <c r="O19" s="118">
        <v>1974</v>
      </c>
      <c r="P19" s="132" t="s">
        <v>596</v>
      </c>
      <c r="Q19" s="132" t="s">
        <v>748</v>
      </c>
      <c r="R19" s="128" t="s">
        <v>226</v>
      </c>
      <c r="S19" s="132" t="s">
        <v>596</v>
      </c>
      <c r="T19" s="132" t="s">
        <v>748</v>
      </c>
      <c r="U19" s="118">
        <v>2176</v>
      </c>
      <c r="V19" s="132" t="s">
        <v>596</v>
      </c>
      <c r="W19" s="132" t="s">
        <v>785</v>
      </c>
      <c r="X19" s="120" t="s">
        <v>641</v>
      </c>
      <c r="Y19" s="132" t="s">
        <v>596</v>
      </c>
      <c r="Z19" s="132" t="s">
        <v>748</v>
      </c>
      <c r="AA19" s="118">
        <v>2260</v>
      </c>
      <c r="AB19" s="132" t="s">
        <v>596</v>
      </c>
      <c r="AC19" s="132" t="s">
        <v>785</v>
      </c>
      <c r="AD19" s="120" t="s">
        <v>641</v>
      </c>
      <c r="AE19" s="132" t="s">
        <v>596</v>
      </c>
      <c r="AF19" s="132" t="s">
        <v>748</v>
      </c>
      <c r="AG19" s="118">
        <v>2260</v>
      </c>
      <c r="AH19" s="132" t="s">
        <v>596</v>
      </c>
      <c r="AI19" s="132" t="s">
        <v>785</v>
      </c>
      <c r="AJ19" s="120" t="s">
        <v>641</v>
      </c>
      <c r="AK19" s="132" t="s">
        <v>596</v>
      </c>
      <c r="AL19" s="132" t="s">
        <v>748</v>
      </c>
      <c r="AM19" s="118">
        <v>2285</v>
      </c>
      <c r="AN19" s="132" t="s">
        <v>596</v>
      </c>
      <c r="AO19" s="132" t="s">
        <v>785</v>
      </c>
      <c r="AP19" s="120" t="s">
        <v>641</v>
      </c>
      <c r="AQ19" s="132" t="s">
        <v>596</v>
      </c>
      <c r="AR19" s="132" t="s">
        <v>748</v>
      </c>
      <c r="AS19" s="118">
        <v>2257</v>
      </c>
      <c r="AT19" s="132" t="s">
        <v>596</v>
      </c>
      <c r="AU19" s="132" t="s">
        <v>785</v>
      </c>
      <c r="AV19" s="120" t="s">
        <v>641</v>
      </c>
      <c r="AW19" s="132" t="s">
        <v>596</v>
      </c>
      <c r="AX19" s="132" t="s">
        <v>748</v>
      </c>
      <c r="AY19" s="118">
        <v>2254</v>
      </c>
      <c r="AZ19" s="132" t="s">
        <v>596</v>
      </c>
      <c r="BA19" s="132" t="s">
        <v>785</v>
      </c>
      <c r="BB19" s="120" t="s">
        <v>641</v>
      </c>
      <c r="BC19" s="132" t="s">
        <v>596</v>
      </c>
      <c r="BD19" s="131" t="s">
        <v>594</v>
      </c>
    </row>
    <row r="20" spans="1:56">
      <c r="A20" s="130" t="s">
        <v>746</v>
      </c>
      <c r="B20" s="130" t="s">
        <v>748</v>
      </c>
      <c r="C20" s="121">
        <f t="shared" si="0"/>
        <v>18</v>
      </c>
      <c r="D20" s="132" t="s">
        <v>596</v>
      </c>
      <c r="E20" s="132" t="s">
        <v>748</v>
      </c>
      <c r="F20" s="122">
        <f>HYPERLINK("http://ratings.ruchess.ru/people/3428",3428)</f>
        <v>3428</v>
      </c>
      <c r="G20" s="132" t="s">
        <v>596</v>
      </c>
      <c r="H20" s="132" t="s">
        <v>748</v>
      </c>
      <c r="I20" s="122">
        <f>HYPERLINK("https://ratings.fide.com/card.phtml?event=24160903",24160903)</f>
        <v>24160903</v>
      </c>
      <c r="J20" s="132" t="s">
        <v>596</v>
      </c>
      <c r="K20" s="132" t="s">
        <v>748</v>
      </c>
      <c r="L20" s="123" t="s">
        <v>658</v>
      </c>
      <c r="M20" s="132" t="s">
        <v>596</v>
      </c>
      <c r="N20" s="132" t="s">
        <v>748</v>
      </c>
      <c r="O20" s="124">
        <v>1998</v>
      </c>
      <c r="P20" s="132" t="s">
        <v>596</v>
      </c>
      <c r="Q20" s="132" t="s">
        <v>748</v>
      </c>
      <c r="R20" s="125" t="s">
        <v>226</v>
      </c>
      <c r="S20" s="132" t="s">
        <v>596</v>
      </c>
      <c r="T20" s="132" t="s">
        <v>748</v>
      </c>
      <c r="U20" s="124">
        <v>2176</v>
      </c>
      <c r="V20" s="132" t="s">
        <v>596</v>
      </c>
      <c r="W20" s="132" t="s">
        <v>785</v>
      </c>
      <c r="X20" s="126">
        <v>11</v>
      </c>
      <c r="Y20" s="132" t="s">
        <v>596</v>
      </c>
      <c r="Z20" s="132" t="s">
        <v>748</v>
      </c>
      <c r="AA20" s="124">
        <v>2051</v>
      </c>
      <c r="AB20" s="132" t="s">
        <v>596</v>
      </c>
      <c r="AC20" s="132" t="s">
        <v>785</v>
      </c>
      <c r="AD20" s="126" t="s">
        <v>641</v>
      </c>
      <c r="AE20" s="132" t="s">
        <v>596</v>
      </c>
      <c r="AF20" s="132" t="s">
        <v>748</v>
      </c>
      <c r="AG20" s="124">
        <v>2061</v>
      </c>
      <c r="AH20" s="132" t="s">
        <v>596</v>
      </c>
      <c r="AI20" s="132" t="s">
        <v>785</v>
      </c>
      <c r="AJ20" s="126" t="s">
        <v>641</v>
      </c>
      <c r="AK20" s="132" t="s">
        <v>596</v>
      </c>
      <c r="AL20" s="132" t="s">
        <v>748</v>
      </c>
      <c r="AM20" s="124">
        <v>2163</v>
      </c>
      <c r="AN20" s="132" t="s">
        <v>596</v>
      </c>
      <c r="AO20" s="132" t="s">
        <v>785</v>
      </c>
      <c r="AP20" s="126" t="s">
        <v>641</v>
      </c>
      <c r="AQ20" s="132" t="s">
        <v>596</v>
      </c>
      <c r="AR20" s="132" t="s">
        <v>748</v>
      </c>
      <c r="AS20" s="124">
        <v>2059</v>
      </c>
      <c r="AT20" s="132" t="s">
        <v>596</v>
      </c>
      <c r="AU20" s="132" t="s">
        <v>785</v>
      </c>
      <c r="AV20" s="126" t="s">
        <v>641</v>
      </c>
      <c r="AW20" s="132" t="s">
        <v>596</v>
      </c>
      <c r="AX20" s="132" t="s">
        <v>748</v>
      </c>
      <c r="AY20" s="124">
        <v>2085</v>
      </c>
      <c r="AZ20" s="132" t="s">
        <v>596</v>
      </c>
      <c r="BA20" s="132" t="s">
        <v>785</v>
      </c>
      <c r="BB20" s="126" t="s">
        <v>641</v>
      </c>
      <c r="BC20" s="132" t="s">
        <v>596</v>
      </c>
      <c r="BD20" s="131" t="s">
        <v>594</v>
      </c>
    </row>
    <row r="21" spans="1:56">
      <c r="A21" s="130" t="s">
        <v>746</v>
      </c>
      <c r="B21" s="130" t="s">
        <v>748</v>
      </c>
      <c r="C21" s="115">
        <f t="shared" si="0"/>
        <v>19</v>
      </c>
      <c r="D21" s="132" t="s">
        <v>596</v>
      </c>
      <c r="E21" s="132" t="s">
        <v>748</v>
      </c>
      <c r="F21" s="116">
        <f>HYPERLINK("http://ratings.ruchess.ru/people/3645",3645)</f>
        <v>3645</v>
      </c>
      <c r="G21" s="132" t="s">
        <v>596</v>
      </c>
      <c r="H21" s="132" t="s">
        <v>748</v>
      </c>
      <c r="I21" s="116">
        <f>HYPERLINK("https://ratings.fide.com/card.phtml?event=44130295",44130295)</f>
        <v>44130295</v>
      </c>
      <c r="J21" s="132" t="s">
        <v>596</v>
      </c>
      <c r="K21" s="132" t="s">
        <v>748</v>
      </c>
      <c r="L21" s="117" t="s">
        <v>659</v>
      </c>
      <c r="M21" s="132" t="s">
        <v>596</v>
      </c>
      <c r="N21" s="132" t="s">
        <v>748</v>
      </c>
      <c r="O21" s="118">
        <v>2004</v>
      </c>
      <c r="P21" s="132" t="s">
        <v>596</v>
      </c>
      <c r="Q21" s="132" t="s">
        <v>748</v>
      </c>
      <c r="R21" s="128" t="s">
        <v>281</v>
      </c>
      <c r="S21" s="132" t="s">
        <v>596</v>
      </c>
      <c r="T21" s="132" t="s">
        <v>748</v>
      </c>
      <c r="U21" s="118">
        <v>2158</v>
      </c>
      <c r="V21" s="132" t="s">
        <v>596</v>
      </c>
      <c r="W21" s="132" t="s">
        <v>785</v>
      </c>
      <c r="X21" s="120" t="s">
        <v>641</v>
      </c>
      <c r="Y21" s="132" t="s">
        <v>596</v>
      </c>
      <c r="Z21" s="132" t="s">
        <v>748</v>
      </c>
      <c r="AA21" s="118">
        <v>2117</v>
      </c>
      <c r="AB21" s="132" t="s">
        <v>596</v>
      </c>
      <c r="AC21" s="132" t="s">
        <v>785</v>
      </c>
      <c r="AD21" s="120">
        <v>-81</v>
      </c>
      <c r="AE21" s="132" t="s">
        <v>596</v>
      </c>
      <c r="AF21" s="132" t="s">
        <v>748</v>
      </c>
      <c r="AG21" s="118">
        <v>1989</v>
      </c>
      <c r="AH21" s="132" t="s">
        <v>596</v>
      </c>
      <c r="AI21" s="132" t="s">
        <v>785</v>
      </c>
      <c r="AJ21" s="120">
        <v>-16</v>
      </c>
      <c r="AK21" s="132" t="s">
        <v>596</v>
      </c>
      <c r="AL21" s="132" t="s">
        <v>748</v>
      </c>
      <c r="AM21" s="118">
        <v>2097</v>
      </c>
      <c r="AN21" s="132" t="s">
        <v>596</v>
      </c>
      <c r="AO21" s="132" t="s">
        <v>785</v>
      </c>
      <c r="AP21" s="120" t="s">
        <v>641</v>
      </c>
      <c r="AQ21" s="132" t="s">
        <v>596</v>
      </c>
      <c r="AR21" s="132" t="s">
        <v>748</v>
      </c>
      <c r="AS21" s="118">
        <v>2145</v>
      </c>
      <c r="AT21" s="132" t="s">
        <v>596</v>
      </c>
      <c r="AU21" s="132" t="s">
        <v>785</v>
      </c>
      <c r="AV21" s="120">
        <v>-40</v>
      </c>
      <c r="AW21" s="132" t="s">
        <v>596</v>
      </c>
      <c r="AX21" s="132" t="s">
        <v>748</v>
      </c>
      <c r="AY21" s="118">
        <v>2094</v>
      </c>
      <c r="AZ21" s="132" t="s">
        <v>596</v>
      </c>
      <c r="BA21" s="132" t="s">
        <v>785</v>
      </c>
      <c r="BB21" s="120">
        <v>-28</v>
      </c>
      <c r="BC21" s="132" t="s">
        <v>596</v>
      </c>
      <c r="BD21" s="131" t="s">
        <v>594</v>
      </c>
    </row>
    <row r="22" spans="1:56">
      <c r="A22" s="130" t="s">
        <v>746</v>
      </c>
      <c r="B22" s="130" t="s">
        <v>748</v>
      </c>
      <c r="C22" s="121">
        <f t="shared" si="0"/>
        <v>20</v>
      </c>
      <c r="D22" s="132" t="s">
        <v>596</v>
      </c>
      <c r="E22" s="132" t="s">
        <v>748</v>
      </c>
      <c r="F22" s="122">
        <f>HYPERLINK("http://ratings.ruchess.ru/people/111968",111968)</f>
        <v>111968</v>
      </c>
      <c r="G22" s="132" t="s">
        <v>596</v>
      </c>
      <c r="H22" s="132" t="s">
        <v>748</v>
      </c>
      <c r="I22" s="122" t="s">
        <v>641</v>
      </c>
      <c r="J22" s="132" t="s">
        <v>596</v>
      </c>
      <c r="K22" s="132" t="s">
        <v>748</v>
      </c>
      <c r="L22" s="123" t="s">
        <v>660</v>
      </c>
      <c r="M22" s="132" t="s">
        <v>596</v>
      </c>
      <c r="N22" s="132" t="s">
        <v>748</v>
      </c>
      <c r="O22" s="124">
        <v>1953</v>
      </c>
      <c r="P22" s="132" t="s">
        <v>596</v>
      </c>
      <c r="Q22" s="132" t="s">
        <v>748</v>
      </c>
      <c r="R22" s="127" t="s">
        <v>226</v>
      </c>
      <c r="S22" s="132" t="s">
        <v>596</v>
      </c>
      <c r="T22" s="132" t="s">
        <v>748</v>
      </c>
      <c r="U22" s="124">
        <v>2157</v>
      </c>
      <c r="V22" s="132" t="s">
        <v>596</v>
      </c>
      <c r="W22" s="132" t="s">
        <v>785</v>
      </c>
      <c r="X22" s="126" t="s">
        <v>641</v>
      </c>
      <c r="Y22" s="132" t="s">
        <v>596</v>
      </c>
      <c r="Z22" s="132" t="s">
        <v>748</v>
      </c>
      <c r="AA22" s="124">
        <v>0</v>
      </c>
      <c r="AB22" s="132" t="s">
        <v>596</v>
      </c>
      <c r="AC22" s="132" t="s">
        <v>785</v>
      </c>
      <c r="AD22" s="126" t="s">
        <v>641</v>
      </c>
      <c r="AE22" s="132" t="s">
        <v>596</v>
      </c>
      <c r="AF22" s="132" t="s">
        <v>748</v>
      </c>
      <c r="AG22" s="124">
        <v>0</v>
      </c>
      <c r="AH22" s="132" t="s">
        <v>596</v>
      </c>
      <c r="AI22" s="132" t="s">
        <v>785</v>
      </c>
      <c r="AJ22" s="126" t="s">
        <v>641</v>
      </c>
      <c r="AK22" s="132" t="s">
        <v>596</v>
      </c>
      <c r="AL22" s="132" t="s">
        <v>748</v>
      </c>
      <c r="AM22" s="124">
        <v>0</v>
      </c>
      <c r="AN22" s="132" t="s">
        <v>596</v>
      </c>
      <c r="AO22" s="132" t="s">
        <v>785</v>
      </c>
      <c r="AP22" s="126" t="s">
        <v>641</v>
      </c>
      <c r="AQ22" s="132" t="s">
        <v>596</v>
      </c>
      <c r="AR22" s="132" t="s">
        <v>748</v>
      </c>
      <c r="AS22" s="124">
        <v>0</v>
      </c>
      <c r="AT22" s="132" t="s">
        <v>596</v>
      </c>
      <c r="AU22" s="132" t="s">
        <v>785</v>
      </c>
      <c r="AV22" s="126" t="s">
        <v>641</v>
      </c>
      <c r="AW22" s="132" t="s">
        <v>596</v>
      </c>
      <c r="AX22" s="132" t="s">
        <v>748</v>
      </c>
      <c r="AY22" s="124">
        <v>0</v>
      </c>
      <c r="AZ22" s="132" t="s">
        <v>596</v>
      </c>
      <c r="BA22" s="132" t="s">
        <v>785</v>
      </c>
      <c r="BB22" s="126" t="s">
        <v>641</v>
      </c>
      <c r="BC22" s="132" t="s">
        <v>596</v>
      </c>
      <c r="BD22" s="131" t="s">
        <v>594</v>
      </c>
    </row>
    <row r="23" spans="1:56">
      <c r="A23" s="130" t="s">
        <v>746</v>
      </c>
      <c r="B23" s="130" t="s">
        <v>748</v>
      </c>
      <c r="C23" s="115">
        <f t="shared" si="0"/>
        <v>21</v>
      </c>
      <c r="D23" s="132" t="s">
        <v>596</v>
      </c>
      <c r="E23" s="132" t="s">
        <v>748</v>
      </c>
      <c r="F23" s="116">
        <f>HYPERLINK("http://ratings.ruchess.ru/people/19380",19380)</f>
        <v>19380</v>
      </c>
      <c r="G23" s="132" t="s">
        <v>596</v>
      </c>
      <c r="H23" s="132" t="s">
        <v>748</v>
      </c>
      <c r="I23" s="116">
        <f>HYPERLINK("https://ratings.fide.com/card.phtml?event=34148237",34148237)</f>
        <v>34148237</v>
      </c>
      <c r="J23" s="132" t="s">
        <v>596</v>
      </c>
      <c r="K23" s="132" t="s">
        <v>748</v>
      </c>
      <c r="L23" s="117" t="s">
        <v>661</v>
      </c>
      <c r="M23" s="132" t="s">
        <v>596</v>
      </c>
      <c r="N23" s="132" t="s">
        <v>748</v>
      </c>
      <c r="O23" s="118">
        <v>1960</v>
      </c>
      <c r="P23" s="132" t="s">
        <v>596</v>
      </c>
      <c r="Q23" s="132" t="s">
        <v>748</v>
      </c>
      <c r="R23" s="128" t="s">
        <v>281</v>
      </c>
      <c r="S23" s="132" t="s">
        <v>596</v>
      </c>
      <c r="T23" s="132" t="s">
        <v>748</v>
      </c>
      <c r="U23" s="118">
        <v>2154</v>
      </c>
      <c r="V23" s="132" t="s">
        <v>596</v>
      </c>
      <c r="W23" s="132" t="s">
        <v>785</v>
      </c>
      <c r="X23" s="120" t="s">
        <v>641</v>
      </c>
      <c r="Y23" s="132" t="s">
        <v>596</v>
      </c>
      <c r="Z23" s="132" t="s">
        <v>748</v>
      </c>
      <c r="AA23" s="118">
        <v>2101</v>
      </c>
      <c r="AB23" s="132" t="s">
        <v>596</v>
      </c>
      <c r="AC23" s="132" t="s">
        <v>785</v>
      </c>
      <c r="AD23" s="120">
        <v>-34</v>
      </c>
      <c r="AE23" s="132" t="s">
        <v>596</v>
      </c>
      <c r="AF23" s="132" t="s">
        <v>748</v>
      </c>
      <c r="AG23" s="118">
        <v>2175</v>
      </c>
      <c r="AH23" s="132" t="s">
        <v>596</v>
      </c>
      <c r="AI23" s="132" t="s">
        <v>785</v>
      </c>
      <c r="AJ23" s="120">
        <v>19</v>
      </c>
      <c r="AK23" s="132" t="s">
        <v>596</v>
      </c>
      <c r="AL23" s="132" t="s">
        <v>748</v>
      </c>
      <c r="AM23" s="118">
        <v>0</v>
      </c>
      <c r="AN23" s="132" t="s">
        <v>596</v>
      </c>
      <c r="AO23" s="132" t="s">
        <v>785</v>
      </c>
      <c r="AP23" s="120" t="s">
        <v>641</v>
      </c>
      <c r="AQ23" s="132" t="s">
        <v>596</v>
      </c>
      <c r="AR23" s="132" t="s">
        <v>748</v>
      </c>
      <c r="AS23" s="118">
        <v>0</v>
      </c>
      <c r="AT23" s="132" t="s">
        <v>596</v>
      </c>
      <c r="AU23" s="132" t="s">
        <v>785</v>
      </c>
      <c r="AV23" s="120" t="s">
        <v>641</v>
      </c>
      <c r="AW23" s="132" t="s">
        <v>596</v>
      </c>
      <c r="AX23" s="132" t="s">
        <v>748</v>
      </c>
      <c r="AY23" s="118">
        <v>2157</v>
      </c>
      <c r="AZ23" s="132" t="s">
        <v>596</v>
      </c>
      <c r="BA23" s="132" t="s">
        <v>785</v>
      </c>
      <c r="BB23" s="120" t="s">
        <v>641</v>
      </c>
      <c r="BC23" s="132" t="s">
        <v>596</v>
      </c>
      <c r="BD23" s="131" t="s">
        <v>594</v>
      </c>
    </row>
    <row r="24" spans="1:56">
      <c r="A24" s="130" t="s">
        <v>746</v>
      </c>
      <c r="B24" s="130" t="s">
        <v>748</v>
      </c>
      <c r="C24" s="121">
        <f t="shared" si="0"/>
        <v>22</v>
      </c>
      <c r="D24" s="132" t="s">
        <v>596</v>
      </c>
      <c r="E24" s="132" t="s">
        <v>748</v>
      </c>
      <c r="F24" s="122">
        <f>HYPERLINK("http://ratings.ruchess.ru/people/8453",8453)</f>
        <v>8453</v>
      </c>
      <c r="G24" s="132" t="s">
        <v>596</v>
      </c>
      <c r="H24" s="132" t="s">
        <v>748</v>
      </c>
      <c r="I24" s="122">
        <f>HYPERLINK("https://ratings.fide.com/card.phtml?event=24150789",24150789)</f>
        <v>24150789</v>
      </c>
      <c r="J24" s="132" t="s">
        <v>596</v>
      </c>
      <c r="K24" s="132" t="s">
        <v>748</v>
      </c>
      <c r="L24" s="129" t="s">
        <v>662</v>
      </c>
      <c r="M24" s="132" t="s">
        <v>596</v>
      </c>
      <c r="N24" s="132" t="s">
        <v>748</v>
      </c>
      <c r="O24" s="124">
        <v>1956</v>
      </c>
      <c r="P24" s="132" t="s">
        <v>596</v>
      </c>
      <c r="Q24" s="132" t="s">
        <v>748</v>
      </c>
      <c r="R24" s="125" t="s">
        <v>226</v>
      </c>
      <c r="S24" s="132" t="s">
        <v>596</v>
      </c>
      <c r="T24" s="132" t="s">
        <v>748</v>
      </c>
      <c r="U24" s="124">
        <v>2154</v>
      </c>
      <c r="V24" s="132" t="s">
        <v>596</v>
      </c>
      <c r="W24" s="132" t="s">
        <v>785</v>
      </c>
      <c r="X24" s="126" t="s">
        <v>641</v>
      </c>
      <c r="Y24" s="132" t="s">
        <v>596</v>
      </c>
      <c r="Z24" s="132" t="s">
        <v>748</v>
      </c>
      <c r="AA24" s="124">
        <v>2053</v>
      </c>
      <c r="AB24" s="132" t="s">
        <v>596</v>
      </c>
      <c r="AC24" s="132" t="s">
        <v>785</v>
      </c>
      <c r="AD24" s="126" t="s">
        <v>641</v>
      </c>
      <c r="AE24" s="132" t="s">
        <v>596</v>
      </c>
      <c r="AF24" s="132" t="s">
        <v>748</v>
      </c>
      <c r="AG24" s="124">
        <v>2053</v>
      </c>
      <c r="AH24" s="132" t="s">
        <v>596</v>
      </c>
      <c r="AI24" s="132" t="s">
        <v>785</v>
      </c>
      <c r="AJ24" s="126" t="s">
        <v>641</v>
      </c>
      <c r="AK24" s="132" t="s">
        <v>596</v>
      </c>
      <c r="AL24" s="132" t="s">
        <v>748</v>
      </c>
      <c r="AM24" s="124">
        <v>2148</v>
      </c>
      <c r="AN24" s="132" t="s">
        <v>596</v>
      </c>
      <c r="AO24" s="132" t="s">
        <v>785</v>
      </c>
      <c r="AP24" s="126" t="s">
        <v>641</v>
      </c>
      <c r="AQ24" s="132" t="s">
        <v>596</v>
      </c>
      <c r="AR24" s="132" t="s">
        <v>748</v>
      </c>
      <c r="AS24" s="124">
        <v>2050</v>
      </c>
      <c r="AT24" s="132" t="s">
        <v>596</v>
      </c>
      <c r="AU24" s="132" t="s">
        <v>785</v>
      </c>
      <c r="AV24" s="126" t="s">
        <v>641</v>
      </c>
      <c r="AW24" s="132" t="s">
        <v>596</v>
      </c>
      <c r="AX24" s="132" t="s">
        <v>748</v>
      </c>
      <c r="AY24" s="124">
        <v>2055</v>
      </c>
      <c r="AZ24" s="132" t="s">
        <v>596</v>
      </c>
      <c r="BA24" s="132" t="s">
        <v>785</v>
      </c>
      <c r="BB24" s="126" t="s">
        <v>641</v>
      </c>
      <c r="BC24" s="132" t="s">
        <v>596</v>
      </c>
      <c r="BD24" s="131" t="s">
        <v>594</v>
      </c>
    </row>
    <row r="25" spans="1:56">
      <c r="A25" s="130" t="s">
        <v>746</v>
      </c>
      <c r="B25" s="130" t="s">
        <v>748</v>
      </c>
      <c r="C25" s="115">
        <f t="shared" si="0"/>
        <v>23</v>
      </c>
      <c r="D25" s="132" t="s">
        <v>596</v>
      </c>
      <c r="E25" s="132" t="s">
        <v>748</v>
      </c>
      <c r="F25" s="116">
        <f>HYPERLINK("http://ratings.ruchess.ru/people/111590",111590)</f>
        <v>111590</v>
      </c>
      <c r="G25" s="132" t="s">
        <v>596</v>
      </c>
      <c r="H25" s="132" t="s">
        <v>748</v>
      </c>
      <c r="I25" s="116">
        <f>HYPERLINK("https://ratings.fide.com/card.phtml?event=4170784",4170784)</f>
        <v>4170784</v>
      </c>
      <c r="J25" s="132" t="s">
        <v>596</v>
      </c>
      <c r="K25" s="132" t="s">
        <v>748</v>
      </c>
      <c r="L25" s="117" t="s">
        <v>663</v>
      </c>
      <c r="M25" s="132" t="s">
        <v>596</v>
      </c>
      <c r="N25" s="132" t="s">
        <v>748</v>
      </c>
      <c r="O25" s="118">
        <v>1984</v>
      </c>
      <c r="P25" s="132" t="s">
        <v>596</v>
      </c>
      <c r="Q25" s="132" t="s">
        <v>748</v>
      </c>
      <c r="R25" s="128" t="s">
        <v>226</v>
      </c>
      <c r="S25" s="132" t="s">
        <v>596</v>
      </c>
      <c r="T25" s="132" t="s">
        <v>748</v>
      </c>
      <c r="U25" s="118">
        <v>2152</v>
      </c>
      <c r="V25" s="132" t="s">
        <v>596</v>
      </c>
      <c r="W25" s="132" t="s">
        <v>785</v>
      </c>
      <c r="X25" s="120" t="s">
        <v>641</v>
      </c>
      <c r="Y25" s="132" t="s">
        <v>596</v>
      </c>
      <c r="Z25" s="132" t="s">
        <v>748</v>
      </c>
      <c r="AA25" s="118">
        <v>0</v>
      </c>
      <c r="AB25" s="132" t="s">
        <v>596</v>
      </c>
      <c r="AC25" s="132" t="s">
        <v>785</v>
      </c>
      <c r="AD25" s="120" t="s">
        <v>641</v>
      </c>
      <c r="AE25" s="132" t="s">
        <v>596</v>
      </c>
      <c r="AF25" s="132" t="s">
        <v>748</v>
      </c>
      <c r="AG25" s="118">
        <v>0</v>
      </c>
      <c r="AH25" s="132" t="s">
        <v>596</v>
      </c>
      <c r="AI25" s="132" t="s">
        <v>785</v>
      </c>
      <c r="AJ25" s="120" t="s">
        <v>641</v>
      </c>
      <c r="AK25" s="132" t="s">
        <v>596</v>
      </c>
      <c r="AL25" s="132" t="s">
        <v>748</v>
      </c>
      <c r="AM25" s="118">
        <v>2182</v>
      </c>
      <c r="AN25" s="132" t="s">
        <v>596</v>
      </c>
      <c r="AO25" s="132" t="s">
        <v>785</v>
      </c>
      <c r="AP25" s="120" t="s">
        <v>641</v>
      </c>
      <c r="AQ25" s="132" t="s">
        <v>596</v>
      </c>
      <c r="AR25" s="132" t="s">
        <v>748</v>
      </c>
      <c r="AS25" s="118">
        <v>0</v>
      </c>
      <c r="AT25" s="132" t="s">
        <v>596</v>
      </c>
      <c r="AU25" s="132" t="s">
        <v>785</v>
      </c>
      <c r="AV25" s="120" t="s">
        <v>641</v>
      </c>
      <c r="AW25" s="132" t="s">
        <v>596</v>
      </c>
      <c r="AX25" s="132" t="s">
        <v>748</v>
      </c>
      <c r="AY25" s="118">
        <v>0</v>
      </c>
      <c r="AZ25" s="132" t="s">
        <v>596</v>
      </c>
      <c r="BA25" s="132" t="s">
        <v>785</v>
      </c>
      <c r="BB25" s="120" t="s">
        <v>641</v>
      </c>
      <c r="BC25" s="132" t="s">
        <v>596</v>
      </c>
      <c r="BD25" s="131" t="s">
        <v>594</v>
      </c>
    </row>
    <row r="26" spans="1:56">
      <c r="A26" s="130" t="s">
        <v>746</v>
      </c>
      <c r="B26" s="130" t="s">
        <v>748</v>
      </c>
      <c r="C26" s="121">
        <f t="shared" si="0"/>
        <v>24</v>
      </c>
      <c r="D26" s="132" t="s">
        <v>596</v>
      </c>
      <c r="E26" s="132" t="s">
        <v>748</v>
      </c>
      <c r="F26" s="122">
        <f>HYPERLINK("http://ratings.ruchess.ru/people/6570",6570)</f>
        <v>6570</v>
      </c>
      <c r="G26" s="132" t="s">
        <v>596</v>
      </c>
      <c r="H26" s="132" t="s">
        <v>748</v>
      </c>
      <c r="I26" s="122">
        <f>HYPERLINK("https://ratings.fide.com/card.phtml?event=4148509",4148509)</f>
        <v>4148509</v>
      </c>
      <c r="J26" s="132" t="s">
        <v>596</v>
      </c>
      <c r="K26" s="132" t="s">
        <v>748</v>
      </c>
      <c r="L26" s="123" t="s">
        <v>664</v>
      </c>
      <c r="M26" s="132" t="s">
        <v>596</v>
      </c>
      <c r="N26" s="132" t="s">
        <v>748</v>
      </c>
      <c r="O26" s="124">
        <v>1958</v>
      </c>
      <c r="P26" s="132" t="s">
        <v>596</v>
      </c>
      <c r="Q26" s="132" t="s">
        <v>748</v>
      </c>
      <c r="R26" s="127" t="s">
        <v>226</v>
      </c>
      <c r="S26" s="132" t="s">
        <v>596</v>
      </c>
      <c r="T26" s="132" t="s">
        <v>748</v>
      </c>
      <c r="U26" s="124">
        <v>2148</v>
      </c>
      <c r="V26" s="132" t="s">
        <v>596</v>
      </c>
      <c r="W26" s="132" t="s">
        <v>785</v>
      </c>
      <c r="X26" s="126" t="s">
        <v>641</v>
      </c>
      <c r="Y26" s="132" t="s">
        <v>596</v>
      </c>
      <c r="Z26" s="132" t="s">
        <v>748</v>
      </c>
      <c r="AA26" s="124">
        <v>2017</v>
      </c>
      <c r="AB26" s="132" t="s">
        <v>596</v>
      </c>
      <c r="AC26" s="132" t="s">
        <v>785</v>
      </c>
      <c r="AD26" s="126">
        <v>-49</v>
      </c>
      <c r="AE26" s="132" t="s">
        <v>596</v>
      </c>
      <c r="AF26" s="132" t="s">
        <v>748</v>
      </c>
      <c r="AG26" s="124">
        <v>1999</v>
      </c>
      <c r="AH26" s="132" t="s">
        <v>596</v>
      </c>
      <c r="AI26" s="132" t="s">
        <v>785</v>
      </c>
      <c r="AJ26" s="126">
        <v>4</v>
      </c>
      <c r="AK26" s="132" t="s">
        <v>596</v>
      </c>
      <c r="AL26" s="132" t="s">
        <v>748</v>
      </c>
      <c r="AM26" s="124">
        <v>2115</v>
      </c>
      <c r="AN26" s="132" t="s">
        <v>596</v>
      </c>
      <c r="AO26" s="132" t="s">
        <v>785</v>
      </c>
      <c r="AP26" s="126" t="s">
        <v>641</v>
      </c>
      <c r="AQ26" s="132" t="s">
        <v>596</v>
      </c>
      <c r="AR26" s="132" t="s">
        <v>748</v>
      </c>
      <c r="AS26" s="124">
        <v>2086</v>
      </c>
      <c r="AT26" s="132" t="s">
        <v>596</v>
      </c>
      <c r="AU26" s="132" t="s">
        <v>785</v>
      </c>
      <c r="AV26" s="126">
        <v>-18</v>
      </c>
      <c r="AW26" s="132" t="s">
        <v>596</v>
      </c>
      <c r="AX26" s="132" t="s">
        <v>748</v>
      </c>
      <c r="AY26" s="124">
        <v>2030</v>
      </c>
      <c r="AZ26" s="132" t="s">
        <v>596</v>
      </c>
      <c r="BA26" s="132" t="s">
        <v>785</v>
      </c>
      <c r="BB26" s="126">
        <v>-5</v>
      </c>
      <c r="BC26" s="132" t="s">
        <v>596</v>
      </c>
      <c r="BD26" s="131" t="s">
        <v>594</v>
      </c>
    </row>
    <row r="27" spans="1:56">
      <c r="A27" s="130" t="s">
        <v>746</v>
      </c>
      <c r="B27" s="130" t="s">
        <v>748</v>
      </c>
      <c r="C27" s="115">
        <f t="shared" si="0"/>
        <v>25</v>
      </c>
      <c r="D27" s="132" t="s">
        <v>596</v>
      </c>
      <c r="E27" s="132" t="s">
        <v>748</v>
      </c>
      <c r="F27" s="116">
        <f>HYPERLINK("http://ratings.ruchess.ru/people/19386",19386)</f>
        <v>19386</v>
      </c>
      <c r="G27" s="132" t="s">
        <v>596</v>
      </c>
      <c r="H27" s="132" t="s">
        <v>748</v>
      </c>
      <c r="I27" s="116">
        <f>HYPERLINK("https://ratings.fide.com/card.phtml?event=4167180",4167180)</f>
        <v>4167180</v>
      </c>
      <c r="J27" s="132" t="s">
        <v>596</v>
      </c>
      <c r="K27" s="132" t="s">
        <v>748</v>
      </c>
      <c r="L27" s="117" t="s">
        <v>665</v>
      </c>
      <c r="M27" s="132" t="s">
        <v>596</v>
      </c>
      <c r="N27" s="132" t="s">
        <v>748</v>
      </c>
      <c r="O27" s="118">
        <v>1960</v>
      </c>
      <c r="P27" s="132" t="s">
        <v>596</v>
      </c>
      <c r="Q27" s="132" t="s">
        <v>748</v>
      </c>
      <c r="R27" s="119" t="s">
        <v>641</v>
      </c>
      <c r="S27" s="132" t="s">
        <v>596</v>
      </c>
      <c r="T27" s="132" t="s">
        <v>748</v>
      </c>
      <c r="U27" s="118">
        <v>2147</v>
      </c>
      <c r="V27" s="132" t="s">
        <v>596</v>
      </c>
      <c r="W27" s="132" t="s">
        <v>785</v>
      </c>
      <c r="X27" s="120" t="s">
        <v>641</v>
      </c>
      <c r="Y27" s="132" t="s">
        <v>596</v>
      </c>
      <c r="Z27" s="132" t="s">
        <v>748</v>
      </c>
      <c r="AA27" s="118">
        <v>0</v>
      </c>
      <c r="AB27" s="132" t="s">
        <v>596</v>
      </c>
      <c r="AC27" s="132" t="s">
        <v>785</v>
      </c>
      <c r="AD27" s="120" t="s">
        <v>641</v>
      </c>
      <c r="AE27" s="132" t="s">
        <v>596</v>
      </c>
      <c r="AF27" s="132" t="s">
        <v>748</v>
      </c>
      <c r="AG27" s="118">
        <v>2096</v>
      </c>
      <c r="AH27" s="132" t="s">
        <v>596</v>
      </c>
      <c r="AI27" s="132" t="s">
        <v>785</v>
      </c>
      <c r="AJ27" s="120" t="s">
        <v>641</v>
      </c>
      <c r="AK27" s="132" t="s">
        <v>596</v>
      </c>
      <c r="AL27" s="132" t="s">
        <v>748</v>
      </c>
      <c r="AM27" s="118">
        <v>2145</v>
      </c>
      <c r="AN27" s="132" t="s">
        <v>596</v>
      </c>
      <c r="AO27" s="132" t="s">
        <v>785</v>
      </c>
      <c r="AP27" s="120" t="s">
        <v>641</v>
      </c>
      <c r="AQ27" s="132" t="s">
        <v>596</v>
      </c>
      <c r="AR27" s="132" t="s">
        <v>748</v>
      </c>
      <c r="AS27" s="118">
        <v>2221</v>
      </c>
      <c r="AT27" s="132" t="s">
        <v>596</v>
      </c>
      <c r="AU27" s="132" t="s">
        <v>785</v>
      </c>
      <c r="AV27" s="120" t="s">
        <v>641</v>
      </c>
      <c r="AW27" s="132" t="s">
        <v>596</v>
      </c>
      <c r="AX27" s="132" t="s">
        <v>748</v>
      </c>
      <c r="AY27" s="118">
        <v>2114</v>
      </c>
      <c r="AZ27" s="132" t="s">
        <v>596</v>
      </c>
      <c r="BA27" s="132" t="s">
        <v>785</v>
      </c>
      <c r="BB27" s="120" t="s">
        <v>641</v>
      </c>
      <c r="BC27" s="132" t="s">
        <v>596</v>
      </c>
      <c r="BD27" s="131" t="s">
        <v>594</v>
      </c>
    </row>
    <row r="28" spans="1:56">
      <c r="A28" s="130" t="s">
        <v>746</v>
      </c>
      <c r="B28" s="130" t="s">
        <v>748</v>
      </c>
      <c r="C28" s="121">
        <f t="shared" si="0"/>
        <v>26</v>
      </c>
      <c r="D28" s="132" t="s">
        <v>596</v>
      </c>
      <c r="E28" s="132" t="s">
        <v>748</v>
      </c>
      <c r="F28" s="122">
        <f>HYPERLINK("http://ratings.ruchess.ru/people/111589",111589)</f>
        <v>111589</v>
      </c>
      <c r="G28" s="132" t="s">
        <v>596</v>
      </c>
      <c r="H28" s="132" t="s">
        <v>748</v>
      </c>
      <c r="I28" s="122">
        <f>HYPERLINK("https://ratings.fide.com/card.phtml?event=4163656",4163656)</f>
        <v>4163656</v>
      </c>
      <c r="J28" s="132" t="s">
        <v>596</v>
      </c>
      <c r="K28" s="132" t="s">
        <v>748</v>
      </c>
      <c r="L28" s="123" t="s">
        <v>666</v>
      </c>
      <c r="M28" s="132" t="s">
        <v>596</v>
      </c>
      <c r="N28" s="132" t="s">
        <v>748</v>
      </c>
      <c r="O28" s="124">
        <v>1958</v>
      </c>
      <c r="P28" s="132" t="s">
        <v>596</v>
      </c>
      <c r="Q28" s="132" t="s">
        <v>748</v>
      </c>
      <c r="R28" s="127" t="s">
        <v>226</v>
      </c>
      <c r="S28" s="132" t="s">
        <v>596</v>
      </c>
      <c r="T28" s="132" t="s">
        <v>748</v>
      </c>
      <c r="U28" s="124">
        <v>2145</v>
      </c>
      <c r="V28" s="132" t="s">
        <v>596</v>
      </c>
      <c r="W28" s="132" t="s">
        <v>785</v>
      </c>
      <c r="X28" s="126" t="s">
        <v>641</v>
      </c>
      <c r="Y28" s="132" t="s">
        <v>596</v>
      </c>
      <c r="Z28" s="132" t="s">
        <v>748</v>
      </c>
      <c r="AA28" s="124">
        <v>2093</v>
      </c>
      <c r="AB28" s="132" t="s">
        <v>596</v>
      </c>
      <c r="AC28" s="132" t="s">
        <v>785</v>
      </c>
      <c r="AD28" s="126" t="s">
        <v>641</v>
      </c>
      <c r="AE28" s="132" t="s">
        <v>596</v>
      </c>
      <c r="AF28" s="132" t="s">
        <v>748</v>
      </c>
      <c r="AG28" s="124">
        <v>0</v>
      </c>
      <c r="AH28" s="132" t="s">
        <v>596</v>
      </c>
      <c r="AI28" s="132" t="s">
        <v>785</v>
      </c>
      <c r="AJ28" s="126" t="s">
        <v>641</v>
      </c>
      <c r="AK28" s="132" t="s">
        <v>596</v>
      </c>
      <c r="AL28" s="132" t="s">
        <v>748</v>
      </c>
      <c r="AM28" s="124">
        <v>2137</v>
      </c>
      <c r="AN28" s="132" t="s">
        <v>596</v>
      </c>
      <c r="AO28" s="132" t="s">
        <v>785</v>
      </c>
      <c r="AP28" s="126" t="s">
        <v>641</v>
      </c>
      <c r="AQ28" s="132" t="s">
        <v>596</v>
      </c>
      <c r="AR28" s="132" t="s">
        <v>748</v>
      </c>
      <c r="AS28" s="124">
        <v>2100</v>
      </c>
      <c r="AT28" s="132" t="s">
        <v>596</v>
      </c>
      <c r="AU28" s="132" t="s">
        <v>785</v>
      </c>
      <c r="AV28" s="126" t="s">
        <v>641</v>
      </c>
      <c r="AW28" s="132" t="s">
        <v>596</v>
      </c>
      <c r="AX28" s="132" t="s">
        <v>748</v>
      </c>
      <c r="AY28" s="124">
        <v>0</v>
      </c>
      <c r="AZ28" s="132" t="s">
        <v>596</v>
      </c>
      <c r="BA28" s="132" t="s">
        <v>785</v>
      </c>
      <c r="BB28" s="126" t="s">
        <v>641</v>
      </c>
      <c r="BC28" s="132" t="s">
        <v>596</v>
      </c>
      <c r="BD28" s="131" t="s">
        <v>594</v>
      </c>
    </row>
    <row r="29" spans="1:56">
      <c r="A29" s="130" t="s">
        <v>746</v>
      </c>
      <c r="B29" s="130" t="s">
        <v>748</v>
      </c>
      <c r="C29" s="115">
        <f t="shared" si="0"/>
        <v>27</v>
      </c>
      <c r="D29" s="132" t="s">
        <v>596</v>
      </c>
      <c r="E29" s="132" t="s">
        <v>748</v>
      </c>
      <c r="F29" s="116">
        <f>HYPERLINK("http://ratings.ruchess.ru/people/16804",16804)</f>
        <v>16804</v>
      </c>
      <c r="G29" s="132" t="s">
        <v>596</v>
      </c>
      <c r="H29" s="132" t="s">
        <v>748</v>
      </c>
      <c r="I29" s="116">
        <f>HYPERLINK("https://ratings.fide.com/card.phtml?event=24160890",24160890)</f>
        <v>24160890</v>
      </c>
      <c r="J29" s="132" t="s">
        <v>596</v>
      </c>
      <c r="K29" s="132" t="s">
        <v>748</v>
      </c>
      <c r="L29" s="117" t="s">
        <v>667</v>
      </c>
      <c r="M29" s="132" t="s">
        <v>596</v>
      </c>
      <c r="N29" s="132" t="s">
        <v>748</v>
      </c>
      <c r="O29" s="118">
        <v>1987</v>
      </c>
      <c r="P29" s="132" t="s">
        <v>596</v>
      </c>
      <c r="Q29" s="132" t="s">
        <v>748</v>
      </c>
      <c r="R29" s="128" t="s">
        <v>226</v>
      </c>
      <c r="S29" s="132" t="s">
        <v>596</v>
      </c>
      <c r="T29" s="132" t="s">
        <v>748</v>
      </c>
      <c r="U29" s="118">
        <v>2139</v>
      </c>
      <c r="V29" s="132" t="s">
        <v>596</v>
      </c>
      <c r="W29" s="132" t="s">
        <v>785</v>
      </c>
      <c r="X29" s="120" t="s">
        <v>641</v>
      </c>
      <c r="Y29" s="132" t="s">
        <v>596</v>
      </c>
      <c r="Z29" s="132" t="s">
        <v>748</v>
      </c>
      <c r="AA29" s="118">
        <v>2238</v>
      </c>
      <c r="AB29" s="132" t="s">
        <v>596</v>
      </c>
      <c r="AC29" s="132" t="s">
        <v>785</v>
      </c>
      <c r="AD29" s="120" t="s">
        <v>641</v>
      </c>
      <c r="AE29" s="132" t="s">
        <v>596</v>
      </c>
      <c r="AF29" s="132" t="s">
        <v>748</v>
      </c>
      <c r="AG29" s="118">
        <v>2178</v>
      </c>
      <c r="AH29" s="132" t="s">
        <v>596</v>
      </c>
      <c r="AI29" s="132" t="s">
        <v>785</v>
      </c>
      <c r="AJ29" s="120" t="s">
        <v>641</v>
      </c>
      <c r="AK29" s="132" t="s">
        <v>596</v>
      </c>
      <c r="AL29" s="132" t="s">
        <v>748</v>
      </c>
      <c r="AM29" s="118">
        <v>2143</v>
      </c>
      <c r="AN29" s="132" t="s">
        <v>596</v>
      </c>
      <c r="AO29" s="132" t="s">
        <v>785</v>
      </c>
      <c r="AP29" s="120" t="s">
        <v>641</v>
      </c>
      <c r="AQ29" s="132" t="s">
        <v>596</v>
      </c>
      <c r="AR29" s="132" t="s">
        <v>748</v>
      </c>
      <c r="AS29" s="118">
        <v>2173</v>
      </c>
      <c r="AT29" s="132" t="s">
        <v>596</v>
      </c>
      <c r="AU29" s="132" t="s">
        <v>785</v>
      </c>
      <c r="AV29" s="120" t="s">
        <v>641</v>
      </c>
      <c r="AW29" s="132" t="s">
        <v>596</v>
      </c>
      <c r="AX29" s="132" t="s">
        <v>748</v>
      </c>
      <c r="AY29" s="118">
        <v>2187</v>
      </c>
      <c r="AZ29" s="132" t="s">
        <v>596</v>
      </c>
      <c r="BA29" s="132" t="s">
        <v>785</v>
      </c>
      <c r="BB29" s="120" t="s">
        <v>641</v>
      </c>
      <c r="BC29" s="132" t="s">
        <v>596</v>
      </c>
      <c r="BD29" s="131" t="s">
        <v>594</v>
      </c>
    </row>
    <row r="30" spans="1:56">
      <c r="A30" s="130" t="s">
        <v>746</v>
      </c>
      <c r="B30" s="130" t="s">
        <v>748</v>
      </c>
      <c r="C30" s="121">
        <f t="shared" si="0"/>
        <v>28</v>
      </c>
      <c r="D30" s="132" t="s">
        <v>596</v>
      </c>
      <c r="E30" s="132" t="s">
        <v>748</v>
      </c>
      <c r="F30" s="122">
        <f>HYPERLINK("http://ratings.ruchess.ru/people/13152",13152)</f>
        <v>13152</v>
      </c>
      <c r="G30" s="132" t="s">
        <v>596</v>
      </c>
      <c r="H30" s="132" t="s">
        <v>748</v>
      </c>
      <c r="I30" s="122">
        <f>HYPERLINK("https://ratings.fide.com/card.phtml?event=34128341",34128341)</f>
        <v>34128341</v>
      </c>
      <c r="J30" s="132" t="s">
        <v>596</v>
      </c>
      <c r="K30" s="132" t="s">
        <v>748</v>
      </c>
      <c r="L30" s="123" t="s">
        <v>668</v>
      </c>
      <c r="M30" s="132" t="s">
        <v>596</v>
      </c>
      <c r="N30" s="132" t="s">
        <v>748</v>
      </c>
      <c r="O30" s="124">
        <v>1974</v>
      </c>
      <c r="P30" s="132" t="s">
        <v>596</v>
      </c>
      <c r="Q30" s="132" t="s">
        <v>748</v>
      </c>
      <c r="R30" s="127" t="s">
        <v>281</v>
      </c>
      <c r="S30" s="132" t="s">
        <v>596</v>
      </c>
      <c r="T30" s="132" t="s">
        <v>748</v>
      </c>
      <c r="U30" s="124">
        <v>2136</v>
      </c>
      <c r="V30" s="132" t="s">
        <v>596</v>
      </c>
      <c r="W30" s="132" t="s">
        <v>785</v>
      </c>
      <c r="X30" s="126" t="s">
        <v>641</v>
      </c>
      <c r="Y30" s="132" t="s">
        <v>596</v>
      </c>
      <c r="Z30" s="132" t="s">
        <v>748</v>
      </c>
      <c r="AA30" s="124">
        <v>2073</v>
      </c>
      <c r="AB30" s="132" t="s">
        <v>596</v>
      </c>
      <c r="AC30" s="132" t="s">
        <v>785</v>
      </c>
      <c r="AD30" s="126" t="s">
        <v>641</v>
      </c>
      <c r="AE30" s="132" t="s">
        <v>596</v>
      </c>
      <c r="AF30" s="132" t="s">
        <v>748</v>
      </c>
      <c r="AG30" s="124">
        <v>2235</v>
      </c>
      <c r="AH30" s="132" t="s">
        <v>596</v>
      </c>
      <c r="AI30" s="132" t="s">
        <v>785</v>
      </c>
      <c r="AJ30" s="126">
        <v>-21</v>
      </c>
      <c r="AK30" s="132" t="s">
        <v>596</v>
      </c>
      <c r="AL30" s="132" t="s">
        <v>748</v>
      </c>
      <c r="AM30" s="124">
        <v>0</v>
      </c>
      <c r="AN30" s="132" t="s">
        <v>596</v>
      </c>
      <c r="AO30" s="132" t="s">
        <v>785</v>
      </c>
      <c r="AP30" s="126" t="s">
        <v>641</v>
      </c>
      <c r="AQ30" s="132" t="s">
        <v>596</v>
      </c>
      <c r="AR30" s="132" t="s">
        <v>748</v>
      </c>
      <c r="AS30" s="124">
        <v>2127</v>
      </c>
      <c r="AT30" s="132" t="s">
        <v>596</v>
      </c>
      <c r="AU30" s="132" t="s">
        <v>785</v>
      </c>
      <c r="AV30" s="126" t="s">
        <v>641</v>
      </c>
      <c r="AW30" s="132" t="s">
        <v>596</v>
      </c>
      <c r="AX30" s="132" t="s">
        <v>748</v>
      </c>
      <c r="AY30" s="124">
        <v>2150</v>
      </c>
      <c r="AZ30" s="132" t="s">
        <v>596</v>
      </c>
      <c r="BA30" s="132" t="s">
        <v>785</v>
      </c>
      <c r="BB30" s="126" t="s">
        <v>641</v>
      </c>
      <c r="BC30" s="132" t="s">
        <v>596</v>
      </c>
      <c r="BD30" s="131" t="s">
        <v>594</v>
      </c>
    </row>
    <row r="31" spans="1:56">
      <c r="A31" s="130" t="s">
        <v>746</v>
      </c>
      <c r="B31" s="130" t="s">
        <v>748</v>
      </c>
      <c r="C31" s="115">
        <f t="shared" si="0"/>
        <v>29</v>
      </c>
      <c r="D31" s="132" t="s">
        <v>596</v>
      </c>
      <c r="E31" s="132" t="s">
        <v>748</v>
      </c>
      <c r="F31" s="116">
        <f>HYPERLINK("http://ratings.ruchess.ru/people/6577",6577)</f>
        <v>6577</v>
      </c>
      <c r="G31" s="132" t="s">
        <v>596</v>
      </c>
      <c r="H31" s="132" t="s">
        <v>748</v>
      </c>
      <c r="I31" s="116">
        <f>HYPERLINK("https://ratings.fide.com/card.phtml?event=34128422",34128422)</f>
        <v>34128422</v>
      </c>
      <c r="J31" s="132" t="s">
        <v>596</v>
      </c>
      <c r="K31" s="132" t="s">
        <v>748</v>
      </c>
      <c r="L31" s="117" t="s">
        <v>669</v>
      </c>
      <c r="M31" s="132" t="s">
        <v>596</v>
      </c>
      <c r="N31" s="132" t="s">
        <v>748</v>
      </c>
      <c r="O31" s="118">
        <v>1951</v>
      </c>
      <c r="P31" s="132" t="s">
        <v>596</v>
      </c>
      <c r="Q31" s="132" t="s">
        <v>748</v>
      </c>
      <c r="R31" s="128" t="s">
        <v>670</v>
      </c>
      <c r="S31" s="132" t="s">
        <v>596</v>
      </c>
      <c r="T31" s="132" t="s">
        <v>748</v>
      </c>
      <c r="U31" s="118">
        <v>2134</v>
      </c>
      <c r="V31" s="132" t="s">
        <v>596</v>
      </c>
      <c r="W31" s="132" t="s">
        <v>785</v>
      </c>
      <c r="X31" s="120" t="s">
        <v>641</v>
      </c>
      <c r="Y31" s="132" t="s">
        <v>596</v>
      </c>
      <c r="Z31" s="132" t="s">
        <v>748</v>
      </c>
      <c r="AA31" s="118">
        <v>1988</v>
      </c>
      <c r="AB31" s="132" t="s">
        <v>596</v>
      </c>
      <c r="AC31" s="132" t="s">
        <v>785</v>
      </c>
      <c r="AD31" s="120">
        <v>2</v>
      </c>
      <c r="AE31" s="132" t="s">
        <v>596</v>
      </c>
      <c r="AF31" s="132" t="s">
        <v>748</v>
      </c>
      <c r="AG31" s="118">
        <v>2069</v>
      </c>
      <c r="AH31" s="132" t="s">
        <v>596</v>
      </c>
      <c r="AI31" s="132" t="s">
        <v>785</v>
      </c>
      <c r="AJ31" s="120">
        <v>-3</v>
      </c>
      <c r="AK31" s="132" t="s">
        <v>596</v>
      </c>
      <c r="AL31" s="132" t="s">
        <v>748</v>
      </c>
      <c r="AM31" s="118">
        <v>0</v>
      </c>
      <c r="AN31" s="132" t="s">
        <v>596</v>
      </c>
      <c r="AO31" s="132" t="s">
        <v>785</v>
      </c>
      <c r="AP31" s="120" t="s">
        <v>641</v>
      </c>
      <c r="AQ31" s="132" t="s">
        <v>596</v>
      </c>
      <c r="AR31" s="132" t="s">
        <v>748</v>
      </c>
      <c r="AS31" s="118">
        <v>2057</v>
      </c>
      <c r="AT31" s="132" t="s">
        <v>596</v>
      </c>
      <c r="AU31" s="132" t="s">
        <v>785</v>
      </c>
      <c r="AV31" s="120" t="s">
        <v>641</v>
      </c>
      <c r="AW31" s="132" t="s">
        <v>596</v>
      </c>
      <c r="AX31" s="132" t="s">
        <v>748</v>
      </c>
      <c r="AY31" s="118">
        <v>2117</v>
      </c>
      <c r="AZ31" s="132" t="s">
        <v>596</v>
      </c>
      <c r="BA31" s="132" t="s">
        <v>785</v>
      </c>
      <c r="BB31" s="120" t="s">
        <v>641</v>
      </c>
      <c r="BC31" s="132" t="s">
        <v>596</v>
      </c>
      <c r="BD31" s="131" t="s">
        <v>594</v>
      </c>
    </row>
    <row r="32" spans="1:56">
      <c r="A32" s="130" t="s">
        <v>746</v>
      </c>
      <c r="B32" s="130" t="s">
        <v>748</v>
      </c>
      <c r="C32" s="121">
        <f t="shared" si="0"/>
        <v>30</v>
      </c>
      <c r="D32" s="132" t="s">
        <v>596</v>
      </c>
      <c r="E32" s="132" t="s">
        <v>748</v>
      </c>
      <c r="F32" s="122">
        <f>HYPERLINK("http://ratings.ruchess.ru/people/28121",28121)</f>
        <v>28121</v>
      </c>
      <c r="G32" s="132" t="s">
        <v>596</v>
      </c>
      <c r="H32" s="132" t="s">
        <v>748</v>
      </c>
      <c r="I32" s="122">
        <f>HYPERLINK("https://ratings.fide.com/card.phtml?event=4182693",4182693)</f>
        <v>4182693</v>
      </c>
      <c r="J32" s="132" t="s">
        <v>596</v>
      </c>
      <c r="K32" s="132" t="s">
        <v>748</v>
      </c>
      <c r="L32" s="123" t="s">
        <v>671</v>
      </c>
      <c r="M32" s="132" t="s">
        <v>596</v>
      </c>
      <c r="N32" s="132" t="s">
        <v>748</v>
      </c>
      <c r="O32" s="124">
        <v>1989</v>
      </c>
      <c r="P32" s="132" t="s">
        <v>596</v>
      </c>
      <c r="Q32" s="132" t="s">
        <v>748</v>
      </c>
      <c r="R32" s="125" t="s">
        <v>641</v>
      </c>
      <c r="S32" s="132" t="s">
        <v>596</v>
      </c>
      <c r="T32" s="132" t="s">
        <v>748</v>
      </c>
      <c r="U32" s="124">
        <v>2132</v>
      </c>
      <c r="V32" s="132" t="s">
        <v>596</v>
      </c>
      <c r="W32" s="132" t="s">
        <v>785</v>
      </c>
      <c r="X32" s="126" t="s">
        <v>641</v>
      </c>
      <c r="Y32" s="132" t="s">
        <v>596</v>
      </c>
      <c r="Z32" s="132" t="s">
        <v>748</v>
      </c>
      <c r="AA32" s="124">
        <v>2127</v>
      </c>
      <c r="AB32" s="132" t="s">
        <v>596</v>
      </c>
      <c r="AC32" s="132" t="s">
        <v>785</v>
      </c>
      <c r="AD32" s="126" t="s">
        <v>641</v>
      </c>
      <c r="AE32" s="132" t="s">
        <v>596</v>
      </c>
      <c r="AF32" s="132" t="s">
        <v>748</v>
      </c>
      <c r="AG32" s="124">
        <v>2109</v>
      </c>
      <c r="AH32" s="132" t="s">
        <v>596</v>
      </c>
      <c r="AI32" s="132" t="s">
        <v>785</v>
      </c>
      <c r="AJ32" s="126" t="s">
        <v>641</v>
      </c>
      <c r="AK32" s="132" t="s">
        <v>596</v>
      </c>
      <c r="AL32" s="132" t="s">
        <v>748</v>
      </c>
      <c r="AM32" s="124">
        <v>2214</v>
      </c>
      <c r="AN32" s="132" t="s">
        <v>596</v>
      </c>
      <c r="AO32" s="132" t="s">
        <v>785</v>
      </c>
      <c r="AP32" s="126" t="s">
        <v>641</v>
      </c>
      <c r="AQ32" s="132" t="s">
        <v>596</v>
      </c>
      <c r="AR32" s="132" t="s">
        <v>748</v>
      </c>
      <c r="AS32" s="124">
        <v>2152</v>
      </c>
      <c r="AT32" s="132" t="s">
        <v>596</v>
      </c>
      <c r="AU32" s="132" t="s">
        <v>785</v>
      </c>
      <c r="AV32" s="126" t="s">
        <v>641</v>
      </c>
      <c r="AW32" s="132" t="s">
        <v>596</v>
      </c>
      <c r="AX32" s="132" t="s">
        <v>748</v>
      </c>
      <c r="AY32" s="124">
        <v>2145</v>
      </c>
      <c r="AZ32" s="132" t="s">
        <v>596</v>
      </c>
      <c r="BA32" s="132" t="s">
        <v>785</v>
      </c>
      <c r="BB32" s="126" t="s">
        <v>641</v>
      </c>
      <c r="BC32" s="132" t="s">
        <v>596</v>
      </c>
      <c r="BD32" s="131" t="s">
        <v>594</v>
      </c>
    </row>
    <row r="33" spans="1:56">
      <c r="A33" s="130" t="s">
        <v>746</v>
      </c>
      <c r="B33" s="130" t="s">
        <v>748</v>
      </c>
      <c r="C33" s="115">
        <f t="shared" si="0"/>
        <v>31</v>
      </c>
      <c r="D33" s="132" t="s">
        <v>596</v>
      </c>
      <c r="E33" s="132" t="s">
        <v>748</v>
      </c>
      <c r="F33" s="116">
        <f>HYPERLINK("http://ratings.ruchess.ru/people/7459",7459)</f>
        <v>7459</v>
      </c>
      <c r="G33" s="132" t="s">
        <v>596</v>
      </c>
      <c r="H33" s="132" t="s">
        <v>748</v>
      </c>
      <c r="I33" s="116">
        <f>HYPERLINK("https://ratings.fide.com/card.phtml?event=4135164",4135164)</f>
        <v>4135164</v>
      </c>
      <c r="J33" s="132" t="s">
        <v>596</v>
      </c>
      <c r="K33" s="132" t="s">
        <v>748</v>
      </c>
      <c r="L33" s="117" t="s">
        <v>672</v>
      </c>
      <c r="M33" s="132" t="s">
        <v>596</v>
      </c>
      <c r="N33" s="132" t="s">
        <v>748</v>
      </c>
      <c r="O33" s="118">
        <v>1956</v>
      </c>
      <c r="P33" s="132" t="s">
        <v>596</v>
      </c>
      <c r="Q33" s="132" t="s">
        <v>748</v>
      </c>
      <c r="R33" s="128" t="s">
        <v>226</v>
      </c>
      <c r="S33" s="132" t="s">
        <v>596</v>
      </c>
      <c r="T33" s="132" t="s">
        <v>748</v>
      </c>
      <c r="U33" s="118">
        <v>2130</v>
      </c>
      <c r="V33" s="132" t="s">
        <v>596</v>
      </c>
      <c r="W33" s="132" t="s">
        <v>785</v>
      </c>
      <c r="X33" s="120" t="s">
        <v>641</v>
      </c>
      <c r="Y33" s="132" t="s">
        <v>596</v>
      </c>
      <c r="Z33" s="132" t="s">
        <v>748</v>
      </c>
      <c r="AA33" s="118">
        <v>0</v>
      </c>
      <c r="AB33" s="132" t="s">
        <v>596</v>
      </c>
      <c r="AC33" s="132" t="s">
        <v>785</v>
      </c>
      <c r="AD33" s="120" t="s">
        <v>641</v>
      </c>
      <c r="AE33" s="132" t="s">
        <v>596</v>
      </c>
      <c r="AF33" s="132" t="s">
        <v>748</v>
      </c>
      <c r="AG33" s="118">
        <v>0</v>
      </c>
      <c r="AH33" s="132" t="s">
        <v>596</v>
      </c>
      <c r="AI33" s="132" t="s">
        <v>785</v>
      </c>
      <c r="AJ33" s="120" t="s">
        <v>641</v>
      </c>
      <c r="AK33" s="132" t="s">
        <v>596</v>
      </c>
      <c r="AL33" s="132" t="s">
        <v>748</v>
      </c>
      <c r="AM33" s="118">
        <v>2141</v>
      </c>
      <c r="AN33" s="132" t="s">
        <v>596</v>
      </c>
      <c r="AO33" s="132" t="s">
        <v>785</v>
      </c>
      <c r="AP33" s="120" t="s">
        <v>641</v>
      </c>
      <c r="AQ33" s="132" t="s">
        <v>596</v>
      </c>
      <c r="AR33" s="132" t="s">
        <v>748</v>
      </c>
      <c r="AS33" s="118">
        <v>0</v>
      </c>
      <c r="AT33" s="132" t="s">
        <v>596</v>
      </c>
      <c r="AU33" s="132" t="s">
        <v>785</v>
      </c>
      <c r="AV33" s="120" t="s">
        <v>641</v>
      </c>
      <c r="AW33" s="132" t="s">
        <v>596</v>
      </c>
      <c r="AX33" s="132" t="s">
        <v>748</v>
      </c>
      <c r="AY33" s="118">
        <v>0</v>
      </c>
      <c r="AZ33" s="132" t="s">
        <v>596</v>
      </c>
      <c r="BA33" s="132" t="s">
        <v>785</v>
      </c>
      <c r="BB33" s="120" t="s">
        <v>641</v>
      </c>
      <c r="BC33" s="132" t="s">
        <v>596</v>
      </c>
      <c r="BD33" s="131" t="s">
        <v>594</v>
      </c>
    </row>
    <row r="34" spans="1:56">
      <c r="A34" s="130" t="s">
        <v>746</v>
      </c>
      <c r="B34" s="130" t="s">
        <v>748</v>
      </c>
      <c r="C34" s="121">
        <f t="shared" si="0"/>
        <v>32</v>
      </c>
      <c r="D34" s="132" t="s">
        <v>596</v>
      </c>
      <c r="E34" s="132" t="s">
        <v>748</v>
      </c>
      <c r="F34" s="122">
        <f>HYPERLINK("http://ratings.ruchess.ru/people/3514",3514)</f>
        <v>3514</v>
      </c>
      <c r="G34" s="132" t="s">
        <v>596</v>
      </c>
      <c r="H34" s="132" t="s">
        <v>748</v>
      </c>
      <c r="I34" s="122">
        <f>HYPERLINK("https://ratings.fide.com/card.phtml?event=34126195",34126195)</f>
        <v>34126195</v>
      </c>
      <c r="J34" s="132" t="s">
        <v>596</v>
      </c>
      <c r="K34" s="132" t="s">
        <v>748</v>
      </c>
      <c r="L34" s="123" t="s">
        <v>673</v>
      </c>
      <c r="M34" s="132" t="s">
        <v>596</v>
      </c>
      <c r="N34" s="132" t="s">
        <v>748</v>
      </c>
      <c r="O34" s="124">
        <v>2002</v>
      </c>
      <c r="P34" s="132" t="s">
        <v>596</v>
      </c>
      <c r="Q34" s="132" t="s">
        <v>748</v>
      </c>
      <c r="R34" s="125" t="s">
        <v>641</v>
      </c>
      <c r="S34" s="132" t="s">
        <v>596</v>
      </c>
      <c r="T34" s="132" t="s">
        <v>748</v>
      </c>
      <c r="U34" s="124">
        <v>2125</v>
      </c>
      <c r="V34" s="132" t="s">
        <v>596</v>
      </c>
      <c r="W34" s="132" t="s">
        <v>785</v>
      </c>
      <c r="X34" s="126" t="s">
        <v>641</v>
      </c>
      <c r="Y34" s="132" t="s">
        <v>596</v>
      </c>
      <c r="Z34" s="132" t="s">
        <v>748</v>
      </c>
      <c r="AA34" s="124">
        <v>2178</v>
      </c>
      <c r="AB34" s="132" t="s">
        <v>596</v>
      </c>
      <c r="AC34" s="132" t="s">
        <v>785</v>
      </c>
      <c r="AD34" s="126">
        <v>-2</v>
      </c>
      <c r="AE34" s="132" t="s">
        <v>596</v>
      </c>
      <c r="AF34" s="132" t="s">
        <v>748</v>
      </c>
      <c r="AG34" s="124">
        <v>2071</v>
      </c>
      <c r="AH34" s="132" t="s">
        <v>596</v>
      </c>
      <c r="AI34" s="132" t="s">
        <v>785</v>
      </c>
      <c r="AJ34" s="126" t="s">
        <v>641</v>
      </c>
      <c r="AK34" s="132" t="s">
        <v>596</v>
      </c>
      <c r="AL34" s="132" t="s">
        <v>748</v>
      </c>
      <c r="AM34" s="124">
        <v>2117</v>
      </c>
      <c r="AN34" s="132" t="s">
        <v>596</v>
      </c>
      <c r="AO34" s="132" t="s">
        <v>785</v>
      </c>
      <c r="AP34" s="126" t="s">
        <v>641</v>
      </c>
      <c r="AQ34" s="132" t="s">
        <v>596</v>
      </c>
      <c r="AR34" s="132" t="s">
        <v>748</v>
      </c>
      <c r="AS34" s="124">
        <v>2266</v>
      </c>
      <c r="AT34" s="132" t="s">
        <v>596</v>
      </c>
      <c r="AU34" s="132" t="s">
        <v>785</v>
      </c>
      <c r="AV34" s="126" t="s">
        <v>641</v>
      </c>
      <c r="AW34" s="132" t="s">
        <v>596</v>
      </c>
      <c r="AX34" s="132" t="s">
        <v>748</v>
      </c>
      <c r="AY34" s="124">
        <v>2158</v>
      </c>
      <c r="AZ34" s="132" t="s">
        <v>596</v>
      </c>
      <c r="BA34" s="132" t="s">
        <v>785</v>
      </c>
      <c r="BB34" s="126" t="s">
        <v>641</v>
      </c>
      <c r="BC34" s="132" t="s">
        <v>596</v>
      </c>
      <c r="BD34" s="131" t="s">
        <v>594</v>
      </c>
    </row>
    <row r="35" spans="1:56">
      <c r="A35" s="130" t="s">
        <v>746</v>
      </c>
      <c r="B35" s="130" t="s">
        <v>748</v>
      </c>
      <c r="C35" s="115">
        <f t="shared" ref="C35:C66" si="1">+IFERROR(IF(SUBTOTAL(3,L35),C34+1,C34),1)</f>
        <v>33</v>
      </c>
      <c r="D35" s="132" t="s">
        <v>596</v>
      </c>
      <c r="E35" s="132" t="s">
        <v>748</v>
      </c>
      <c r="F35" s="116">
        <f>HYPERLINK("http://ratings.ruchess.ru/people/3646",3646)</f>
        <v>3646</v>
      </c>
      <c r="G35" s="132" t="s">
        <v>596</v>
      </c>
      <c r="H35" s="132" t="s">
        <v>748</v>
      </c>
      <c r="I35" s="116">
        <f>HYPERLINK("https://ratings.fide.com/card.phtml?event=24145068",24145068)</f>
        <v>24145068</v>
      </c>
      <c r="J35" s="132" t="s">
        <v>596</v>
      </c>
      <c r="K35" s="132" t="s">
        <v>748</v>
      </c>
      <c r="L35" s="117" t="s">
        <v>674</v>
      </c>
      <c r="M35" s="132" t="s">
        <v>596</v>
      </c>
      <c r="N35" s="132" t="s">
        <v>748</v>
      </c>
      <c r="O35" s="118">
        <v>1993</v>
      </c>
      <c r="P35" s="132" t="s">
        <v>596</v>
      </c>
      <c r="Q35" s="132" t="s">
        <v>748</v>
      </c>
      <c r="R35" s="128" t="s">
        <v>226</v>
      </c>
      <c r="S35" s="132" t="s">
        <v>596</v>
      </c>
      <c r="T35" s="132" t="s">
        <v>748</v>
      </c>
      <c r="U35" s="118">
        <v>2125</v>
      </c>
      <c r="V35" s="132" t="s">
        <v>596</v>
      </c>
      <c r="W35" s="132" t="s">
        <v>785</v>
      </c>
      <c r="X35" s="120" t="s">
        <v>641</v>
      </c>
      <c r="Y35" s="132" t="s">
        <v>596</v>
      </c>
      <c r="Z35" s="132" t="s">
        <v>748</v>
      </c>
      <c r="AA35" s="118">
        <v>2098</v>
      </c>
      <c r="AB35" s="132" t="s">
        <v>596</v>
      </c>
      <c r="AC35" s="132" t="s">
        <v>785</v>
      </c>
      <c r="AD35" s="120" t="s">
        <v>641</v>
      </c>
      <c r="AE35" s="132" t="s">
        <v>596</v>
      </c>
      <c r="AF35" s="132" t="s">
        <v>748</v>
      </c>
      <c r="AG35" s="118">
        <v>2024</v>
      </c>
      <c r="AH35" s="132" t="s">
        <v>596</v>
      </c>
      <c r="AI35" s="132" t="s">
        <v>785</v>
      </c>
      <c r="AJ35" s="120" t="s">
        <v>641</v>
      </c>
      <c r="AK35" s="132" t="s">
        <v>596</v>
      </c>
      <c r="AL35" s="132" t="s">
        <v>748</v>
      </c>
      <c r="AM35" s="118">
        <v>2011</v>
      </c>
      <c r="AN35" s="132" t="s">
        <v>596</v>
      </c>
      <c r="AO35" s="132" t="s">
        <v>785</v>
      </c>
      <c r="AP35" s="120" t="s">
        <v>641</v>
      </c>
      <c r="AQ35" s="132" t="s">
        <v>596</v>
      </c>
      <c r="AR35" s="132" t="s">
        <v>748</v>
      </c>
      <c r="AS35" s="118">
        <v>2099</v>
      </c>
      <c r="AT35" s="132" t="s">
        <v>596</v>
      </c>
      <c r="AU35" s="132" t="s">
        <v>785</v>
      </c>
      <c r="AV35" s="120" t="s">
        <v>641</v>
      </c>
      <c r="AW35" s="132" t="s">
        <v>596</v>
      </c>
      <c r="AX35" s="132" t="s">
        <v>748</v>
      </c>
      <c r="AY35" s="118">
        <v>2024</v>
      </c>
      <c r="AZ35" s="132" t="s">
        <v>596</v>
      </c>
      <c r="BA35" s="132" t="s">
        <v>785</v>
      </c>
      <c r="BB35" s="120" t="s">
        <v>641</v>
      </c>
      <c r="BC35" s="132" t="s">
        <v>596</v>
      </c>
      <c r="BD35" s="131" t="s">
        <v>594</v>
      </c>
    </row>
    <row r="36" spans="1:56">
      <c r="A36" s="130" t="s">
        <v>746</v>
      </c>
      <c r="B36" s="130" t="s">
        <v>748</v>
      </c>
      <c r="C36" s="121">
        <f t="shared" si="1"/>
        <v>34</v>
      </c>
      <c r="D36" s="132" t="s">
        <v>596</v>
      </c>
      <c r="E36" s="132" t="s">
        <v>748</v>
      </c>
      <c r="F36" s="122">
        <f>HYPERLINK("http://ratings.ruchess.ru/people/6576",6576)</f>
        <v>6576</v>
      </c>
      <c r="G36" s="132" t="s">
        <v>596</v>
      </c>
      <c r="H36" s="132" t="s">
        <v>748</v>
      </c>
      <c r="I36" s="122">
        <f>HYPERLINK("https://ratings.fide.com/card.phtml?event=4155440",4155440)</f>
        <v>4155440</v>
      </c>
      <c r="J36" s="132" t="s">
        <v>596</v>
      </c>
      <c r="K36" s="132" t="s">
        <v>748</v>
      </c>
      <c r="L36" s="123" t="s">
        <v>675</v>
      </c>
      <c r="M36" s="132" t="s">
        <v>596</v>
      </c>
      <c r="N36" s="132" t="s">
        <v>748</v>
      </c>
      <c r="O36" s="124">
        <v>1966</v>
      </c>
      <c r="P36" s="132" t="s">
        <v>596</v>
      </c>
      <c r="Q36" s="132" t="s">
        <v>748</v>
      </c>
      <c r="R36" s="125" t="s">
        <v>641</v>
      </c>
      <c r="S36" s="132" t="s">
        <v>596</v>
      </c>
      <c r="T36" s="132" t="s">
        <v>748</v>
      </c>
      <c r="U36" s="124">
        <v>2124</v>
      </c>
      <c r="V36" s="132" t="s">
        <v>596</v>
      </c>
      <c r="W36" s="132" t="s">
        <v>785</v>
      </c>
      <c r="X36" s="126" t="s">
        <v>641</v>
      </c>
      <c r="Y36" s="132" t="s">
        <v>596</v>
      </c>
      <c r="Z36" s="132" t="s">
        <v>748</v>
      </c>
      <c r="AA36" s="124">
        <v>1921</v>
      </c>
      <c r="AB36" s="132" t="s">
        <v>596</v>
      </c>
      <c r="AC36" s="132" t="s">
        <v>785</v>
      </c>
      <c r="AD36" s="126">
        <v>-45</v>
      </c>
      <c r="AE36" s="132" t="s">
        <v>596</v>
      </c>
      <c r="AF36" s="132" t="s">
        <v>748</v>
      </c>
      <c r="AG36" s="124">
        <v>2086</v>
      </c>
      <c r="AH36" s="132" t="s">
        <v>596</v>
      </c>
      <c r="AI36" s="132" t="s">
        <v>785</v>
      </c>
      <c r="AJ36" s="126">
        <v>-52</v>
      </c>
      <c r="AK36" s="132" t="s">
        <v>596</v>
      </c>
      <c r="AL36" s="132" t="s">
        <v>748</v>
      </c>
      <c r="AM36" s="124">
        <v>2113</v>
      </c>
      <c r="AN36" s="132" t="s">
        <v>596</v>
      </c>
      <c r="AO36" s="132" t="s">
        <v>785</v>
      </c>
      <c r="AP36" s="126" t="s">
        <v>641</v>
      </c>
      <c r="AQ36" s="132" t="s">
        <v>596</v>
      </c>
      <c r="AR36" s="132" t="s">
        <v>748</v>
      </c>
      <c r="AS36" s="124">
        <v>2078</v>
      </c>
      <c r="AT36" s="132" t="s">
        <v>596</v>
      </c>
      <c r="AU36" s="132" t="s">
        <v>785</v>
      </c>
      <c r="AV36" s="126" t="s">
        <v>641</v>
      </c>
      <c r="AW36" s="132" t="s">
        <v>596</v>
      </c>
      <c r="AX36" s="132" t="s">
        <v>748</v>
      </c>
      <c r="AY36" s="124">
        <v>2138</v>
      </c>
      <c r="AZ36" s="132" t="s">
        <v>596</v>
      </c>
      <c r="BA36" s="132" t="s">
        <v>785</v>
      </c>
      <c r="BB36" s="126" t="s">
        <v>641</v>
      </c>
      <c r="BC36" s="132" t="s">
        <v>596</v>
      </c>
      <c r="BD36" s="131" t="s">
        <v>594</v>
      </c>
    </row>
    <row r="37" spans="1:56">
      <c r="A37" s="130" t="s">
        <v>746</v>
      </c>
      <c r="B37" s="130" t="s">
        <v>748</v>
      </c>
      <c r="C37" s="115">
        <f t="shared" si="1"/>
        <v>35</v>
      </c>
      <c r="D37" s="132" t="s">
        <v>596</v>
      </c>
      <c r="E37" s="132" t="s">
        <v>748</v>
      </c>
      <c r="F37" s="116">
        <f>HYPERLINK("http://ratings.ruchess.ru/people/6573",6573)</f>
        <v>6573</v>
      </c>
      <c r="G37" s="132" t="s">
        <v>596</v>
      </c>
      <c r="H37" s="132" t="s">
        <v>748</v>
      </c>
      <c r="I37" s="116">
        <f>HYPERLINK("https://ratings.fide.com/card.phtml?event=34128554",34128554)</f>
        <v>34128554</v>
      </c>
      <c r="J37" s="132" t="s">
        <v>596</v>
      </c>
      <c r="K37" s="132" t="s">
        <v>748</v>
      </c>
      <c r="L37" s="117" t="s">
        <v>676</v>
      </c>
      <c r="M37" s="132" t="s">
        <v>596</v>
      </c>
      <c r="N37" s="132" t="s">
        <v>748</v>
      </c>
      <c r="O37" s="118">
        <v>1980</v>
      </c>
      <c r="P37" s="132" t="s">
        <v>596</v>
      </c>
      <c r="Q37" s="132" t="s">
        <v>748</v>
      </c>
      <c r="R37" s="128" t="s">
        <v>226</v>
      </c>
      <c r="S37" s="132" t="s">
        <v>596</v>
      </c>
      <c r="T37" s="132" t="s">
        <v>748</v>
      </c>
      <c r="U37" s="118">
        <v>2122</v>
      </c>
      <c r="V37" s="132" t="s">
        <v>596</v>
      </c>
      <c r="W37" s="132" t="s">
        <v>785</v>
      </c>
      <c r="X37" s="120" t="s">
        <v>641</v>
      </c>
      <c r="Y37" s="132" t="s">
        <v>596</v>
      </c>
      <c r="Z37" s="132" t="s">
        <v>748</v>
      </c>
      <c r="AA37" s="118">
        <v>2101</v>
      </c>
      <c r="AB37" s="132" t="s">
        <v>596</v>
      </c>
      <c r="AC37" s="132" t="s">
        <v>785</v>
      </c>
      <c r="AD37" s="120" t="s">
        <v>641</v>
      </c>
      <c r="AE37" s="132" t="s">
        <v>596</v>
      </c>
      <c r="AF37" s="132" t="s">
        <v>748</v>
      </c>
      <c r="AG37" s="118">
        <v>2165</v>
      </c>
      <c r="AH37" s="132" t="s">
        <v>596</v>
      </c>
      <c r="AI37" s="132" t="s">
        <v>785</v>
      </c>
      <c r="AJ37" s="120">
        <v>31</v>
      </c>
      <c r="AK37" s="132" t="s">
        <v>596</v>
      </c>
      <c r="AL37" s="132" t="s">
        <v>748</v>
      </c>
      <c r="AM37" s="118">
        <v>0</v>
      </c>
      <c r="AN37" s="132" t="s">
        <v>596</v>
      </c>
      <c r="AO37" s="132" t="s">
        <v>785</v>
      </c>
      <c r="AP37" s="120" t="s">
        <v>641</v>
      </c>
      <c r="AQ37" s="132" t="s">
        <v>596</v>
      </c>
      <c r="AR37" s="132" t="s">
        <v>748</v>
      </c>
      <c r="AS37" s="118">
        <v>2110</v>
      </c>
      <c r="AT37" s="132" t="s">
        <v>596</v>
      </c>
      <c r="AU37" s="132" t="s">
        <v>785</v>
      </c>
      <c r="AV37" s="120" t="s">
        <v>641</v>
      </c>
      <c r="AW37" s="132" t="s">
        <v>596</v>
      </c>
      <c r="AX37" s="132" t="s">
        <v>748</v>
      </c>
      <c r="AY37" s="118">
        <v>2181</v>
      </c>
      <c r="AZ37" s="132" t="s">
        <v>596</v>
      </c>
      <c r="BA37" s="132" t="s">
        <v>785</v>
      </c>
      <c r="BB37" s="120">
        <v>15</v>
      </c>
      <c r="BC37" s="132" t="s">
        <v>596</v>
      </c>
      <c r="BD37" s="131" t="s">
        <v>594</v>
      </c>
    </row>
    <row r="38" spans="1:56">
      <c r="A38" s="130" t="s">
        <v>746</v>
      </c>
      <c r="B38" s="130" t="s">
        <v>748</v>
      </c>
      <c r="C38" s="121">
        <f t="shared" si="1"/>
        <v>36</v>
      </c>
      <c r="D38" s="132" t="s">
        <v>596</v>
      </c>
      <c r="E38" s="132" t="s">
        <v>748</v>
      </c>
      <c r="F38" s="122">
        <f>HYPERLINK("http://ratings.ruchess.ru/people/3509",3509)</f>
        <v>3509</v>
      </c>
      <c r="G38" s="132" t="s">
        <v>596</v>
      </c>
      <c r="H38" s="132" t="s">
        <v>748</v>
      </c>
      <c r="I38" s="122">
        <f>HYPERLINK("https://ratings.fide.com/card.phtml?event=4126971",4126971)</f>
        <v>4126971</v>
      </c>
      <c r="J38" s="132" t="s">
        <v>596</v>
      </c>
      <c r="K38" s="132" t="s">
        <v>748</v>
      </c>
      <c r="L38" s="123" t="s">
        <v>677</v>
      </c>
      <c r="M38" s="132" t="s">
        <v>596</v>
      </c>
      <c r="N38" s="132" t="s">
        <v>748</v>
      </c>
      <c r="O38" s="124">
        <v>1994</v>
      </c>
      <c r="P38" s="132" t="s">
        <v>596</v>
      </c>
      <c r="Q38" s="132" t="s">
        <v>748</v>
      </c>
      <c r="R38" s="125" t="s">
        <v>641</v>
      </c>
      <c r="S38" s="132" t="s">
        <v>596</v>
      </c>
      <c r="T38" s="132" t="s">
        <v>748</v>
      </c>
      <c r="U38" s="124">
        <v>2121</v>
      </c>
      <c r="V38" s="132" t="s">
        <v>596</v>
      </c>
      <c r="W38" s="132" t="s">
        <v>785</v>
      </c>
      <c r="X38" s="126" t="s">
        <v>641</v>
      </c>
      <c r="Y38" s="132" t="s">
        <v>596</v>
      </c>
      <c r="Z38" s="132" t="s">
        <v>748</v>
      </c>
      <c r="AA38" s="124">
        <v>2144</v>
      </c>
      <c r="AB38" s="132" t="s">
        <v>596</v>
      </c>
      <c r="AC38" s="132" t="s">
        <v>785</v>
      </c>
      <c r="AD38" s="126">
        <v>22</v>
      </c>
      <c r="AE38" s="132" t="s">
        <v>596</v>
      </c>
      <c r="AF38" s="132" t="s">
        <v>748</v>
      </c>
      <c r="AG38" s="124">
        <v>2162</v>
      </c>
      <c r="AH38" s="132" t="s">
        <v>596</v>
      </c>
      <c r="AI38" s="132" t="s">
        <v>785</v>
      </c>
      <c r="AJ38" s="126" t="s">
        <v>641</v>
      </c>
      <c r="AK38" s="132" t="s">
        <v>596</v>
      </c>
      <c r="AL38" s="132" t="s">
        <v>748</v>
      </c>
      <c r="AM38" s="124">
        <v>2122</v>
      </c>
      <c r="AN38" s="132" t="s">
        <v>596</v>
      </c>
      <c r="AO38" s="132" t="s">
        <v>785</v>
      </c>
      <c r="AP38" s="126" t="s">
        <v>641</v>
      </c>
      <c r="AQ38" s="132" t="s">
        <v>596</v>
      </c>
      <c r="AR38" s="132" t="s">
        <v>748</v>
      </c>
      <c r="AS38" s="124">
        <v>2157</v>
      </c>
      <c r="AT38" s="132" t="s">
        <v>596</v>
      </c>
      <c r="AU38" s="132" t="s">
        <v>785</v>
      </c>
      <c r="AV38" s="126">
        <v>15</v>
      </c>
      <c r="AW38" s="132" t="s">
        <v>596</v>
      </c>
      <c r="AX38" s="132" t="s">
        <v>748</v>
      </c>
      <c r="AY38" s="124">
        <v>2183</v>
      </c>
      <c r="AZ38" s="132" t="s">
        <v>596</v>
      </c>
      <c r="BA38" s="132" t="s">
        <v>785</v>
      </c>
      <c r="BB38" s="126" t="s">
        <v>641</v>
      </c>
      <c r="BC38" s="132" t="s">
        <v>596</v>
      </c>
      <c r="BD38" s="131" t="s">
        <v>594</v>
      </c>
    </row>
    <row r="39" spans="1:56">
      <c r="A39" s="130" t="s">
        <v>746</v>
      </c>
      <c r="B39" s="130" t="s">
        <v>748</v>
      </c>
      <c r="C39" s="115">
        <f t="shared" si="1"/>
        <v>37</v>
      </c>
      <c r="D39" s="132" t="s">
        <v>596</v>
      </c>
      <c r="E39" s="132" t="s">
        <v>748</v>
      </c>
      <c r="F39" s="116">
        <f>HYPERLINK("http://ratings.ruchess.ru/people/19382",19382)</f>
        <v>19382</v>
      </c>
      <c r="G39" s="132" t="s">
        <v>596</v>
      </c>
      <c r="H39" s="132" t="s">
        <v>748</v>
      </c>
      <c r="I39" s="116">
        <f>HYPERLINK("https://ratings.fide.com/card.phtml?event=34128651",34128651)</f>
        <v>34128651</v>
      </c>
      <c r="J39" s="132" t="s">
        <v>596</v>
      </c>
      <c r="K39" s="132" t="s">
        <v>748</v>
      </c>
      <c r="L39" s="117" t="s">
        <v>678</v>
      </c>
      <c r="M39" s="132" t="s">
        <v>596</v>
      </c>
      <c r="N39" s="132" t="s">
        <v>748</v>
      </c>
      <c r="O39" s="118">
        <v>1977</v>
      </c>
      <c r="P39" s="132" t="s">
        <v>596</v>
      </c>
      <c r="Q39" s="132" t="s">
        <v>748</v>
      </c>
      <c r="R39" s="128" t="s">
        <v>226</v>
      </c>
      <c r="S39" s="132" t="s">
        <v>596</v>
      </c>
      <c r="T39" s="132" t="s">
        <v>748</v>
      </c>
      <c r="U39" s="118">
        <v>2118</v>
      </c>
      <c r="V39" s="132" t="s">
        <v>596</v>
      </c>
      <c r="W39" s="132" t="s">
        <v>785</v>
      </c>
      <c r="X39" s="120" t="s">
        <v>641</v>
      </c>
      <c r="Y39" s="132" t="s">
        <v>596</v>
      </c>
      <c r="Z39" s="132" t="s">
        <v>748</v>
      </c>
      <c r="AA39" s="118">
        <v>2145</v>
      </c>
      <c r="AB39" s="132" t="s">
        <v>596</v>
      </c>
      <c r="AC39" s="132" t="s">
        <v>785</v>
      </c>
      <c r="AD39" s="120" t="s">
        <v>641</v>
      </c>
      <c r="AE39" s="132" t="s">
        <v>596</v>
      </c>
      <c r="AF39" s="132" t="s">
        <v>748</v>
      </c>
      <c r="AG39" s="118">
        <v>2189</v>
      </c>
      <c r="AH39" s="132" t="s">
        <v>596</v>
      </c>
      <c r="AI39" s="132" t="s">
        <v>785</v>
      </c>
      <c r="AJ39" s="120" t="s">
        <v>641</v>
      </c>
      <c r="AK39" s="132" t="s">
        <v>596</v>
      </c>
      <c r="AL39" s="132" t="s">
        <v>748</v>
      </c>
      <c r="AM39" s="118">
        <v>0</v>
      </c>
      <c r="AN39" s="132" t="s">
        <v>596</v>
      </c>
      <c r="AO39" s="132" t="s">
        <v>785</v>
      </c>
      <c r="AP39" s="120" t="s">
        <v>641</v>
      </c>
      <c r="AQ39" s="132" t="s">
        <v>596</v>
      </c>
      <c r="AR39" s="132" t="s">
        <v>748</v>
      </c>
      <c r="AS39" s="118">
        <v>0</v>
      </c>
      <c r="AT39" s="132" t="s">
        <v>596</v>
      </c>
      <c r="AU39" s="132" t="s">
        <v>785</v>
      </c>
      <c r="AV39" s="120" t="s">
        <v>641</v>
      </c>
      <c r="AW39" s="132" t="s">
        <v>596</v>
      </c>
      <c r="AX39" s="132" t="s">
        <v>748</v>
      </c>
      <c r="AY39" s="118">
        <v>2236</v>
      </c>
      <c r="AZ39" s="132" t="s">
        <v>596</v>
      </c>
      <c r="BA39" s="132" t="s">
        <v>785</v>
      </c>
      <c r="BB39" s="120" t="s">
        <v>641</v>
      </c>
      <c r="BC39" s="132" t="s">
        <v>596</v>
      </c>
      <c r="BD39" s="131" t="s">
        <v>594</v>
      </c>
    </row>
    <row r="40" spans="1:56">
      <c r="A40" s="130" t="s">
        <v>746</v>
      </c>
      <c r="B40" s="130" t="s">
        <v>748</v>
      </c>
      <c r="C40" s="121">
        <f t="shared" si="1"/>
        <v>38</v>
      </c>
      <c r="D40" s="132" t="s">
        <v>596</v>
      </c>
      <c r="E40" s="132" t="s">
        <v>748</v>
      </c>
      <c r="F40" s="122">
        <f>HYPERLINK("http://ratings.ruchess.ru/people/3427",3427)</f>
        <v>3427</v>
      </c>
      <c r="G40" s="132" t="s">
        <v>596</v>
      </c>
      <c r="H40" s="132" t="s">
        <v>748</v>
      </c>
      <c r="I40" s="122">
        <f>HYPERLINK("https://ratings.fide.com/card.phtml?event=4187288",4187288)</f>
        <v>4187288</v>
      </c>
      <c r="J40" s="132" t="s">
        <v>596</v>
      </c>
      <c r="K40" s="132" t="s">
        <v>748</v>
      </c>
      <c r="L40" s="123" t="s">
        <v>679</v>
      </c>
      <c r="M40" s="132" t="s">
        <v>596</v>
      </c>
      <c r="N40" s="132" t="s">
        <v>748</v>
      </c>
      <c r="O40" s="124">
        <v>1984</v>
      </c>
      <c r="P40" s="132" t="s">
        <v>596</v>
      </c>
      <c r="Q40" s="132" t="s">
        <v>748</v>
      </c>
      <c r="R40" s="125" t="s">
        <v>641</v>
      </c>
      <c r="S40" s="132" t="s">
        <v>596</v>
      </c>
      <c r="T40" s="132" t="s">
        <v>748</v>
      </c>
      <c r="U40" s="124">
        <v>2117</v>
      </c>
      <c r="V40" s="132" t="s">
        <v>596</v>
      </c>
      <c r="W40" s="132" t="s">
        <v>785</v>
      </c>
      <c r="X40" s="126" t="s">
        <v>641</v>
      </c>
      <c r="Y40" s="132" t="s">
        <v>596</v>
      </c>
      <c r="Z40" s="132" t="s">
        <v>748</v>
      </c>
      <c r="AA40" s="124">
        <v>2129</v>
      </c>
      <c r="AB40" s="132" t="s">
        <v>596</v>
      </c>
      <c r="AC40" s="132" t="s">
        <v>785</v>
      </c>
      <c r="AD40" s="126" t="s">
        <v>641</v>
      </c>
      <c r="AE40" s="132" t="s">
        <v>596</v>
      </c>
      <c r="AF40" s="132" t="s">
        <v>748</v>
      </c>
      <c r="AG40" s="124">
        <v>1998</v>
      </c>
      <c r="AH40" s="132" t="s">
        <v>596</v>
      </c>
      <c r="AI40" s="132" t="s">
        <v>785</v>
      </c>
      <c r="AJ40" s="126" t="s">
        <v>641</v>
      </c>
      <c r="AK40" s="132" t="s">
        <v>596</v>
      </c>
      <c r="AL40" s="132" t="s">
        <v>748</v>
      </c>
      <c r="AM40" s="124">
        <v>2115</v>
      </c>
      <c r="AN40" s="132" t="s">
        <v>596</v>
      </c>
      <c r="AO40" s="132" t="s">
        <v>785</v>
      </c>
      <c r="AP40" s="126" t="s">
        <v>641</v>
      </c>
      <c r="AQ40" s="132" t="s">
        <v>596</v>
      </c>
      <c r="AR40" s="132" t="s">
        <v>748</v>
      </c>
      <c r="AS40" s="124">
        <v>2124</v>
      </c>
      <c r="AT40" s="132" t="s">
        <v>596</v>
      </c>
      <c r="AU40" s="132" t="s">
        <v>785</v>
      </c>
      <c r="AV40" s="126" t="s">
        <v>641</v>
      </c>
      <c r="AW40" s="132" t="s">
        <v>596</v>
      </c>
      <c r="AX40" s="132" t="s">
        <v>748</v>
      </c>
      <c r="AY40" s="124">
        <v>2060</v>
      </c>
      <c r="AZ40" s="132" t="s">
        <v>596</v>
      </c>
      <c r="BA40" s="132" t="s">
        <v>785</v>
      </c>
      <c r="BB40" s="126" t="s">
        <v>641</v>
      </c>
      <c r="BC40" s="132" t="s">
        <v>596</v>
      </c>
      <c r="BD40" s="131" t="s">
        <v>594</v>
      </c>
    </row>
    <row r="41" spans="1:56">
      <c r="A41" s="130" t="s">
        <v>746</v>
      </c>
      <c r="B41" s="130" t="s">
        <v>748</v>
      </c>
      <c r="C41" s="115">
        <f t="shared" si="1"/>
        <v>39</v>
      </c>
      <c r="D41" s="132" t="s">
        <v>596</v>
      </c>
      <c r="E41" s="132" t="s">
        <v>748</v>
      </c>
      <c r="F41" s="116">
        <f>HYPERLINK("http://ratings.ruchess.ru/people/3515",3515)</f>
        <v>3515</v>
      </c>
      <c r="G41" s="132" t="s">
        <v>596</v>
      </c>
      <c r="H41" s="132" t="s">
        <v>748</v>
      </c>
      <c r="I41" s="116">
        <f>HYPERLINK("https://ratings.fide.com/card.phtml?event=4137779",4137779)</f>
        <v>4137779</v>
      </c>
      <c r="J41" s="132" t="s">
        <v>596</v>
      </c>
      <c r="K41" s="132" t="s">
        <v>748</v>
      </c>
      <c r="L41" s="117" t="s">
        <v>680</v>
      </c>
      <c r="M41" s="132" t="s">
        <v>596</v>
      </c>
      <c r="N41" s="132" t="s">
        <v>748</v>
      </c>
      <c r="O41" s="118">
        <v>1958</v>
      </c>
      <c r="P41" s="132" t="s">
        <v>596</v>
      </c>
      <c r="Q41" s="132" t="s">
        <v>748</v>
      </c>
      <c r="R41" s="128" t="s">
        <v>281</v>
      </c>
      <c r="S41" s="132" t="s">
        <v>596</v>
      </c>
      <c r="T41" s="132" t="s">
        <v>748</v>
      </c>
      <c r="U41" s="118">
        <v>2107</v>
      </c>
      <c r="V41" s="132" t="s">
        <v>596</v>
      </c>
      <c r="W41" s="132" t="s">
        <v>785</v>
      </c>
      <c r="X41" s="120" t="s">
        <v>641</v>
      </c>
      <c r="Y41" s="132" t="s">
        <v>596</v>
      </c>
      <c r="Z41" s="132" t="s">
        <v>748</v>
      </c>
      <c r="AA41" s="118">
        <v>1865</v>
      </c>
      <c r="AB41" s="132" t="s">
        <v>596</v>
      </c>
      <c r="AC41" s="132" t="s">
        <v>785</v>
      </c>
      <c r="AD41" s="120">
        <v>-91</v>
      </c>
      <c r="AE41" s="132" t="s">
        <v>596</v>
      </c>
      <c r="AF41" s="132" t="s">
        <v>748</v>
      </c>
      <c r="AG41" s="118">
        <v>1796</v>
      </c>
      <c r="AH41" s="132" t="s">
        <v>596</v>
      </c>
      <c r="AI41" s="132" t="s">
        <v>785</v>
      </c>
      <c r="AJ41" s="120">
        <v>-24</v>
      </c>
      <c r="AK41" s="132" t="s">
        <v>596</v>
      </c>
      <c r="AL41" s="132" t="s">
        <v>748</v>
      </c>
      <c r="AM41" s="118">
        <v>2082</v>
      </c>
      <c r="AN41" s="132" t="s">
        <v>596</v>
      </c>
      <c r="AO41" s="132" t="s">
        <v>785</v>
      </c>
      <c r="AP41" s="120" t="s">
        <v>641</v>
      </c>
      <c r="AQ41" s="132" t="s">
        <v>596</v>
      </c>
      <c r="AR41" s="132" t="s">
        <v>748</v>
      </c>
      <c r="AS41" s="118">
        <v>2041</v>
      </c>
      <c r="AT41" s="132" t="s">
        <v>596</v>
      </c>
      <c r="AU41" s="132" t="s">
        <v>785</v>
      </c>
      <c r="AV41" s="120" t="s">
        <v>641</v>
      </c>
      <c r="AW41" s="132" t="s">
        <v>596</v>
      </c>
      <c r="AX41" s="132" t="s">
        <v>748</v>
      </c>
      <c r="AY41" s="118">
        <v>2037</v>
      </c>
      <c r="AZ41" s="132" t="s">
        <v>596</v>
      </c>
      <c r="BA41" s="132" t="s">
        <v>785</v>
      </c>
      <c r="BB41" s="120" t="s">
        <v>641</v>
      </c>
      <c r="BC41" s="132" t="s">
        <v>596</v>
      </c>
      <c r="BD41" s="131" t="s">
        <v>594</v>
      </c>
    </row>
    <row r="42" spans="1:56">
      <c r="A42" s="130" t="s">
        <v>746</v>
      </c>
      <c r="B42" s="130" t="s">
        <v>748</v>
      </c>
      <c r="C42" s="121">
        <f t="shared" si="1"/>
        <v>40</v>
      </c>
      <c r="D42" s="132" t="s">
        <v>596</v>
      </c>
      <c r="E42" s="132" t="s">
        <v>748</v>
      </c>
      <c r="F42" s="122">
        <f>HYPERLINK("http://ratings.ruchess.ru/people/111588",111588)</f>
        <v>111588</v>
      </c>
      <c r="G42" s="132" t="s">
        <v>596</v>
      </c>
      <c r="H42" s="132" t="s">
        <v>748</v>
      </c>
      <c r="I42" s="122">
        <f>HYPERLINK("https://ratings.fide.com/card.phtml?event=4150864",4150864)</f>
        <v>4150864</v>
      </c>
      <c r="J42" s="132" t="s">
        <v>596</v>
      </c>
      <c r="K42" s="132" t="s">
        <v>748</v>
      </c>
      <c r="L42" s="123" t="s">
        <v>681</v>
      </c>
      <c r="M42" s="132" t="s">
        <v>596</v>
      </c>
      <c r="N42" s="132" t="s">
        <v>748</v>
      </c>
      <c r="O42" s="124">
        <v>1984</v>
      </c>
      <c r="P42" s="132" t="s">
        <v>596</v>
      </c>
      <c r="Q42" s="132" t="s">
        <v>748</v>
      </c>
      <c r="R42" s="127" t="s">
        <v>294</v>
      </c>
      <c r="S42" s="132" t="s">
        <v>596</v>
      </c>
      <c r="T42" s="132" t="s">
        <v>748</v>
      </c>
      <c r="U42" s="124">
        <v>2107</v>
      </c>
      <c r="V42" s="132" t="s">
        <v>596</v>
      </c>
      <c r="W42" s="132" t="s">
        <v>785</v>
      </c>
      <c r="X42" s="126" t="s">
        <v>641</v>
      </c>
      <c r="Y42" s="132" t="s">
        <v>596</v>
      </c>
      <c r="Z42" s="132" t="s">
        <v>748</v>
      </c>
      <c r="AA42" s="124">
        <v>0</v>
      </c>
      <c r="AB42" s="132" t="s">
        <v>596</v>
      </c>
      <c r="AC42" s="132" t="s">
        <v>785</v>
      </c>
      <c r="AD42" s="126" t="s">
        <v>641</v>
      </c>
      <c r="AE42" s="132" t="s">
        <v>596</v>
      </c>
      <c r="AF42" s="132" t="s">
        <v>748</v>
      </c>
      <c r="AG42" s="124">
        <v>0</v>
      </c>
      <c r="AH42" s="132" t="s">
        <v>596</v>
      </c>
      <c r="AI42" s="132" t="s">
        <v>785</v>
      </c>
      <c r="AJ42" s="126" t="s">
        <v>641</v>
      </c>
      <c r="AK42" s="132" t="s">
        <v>596</v>
      </c>
      <c r="AL42" s="132" t="s">
        <v>748</v>
      </c>
      <c r="AM42" s="124">
        <v>2162</v>
      </c>
      <c r="AN42" s="132" t="s">
        <v>596</v>
      </c>
      <c r="AO42" s="132" t="s">
        <v>785</v>
      </c>
      <c r="AP42" s="126" t="s">
        <v>641</v>
      </c>
      <c r="AQ42" s="132" t="s">
        <v>596</v>
      </c>
      <c r="AR42" s="132" t="s">
        <v>748</v>
      </c>
      <c r="AS42" s="124">
        <v>0</v>
      </c>
      <c r="AT42" s="132" t="s">
        <v>596</v>
      </c>
      <c r="AU42" s="132" t="s">
        <v>785</v>
      </c>
      <c r="AV42" s="126" t="s">
        <v>641</v>
      </c>
      <c r="AW42" s="132" t="s">
        <v>596</v>
      </c>
      <c r="AX42" s="132" t="s">
        <v>748</v>
      </c>
      <c r="AY42" s="124">
        <v>0</v>
      </c>
      <c r="AZ42" s="132" t="s">
        <v>596</v>
      </c>
      <c r="BA42" s="132" t="s">
        <v>785</v>
      </c>
      <c r="BB42" s="126" t="s">
        <v>641</v>
      </c>
      <c r="BC42" s="132" t="s">
        <v>596</v>
      </c>
      <c r="BD42" s="131" t="s">
        <v>594</v>
      </c>
    </row>
    <row r="43" spans="1:56">
      <c r="A43" s="130" t="s">
        <v>746</v>
      </c>
      <c r="B43" s="130" t="s">
        <v>748</v>
      </c>
      <c r="C43" s="115">
        <f t="shared" si="1"/>
        <v>41</v>
      </c>
      <c r="D43" s="132" t="s">
        <v>596</v>
      </c>
      <c r="E43" s="132" t="s">
        <v>748</v>
      </c>
      <c r="F43" s="116">
        <f>HYPERLINK("http://ratings.ruchess.ru/people/3601",3601)</f>
        <v>3601</v>
      </c>
      <c r="G43" s="132" t="s">
        <v>596</v>
      </c>
      <c r="H43" s="132" t="s">
        <v>748</v>
      </c>
      <c r="I43" s="116">
        <f>HYPERLINK("https://ratings.fide.com/card.phtml?event=34166278",34166278)</f>
        <v>34166278</v>
      </c>
      <c r="J43" s="132" t="s">
        <v>596</v>
      </c>
      <c r="K43" s="132" t="s">
        <v>748</v>
      </c>
      <c r="L43" s="117" t="s">
        <v>682</v>
      </c>
      <c r="M43" s="132" t="s">
        <v>596</v>
      </c>
      <c r="N43" s="132" t="s">
        <v>748</v>
      </c>
      <c r="O43" s="118">
        <v>2004</v>
      </c>
      <c r="P43" s="132" t="s">
        <v>596</v>
      </c>
      <c r="Q43" s="132" t="s">
        <v>748</v>
      </c>
      <c r="R43" s="119" t="s">
        <v>641</v>
      </c>
      <c r="S43" s="132" t="s">
        <v>596</v>
      </c>
      <c r="T43" s="132" t="s">
        <v>748</v>
      </c>
      <c r="U43" s="118">
        <v>2105</v>
      </c>
      <c r="V43" s="132" t="s">
        <v>596</v>
      </c>
      <c r="W43" s="132" t="s">
        <v>785</v>
      </c>
      <c r="X43" s="120" t="s">
        <v>641</v>
      </c>
      <c r="Y43" s="132" t="s">
        <v>596</v>
      </c>
      <c r="Z43" s="132" t="s">
        <v>748</v>
      </c>
      <c r="AA43" s="118">
        <v>2032</v>
      </c>
      <c r="AB43" s="132" t="s">
        <v>596</v>
      </c>
      <c r="AC43" s="132" t="s">
        <v>785</v>
      </c>
      <c r="AD43" s="120">
        <v>17</v>
      </c>
      <c r="AE43" s="132" t="s">
        <v>596</v>
      </c>
      <c r="AF43" s="132" t="s">
        <v>748</v>
      </c>
      <c r="AG43" s="118">
        <v>1926</v>
      </c>
      <c r="AH43" s="132" t="s">
        <v>596</v>
      </c>
      <c r="AI43" s="132" t="s">
        <v>785</v>
      </c>
      <c r="AJ43" s="120">
        <v>-33</v>
      </c>
      <c r="AK43" s="132" t="s">
        <v>596</v>
      </c>
      <c r="AL43" s="132" t="s">
        <v>748</v>
      </c>
      <c r="AM43" s="118">
        <v>2117</v>
      </c>
      <c r="AN43" s="132" t="s">
        <v>596</v>
      </c>
      <c r="AO43" s="132" t="s">
        <v>785</v>
      </c>
      <c r="AP43" s="120" t="s">
        <v>641</v>
      </c>
      <c r="AQ43" s="132" t="s">
        <v>596</v>
      </c>
      <c r="AR43" s="132" t="s">
        <v>748</v>
      </c>
      <c r="AS43" s="118">
        <v>2064</v>
      </c>
      <c r="AT43" s="132" t="s">
        <v>596</v>
      </c>
      <c r="AU43" s="132" t="s">
        <v>785</v>
      </c>
      <c r="AV43" s="120">
        <v>19</v>
      </c>
      <c r="AW43" s="132" t="s">
        <v>596</v>
      </c>
      <c r="AX43" s="132" t="s">
        <v>748</v>
      </c>
      <c r="AY43" s="118">
        <v>1954</v>
      </c>
      <c r="AZ43" s="132" t="s">
        <v>596</v>
      </c>
      <c r="BA43" s="132" t="s">
        <v>785</v>
      </c>
      <c r="BB43" s="120">
        <v>-18</v>
      </c>
      <c r="BC43" s="132" t="s">
        <v>596</v>
      </c>
      <c r="BD43" s="131" t="s">
        <v>594</v>
      </c>
    </row>
    <row r="44" spans="1:56">
      <c r="A44" s="130" t="s">
        <v>746</v>
      </c>
      <c r="B44" s="130" t="s">
        <v>748</v>
      </c>
      <c r="C44" s="121">
        <f t="shared" si="1"/>
        <v>42</v>
      </c>
      <c r="D44" s="132" t="s">
        <v>596</v>
      </c>
      <c r="E44" s="132" t="s">
        <v>748</v>
      </c>
      <c r="F44" s="122">
        <f>HYPERLINK("http://ratings.ruchess.ru/people/230181",230181)</f>
        <v>230181</v>
      </c>
      <c r="G44" s="132" t="s">
        <v>596</v>
      </c>
      <c r="H44" s="132" t="s">
        <v>748</v>
      </c>
      <c r="I44" s="122">
        <f>HYPERLINK("https://ratings.fide.com/card.phtml?event=24132420",24132420)</f>
        <v>24132420</v>
      </c>
      <c r="J44" s="132" t="s">
        <v>596</v>
      </c>
      <c r="K44" s="132" t="s">
        <v>748</v>
      </c>
      <c r="L44" s="123" t="s">
        <v>683</v>
      </c>
      <c r="M44" s="132" t="s">
        <v>596</v>
      </c>
      <c r="N44" s="132" t="s">
        <v>748</v>
      </c>
      <c r="O44" s="124">
        <v>1982</v>
      </c>
      <c r="P44" s="132" t="s">
        <v>596</v>
      </c>
      <c r="Q44" s="132" t="s">
        <v>748</v>
      </c>
      <c r="R44" s="127" t="s">
        <v>294</v>
      </c>
      <c r="S44" s="132" t="s">
        <v>596</v>
      </c>
      <c r="T44" s="132" t="s">
        <v>748</v>
      </c>
      <c r="U44" s="124">
        <v>2105</v>
      </c>
      <c r="V44" s="132" t="s">
        <v>596</v>
      </c>
      <c r="W44" s="132" t="s">
        <v>785</v>
      </c>
      <c r="X44" s="126" t="s">
        <v>641</v>
      </c>
      <c r="Y44" s="132" t="s">
        <v>596</v>
      </c>
      <c r="Z44" s="132" t="s">
        <v>748</v>
      </c>
      <c r="AA44" s="124">
        <v>1903</v>
      </c>
      <c r="AB44" s="132" t="s">
        <v>596</v>
      </c>
      <c r="AC44" s="132" t="s">
        <v>785</v>
      </c>
      <c r="AD44" s="126" t="s">
        <v>641</v>
      </c>
      <c r="AE44" s="132" t="s">
        <v>596</v>
      </c>
      <c r="AF44" s="132" t="s">
        <v>748</v>
      </c>
      <c r="AG44" s="124">
        <v>0</v>
      </c>
      <c r="AH44" s="132" t="s">
        <v>596</v>
      </c>
      <c r="AI44" s="132" t="s">
        <v>785</v>
      </c>
      <c r="AJ44" s="126" t="s">
        <v>641</v>
      </c>
      <c r="AK44" s="132" t="s">
        <v>596</v>
      </c>
      <c r="AL44" s="132" t="s">
        <v>748</v>
      </c>
      <c r="AM44" s="124">
        <v>2144</v>
      </c>
      <c r="AN44" s="132" t="s">
        <v>596</v>
      </c>
      <c r="AO44" s="132" t="s">
        <v>785</v>
      </c>
      <c r="AP44" s="126" t="s">
        <v>641</v>
      </c>
      <c r="AQ44" s="132" t="s">
        <v>596</v>
      </c>
      <c r="AR44" s="132" t="s">
        <v>748</v>
      </c>
      <c r="AS44" s="124">
        <v>2000</v>
      </c>
      <c r="AT44" s="132" t="s">
        <v>596</v>
      </c>
      <c r="AU44" s="132" t="s">
        <v>785</v>
      </c>
      <c r="AV44" s="126" t="s">
        <v>641</v>
      </c>
      <c r="AW44" s="132" t="s">
        <v>596</v>
      </c>
      <c r="AX44" s="132" t="s">
        <v>748</v>
      </c>
      <c r="AY44" s="124">
        <v>0</v>
      </c>
      <c r="AZ44" s="132" t="s">
        <v>596</v>
      </c>
      <c r="BA44" s="132" t="s">
        <v>785</v>
      </c>
      <c r="BB44" s="126" t="s">
        <v>641</v>
      </c>
      <c r="BC44" s="132" t="s">
        <v>596</v>
      </c>
      <c r="BD44" s="131" t="s">
        <v>594</v>
      </c>
    </row>
    <row r="45" spans="1:56">
      <c r="A45" s="130" t="s">
        <v>746</v>
      </c>
      <c r="B45" s="130" t="s">
        <v>748</v>
      </c>
      <c r="C45" s="115">
        <f t="shared" si="1"/>
        <v>43</v>
      </c>
      <c r="D45" s="132" t="s">
        <v>596</v>
      </c>
      <c r="E45" s="132" t="s">
        <v>748</v>
      </c>
      <c r="F45" s="116">
        <f>HYPERLINK("http://ratings.ruchess.ru/people/13148",13148)</f>
        <v>13148</v>
      </c>
      <c r="G45" s="132" t="s">
        <v>596</v>
      </c>
      <c r="H45" s="132" t="s">
        <v>748</v>
      </c>
      <c r="I45" s="116">
        <f>HYPERLINK("https://ratings.fide.com/card.phtml?event=24132349",24132349)</f>
        <v>24132349</v>
      </c>
      <c r="J45" s="132" t="s">
        <v>596</v>
      </c>
      <c r="K45" s="132" t="s">
        <v>748</v>
      </c>
      <c r="L45" s="117" t="s">
        <v>684</v>
      </c>
      <c r="M45" s="132" t="s">
        <v>596</v>
      </c>
      <c r="N45" s="132" t="s">
        <v>748</v>
      </c>
      <c r="O45" s="118">
        <v>1960</v>
      </c>
      <c r="P45" s="132" t="s">
        <v>596</v>
      </c>
      <c r="Q45" s="132" t="s">
        <v>748</v>
      </c>
      <c r="R45" s="119" t="s">
        <v>641</v>
      </c>
      <c r="S45" s="132" t="s">
        <v>596</v>
      </c>
      <c r="T45" s="132" t="s">
        <v>748</v>
      </c>
      <c r="U45" s="118">
        <v>2103</v>
      </c>
      <c r="V45" s="132" t="s">
        <v>596</v>
      </c>
      <c r="W45" s="132" t="s">
        <v>785</v>
      </c>
      <c r="X45" s="120" t="s">
        <v>641</v>
      </c>
      <c r="Y45" s="132" t="s">
        <v>596</v>
      </c>
      <c r="Z45" s="132" t="s">
        <v>748</v>
      </c>
      <c r="AA45" s="118">
        <v>1980</v>
      </c>
      <c r="AB45" s="132" t="s">
        <v>596</v>
      </c>
      <c r="AC45" s="132" t="s">
        <v>785</v>
      </c>
      <c r="AD45" s="120">
        <v>-5</v>
      </c>
      <c r="AE45" s="132" t="s">
        <v>596</v>
      </c>
      <c r="AF45" s="132" t="s">
        <v>748</v>
      </c>
      <c r="AG45" s="118">
        <v>1978</v>
      </c>
      <c r="AH45" s="132" t="s">
        <v>596</v>
      </c>
      <c r="AI45" s="132" t="s">
        <v>785</v>
      </c>
      <c r="AJ45" s="120">
        <v>1</v>
      </c>
      <c r="AK45" s="132" t="s">
        <v>596</v>
      </c>
      <c r="AL45" s="132" t="s">
        <v>748</v>
      </c>
      <c r="AM45" s="118">
        <v>2052</v>
      </c>
      <c r="AN45" s="132" t="s">
        <v>596</v>
      </c>
      <c r="AO45" s="132" t="s">
        <v>785</v>
      </c>
      <c r="AP45" s="120" t="s">
        <v>641</v>
      </c>
      <c r="AQ45" s="132" t="s">
        <v>596</v>
      </c>
      <c r="AR45" s="132" t="s">
        <v>748</v>
      </c>
      <c r="AS45" s="118">
        <v>2052</v>
      </c>
      <c r="AT45" s="132" t="s">
        <v>596</v>
      </c>
      <c r="AU45" s="132" t="s">
        <v>785</v>
      </c>
      <c r="AV45" s="120">
        <v>-3</v>
      </c>
      <c r="AW45" s="132" t="s">
        <v>596</v>
      </c>
      <c r="AX45" s="132" t="s">
        <v>748</v>
      </c>
      <c r="AY45" s="118">
        <v>2027</v>
      </c>
      <c r="AZ45" s="132" t="s">
        <v>596</v>
      </c>
      <c r="BA45" s="132" t="s">
        <v>785</v>
      </c>
      <c r="BB45" s="120">
        <v>-6</v>
      </c>
      <c r="BC45" s="132" t="s">
        <v>596</v>
      </c>
      <c r="BD45" s="131" t="s">
        <v>594</v>
      </c>
    </row>
    <row r="46" spans="1:56">
      <c r="A46" s="130" t="s">
        <v>746</v>
      </c>
      <c r="B46" s="130" t="s">
        <v>748</v>
      </c>
      <c r="C46" s="121">
        <f t="shared" si="1"/>
        <v>44</v>
      </c>
      <c r="D46" s="132" t="s">
        <v>596</v>
      </c>
      <c r="E46" s="132" t="s">
        <v>748</v>
      </c>
      <c r="F46" s="122">
        <f>HYPERLINK("http://ratings.ruchess.ru/people/3512",3512)</f>
        <v>3512</v>
      </c>
      <c r="G46" s="132" t="s">
        <v>596</v>
      </c>
      <c r="H46" s="132" t="s">
        <v>748</v>
      </c>
      <c r="I46" s="122">
        <f>HYPERLINK("https://ratings.fide.com/card.phtml?event=24101621",24101621)</f>
        <v>24101621</v>
      </c>
      <c r="J46" s="132" t="s">
        <v>596</v>
      </c>
      <c r="K46" s="132" t="s">
        <v>748</v>
      </c>
      <c r="L46" s="123" t="s">
        <v>685</v>
      </c>
      <c r="M46" s="132" t="s">
        <v>596</v>
      </c>
      <c r="N46" s="132" t="s">
        <v>748</v>
      </c>
      <c r="O46" s="124">
        <v>1998</v>
      </c>
      <c r="P46" s="132" t="s">
        <v>596</v>
      </c>
      <c r="Q46" s="132" t="s">
        <v>748</v>
      </c>
      <c r="R46" s="127" t="s">
        <v>226</v>
      </c>
      <c r="S46" s="132" t="s">
        <v>596</v>
      </c>
      <c r="T46" s="132" t="s">
        <v>748</v>
      </c>
      <c r="U46" s="124">
        <v>2102</v>
      </c>
      <c r="V46" s="132" t="s">
        <v>596</v>
      </c>
      <c r="W46" s="132" t="s">
        <v>785</v>
      </c>
      <c r="X46" s="126" t="s">
        <v>641</v>
      </c>
      <c r="Y46" s="132" t="s">
        <v>596</v>
      </c>
      <c r="Z46" s="132" t="s">
        <v>748</v>
      </c>
      <c r="AA46" s="124">
        <v>1998</v>
      </c>
      <c r="AB46" s="132" t="s">
        <v>596</v>
      </c>
      <c r="AC46" s="132" t="s">
        <v>785</v>
      </c>
      <c r="AD46" s="126" t="s">
        <v>641</v>
      </c>
      <c r="AE46" s="132" t="s">
        <v>596</v>
      </c>
      <c r="AF46" s="132" t="s">
        <v>748</v>
      </c>
      <c r="AG46" s="124">
        <v>0</v>
      </c>
      <c r="AH46" s="132" t="s">
        <v>596</v>
      </c>
      <c r="AI46" s="132" t="s">
        <v>785</v>
      </c>
      <c r="AJ46" s="126" t="s">
        <v>641</v>
      </c>
      <c r="AK46" s="132" t="s">
        <v>596</v>
      </c>
      <c r="AL46" s="132" t="s">
        <v>748</v>
      </c>
      <c r="AM46" s="124">
        <v>2123</v>
      </c>
      <c r="AN46" s="132" t="s">
        <v>596</v>
      </c>
      <c r="AO46" s="132" t="s">
        <v>785</v>
      </c>
      <c r="AP46" s="126" t="s">
        <v>641</v>
      </c>
      <c r="AQ46" s="132" t="s">
        <v>596</v>
      </c>
      <c r="AR46" s="132" t="s">
        <v>748</v>
      </c>
      <c r="AS46" s="124">
        <v>1996</v>
      </c>
      <c r="AT46" s="132" t="s">
        <v>596</v>
      </c>
      <c r="AU46" s="132" t="s">
        <v>785</v>
      </c>
      <c r="AV46" s="126" t="s">
        <v>641</v>
      </c>
      <c r="AW46" s="132" t="s">
        <v>596</v>
      </c>
      <c r="AX46" s="132" t="s">
        <v>748</v>
      </c>
      <c r="AY46" s="124">
        <v>1935</v>
      </c>
      <c r="AZ46" s="132" t="s">
        <v>596</v>
      </c>
      <c r="BA46" s="132" t="s">
        <v>785</v>
      </c>
      <c r="BB46" s="126" t="s">
        <v>641</v>
      </c>
      <c r="BC46" s="132" t="s">
        <v>596</v>
      </c>
      <c r="BD46" s="131" t="s">
        <v>594</v>
      </c>
    </row>
    <row r="47" spans="1:56">
      <c r="A47" s="130" t="s">
        <v>746</v>
      </c>
      <c r="B47" s="130" t="s">
        <v>748</v>
      </c>
      <c r="C47" s="115">
        <f t="shared" si="1"/>
        <v>45</v>
      </c>
      <c r="D47" s="132" t="s">
        <v>596</v>
      </c>
      <c r="E47" s="132" t="s">
        <v>748</v>
      </c>
      <c r="F47" s="116">
        <f>HYPERLINK("http://ratings.ruchess.ru/people/111591",111591)</f>
        <v>111591</v>
      </c>
      <c r="G47" s="132" t="s">
        <v>596</v>
      </c>
      <c r="H47" s="132" t="s">
        <v>748</v>
      </c>
      <c r="I47" s="116">
        <f>HYPERLINK("https://ratings.fide.com/card.phtml?event=4170857",4170857)</f>
        <v>4170857</v>
      </c>
      <c r="J47" s="132" t="s">
        <v>596</v>
      </c>
      <c r="K47" s="132" t="s">
        <v>748</v>
      </c>
      <c r="L47" s="117" t="s">
        <v>686</v>
      </c>
      <c r="M47" s="132" t="s">
        <v>596</v>
      </c>
      <c r="N47" s="132" t="s">
        <v>748</v>
      </c>
      <c r="O47" s="118">
        <v>1983</v>
      </c>
      <c r="P47" s="132" t="s">
        <v>596</v>
      </c>
      <c r="Q47" s="132" t="s">
        <v>748</v>
      </c>
      <c r="R47" s="128" t="s">
        <v>294</v>
      </c>
      <c r="S47" s="132" t="s">
        <v>596</v>
      </c>
      <c r="T47" s="132" t="s">
        <v>748</v>
      </c>
      <c r="U47" s="118">
        <v>2096</v>
      </c>
      <c r="V47" s="132" t="s">
        <v>596</v>
      </c>
      <c r="W47" s="132" t="s">
        <v>785</v>
      </c>
      <c r="X47" s="120" t="s">
        <v>641</v>
      </c>
      <c r="Y47" s="132" t="s">
        <v>596</v>
      </c>
      <c r="Z47" s="132" t="s">
        <v>748</v>
      </c>
      <c r="AA47" s="118">
        <v>2022</v>
      </c>
      <c r="AB47" s="132" t="s">
        <v>596</v>
      </c>
      <c r="AC47" s="132" t="s">
        <v>785</v>
      </c>
      <c r="AD47" s="120" t="s">
        <v>641</v>
      </c>
      <c r="AE47" s="132" t="s">
        <v>596</v>
      </c>
      <c r="AF47" s="132" t="s">
        <v>748</v>
      </c>
      <c r="AG47" s="118">
        <v>2057</v>
      </c>
      <c r="AH47" s="132" t="s">
        <v>596</v>
      </c>
      <c r="AI47" s="132" t="s">
        <v>785</v>
      </c>
      <c r="AJ47" s="120" t="s">
        <v>641</v>
      </c>
      <c r="AK47" s="132" t="s">
        <v>596</v>
      </c>
      <c r="AL47" s="132" t="s">
        <v>748</v>
      </c>
      <c r="AM47" s="118">
        <v>2079</v>
      </c>
      <c r="AN47" s="132" t="s">
        <v>596</v>
      </c>
      <c r="AO47" s="132" t="s">
        <v>785</v>
      </c>
      <c r="AP47" s="120" t="s">
        <v>641</v>
      </c>
      <c r="AQ47" s="132" t="s">
        <v>596</v>
      </c>
      <c r="AR47" s="132" t="s">
        <v>748</v>
      </c>
      <c r="AS47" s="118">
        <v>2069</v>
      </c>
      <c r="AT47" s="132" t="s">
        <v>596</v>
      </c>
      <c r="AU47" s="132" t="s">
        <v>785</v>
      </c>
      <c r="AV47" s="120" t="s">
        <v>641</v>
      </c>
      <c r="AW47" s="132" t="s">
        <v>596</v>
      </c>
      <c r="AX47" s="132" t="s">
        <v>748</v>
      </c>
      <c r="AY47" s="118">
        <v>0</v>
      </c>
      <c r="AZ47" s="132" t="s">
        <v>596</v>
      </c>
      <c r="BA47" s="132" t="s">
        <v>785</v>
      </c>
      <c r="BB47" s="120" t="s">
        <v>641</v>
      </c>
      <c r="BC47" s="132" t="s">
        <v>596</v>
      </c>
      <c r="BD47" s="131" t="s">
        <v>594</v>
      </c>
    </row>
    <row r="48" spans="1:56">
      <c r="A48" s="130" t="s">
        <v>746</v>
      </c>
      <c r="B48" s="130" t="s">
        <v>748</v>
      </c>
      <c r="C48" s="121">
        <f t="shared" si="1"/>
        <v>46</v>
      </c>
      <c r="D48" s="132" t="s">
        <v>596</v>
      </c>
      <c r="E48" s="132" t="s">
        <v>748</v>
      </c>
      <c r="F48" s="122">
        <f>HYPERLINK("http://ratings.ruchess.ru/people/6580",6580)</f>
        <v>6580</v>
      </c>
      <c r="G48" s="132" t="s">
        <v>596</v>
      </c>
      <c r="H48" s="132" t="s">
        <v>748</v>
      </c>
      <c r="I48" s="122">
        <f>HYPERLINK("https://ratings.fide.com/card.phtml?event=34128392",34128392)</f>
        <v>34128392</v>
      </c>
      <c r="J48" s="132" t="s">
        <v>596</v>
      </c>
      <c r="K48" s="132" t="s">
        <v>748</v>
      </c>
      <c r="L48" s="123" t="s">
        <v>687</v>
      </c>
      <c r="M48" s="132" t="s">
        <v>596</v>
      </c>
      <c r="N48" s="132" t="s">
        <v>748</v>
      </c>
      <c r="O48" s="124">
        <v>1937</v>
      </c>
      <c r="P48" s="132" t="s">
        <v>596</v>
      </c>
      <c r="Q48" s="132" t="s">
        <v>748</v>
      </c>
      <c r="R48" s="127" t="s">
        <v>226</v>
      </c>
      <c r="S48" s="132" t="s">
        <v>596</v>
      </c>
      <c r="T48" s="132" t="s">
        <v>748</v>
      </c>
      <c r="U48" s="124">
        <v>2092</v>
      </c>
      <c r="V48" s="132" t="s">
        <v>596</v>
      </c>
      <c r="W48" s="132" t="s">
        <v>785</v>
      </c>
      <c r="X48" s="126" t="s">
        <v>641</v>
      </c>
      <c r="Y48" s="132" t="s">
        <v>596</v>
      </c>
      <c r="Z48" s="132" t="s">
        <v>748</v>
      </c>
      <c r="AA48" s="124">
        <v>1568</v>
      </c>
      <c r="AB48" s="132" t="s">
        <v>596</v>
      </c>
      <c r="AC48" s="132" t="s">
        <v>785</v>
      </c>
      <c r="AD48" s="126" t="s">
        <v>641</v>
      </c>
      <c r="AE48" s="132" t="s">
        <v>596</v>
      </c>
      <c r="AF48" s="132" t="s">
        <v>748</v>
      </c>
      <c r="AG48" s="124">
        <v>1504</v>
      </c>
      <c r="AH48" s="132" t="s">
        <v>596</v>
      </c>
      <c r="AI48" s="132" t="s">
        <v>785</v>
      </c>
      <c r="AJ48" s="126" t="s">
        <v>641</v>
      </c>
      <c r="AK48" s="132" t="s">
        <v>596</v>
      </c>
      <c r="AL48" s="132" t="s">
        <v>748</v>
      </c>
      <c r="AM48" s="124">
        <v>0</v>
      </c>
      <c r="AN48" s="132" t="s">
        <v>596</v>
      </c>
      <c r="AO48" s="132" t="s">
        <v>785</v>
      </c>
      <c r="AP48" s="126" t="s">
        <v>641</v>
      </c>
      <c r="AQ48" s="132" t="s">
        <v>596</v>
      </c>
      <c r="AR48" s="132" t="s">
        <v>748</v>
      </c>
      <c r="AS48" s="124">
        <v>1891</v>
      </c>
      <c r="AT48" s="132" t="s">
        <v>596</v>
      </c>
      <c r="AU48" s="132" t="s">
        <v>785</v>
      </c>
      <c r="AV48" s="126" t="s">
        <v>641</v>
      </c>
      <c r="AW48" s="132" t="s">
        <v>596</v>
      </c>
      <c r="AX48" s="132" t="s">
        <v>748</v>
      </c>
      <c r="AY48" s="124">
        <v>0</v>
      </c>
      <c r="AZ48" s="132" t="s">
        <v>596</v>
      </c>
      <c r="BA48" s="132" t="s">
        <v>785</v>
      </c>
      <c r="BB48" s="126" t="s">
        <v>641</v>
      </c>
      <c r="BC48" s="132" t="s">
        <v>596</v>
      </c>
      <c r="BD48" s="131" t="s">
        <v>594</v>
      </c>
    </row>
    <row r="49" spans="1:56">
      <c r="A49" s="130" t="s">
        <v>746</v>
      </c>
      <c r="B49" s="130" t="s">
        <v>748</v>
      </c>
      <c r="C49" s="115">
        <f t="shared" si="1"/>
        <v>47</v>
      </c>
      <c r="D49" s="132" t="s">
        <v>596</v>
      </c>
      <c r="E49" s="132" t="s">
        <v>748</v>
      </c>
      <c r="F49" s="116">
        <f>HYPERLINK("http://ratings.ruchess.ru/people/41345",41345)</f>
        <v>41345</v>
      </c>
      <c r="G49" s="132" t="s">
        <v>596</v>
      </c>
      <c r="H49" s="132" t="s">
        <v>748</v>
      </c>
      <c r="I49" s="116">
        <f>HYPERLINK("https://ratings.fide.com/card.phtml?event=44136692",44136692)</f>
        <v>44136692</v>
      </c>
      <c r="J49" s="132" t="s">
        <v>596</v>
      </c>
      <c r="K49" s="132" t="s">
        <v>748</v>
      </c>
      <c r="L49" s="117" t="s">
        <v>688</v>
      </c>
      <c r="M49" s="132" t="s">
        <v>596</v>
      </c>
      <c r="N49" s="132" t="s">
        <v>748</v>
      </c>
      <c r="O49" s="118">
        <v>1981</v>
      </c>
      <c r="P49" s="132" t="s">
        <v>596</v>
      </c>
      <c r="Q49" s="132" t="s">
        <v>748</v>
      </c>
      <c r="R49" s="119" t="s">
        <v>641</v>
      </c>
      <c r="S49" s="132" t="s">
        <v>596</v>
      </c>
      <c r="T49" s="132" t="s">
        <v>748</v>
      </c>
      <c r="U49" s="118">
        <v>2078</v>
      </c>
      <c r="V49" s="132" t="s">
        <v>596</v>
      </c>
      <c r="W49" s="132" t="s">
        <v>785</v>
      </c>
      <c r="X49" s="120" t="s">
        <v>641</v>
      </c>
      <c r="Y49" s="132" t="s">
        <v>596</v>
      </c>
      <c r="Z49" s="132" t="s">
        <v>748</v>
      </c>
      <c r="AA49" s="118">
        <v>1999</v>
      </c>
      <c r="AB49" s="132" t="s">
        <v>596</v>
      </c>
      <c r="AC49" s="132" t="s">
        <v>785</v>
      </c>
      <c r="AD49" s="120" t="s">
        <v>641</v>
      </c>
      <c r="AE49" s="132" t="s">
        <v>596</v>
      </c>
      <c r="AF49" s="132" t="s">
        <v>748</v>
      </c>
      <c r="AG49" s="118">
        <v>2024</v>
      </c>
      <c r="AH49" s="132" t="s">
        <v>596</v>
      </c>
      <c r="AI49" s="132" t="s">
        <v>785</v>
      </c>
      <c r="AJ49" s="120" t="s">
        <v>641</v>
      </c>
      <c r="AK49" s="132" t="s">
        <v>596</v>
      </c>
      <c r="AL49" s="132" t="s">
        <v>748</v>
      </c>
      <c r="AM49" s="118">
        <v>0</v>
      </c>
      <c r="AN49" s="132" t="s">
        <v>596</v>
      </c>
      <c r="AO49" s="132" t="s">
        <v>785</v>
      </c>
      <c r="AP49" s="120" t="s">
        <v>641</v>
      </c>
      <c r="AQ49" s="132" t="s">
        <v>596</v>
      </c>
      <c r="AR49" s="132" t="s">
        <v>748</v>
      </c>
      <c r="AS49" s="118">
        <v>2018</v>
      </c>
      <c r="AT49" s="132" t="s">
        <v>596</v>
      </c>
      <c r="AU49" s="132" t="s">
        <v>785</v>
      </c>
      <c r="AV49" s="120" t="s">
        <v>641</v>
      </c>
      <c r="AW49" s="132" t="s">
        <v>596</v>
      </c>
      <c r="AX49" s="132" t="s">
        <v>748</v>
      </c>
      <c r="AY49" s="118">
        <v>2051</v>
      </c>
      <c r="AZ49" s="132" t="s">
        <v>596</v>
      </c>
      <c r="BA49" s="132" t="s">
        <v>785</v>
      </c>
      <c r="BB49" s="120" t="s">
        <v>641</v>
      </c>
      <c r="BC49" s="132" t="s">
        <v>596</v>
      </c>
      <c r="BD49" s="131" t="s">
        <v>594</v>
      </c>
    </row>
    <row r="50" spans="1:56">
      <c r="A50" s="130" t="s">
        <v>746</v>
      </c>
      <c r="B50" s="130" t="s">
        <v>748</v>
      </c>
      <c r="C50" s="121">
        <f t="shared" si="1"/>
        <v>48</v>
      </c>
      <c r="D50" s="132" t="s">
        <v>596</v>
      </c>
      <c r="E50" s="132" t="s">
        <v>748</v>
      </c>
      <c r="F50" s="122">
        <f>HYPERLINK("http://ratings.ruchess.ru/people/3510",3510)</f>
        <v>3510</v>
      </c>
      <c r="G50" s="132" t="s">
        <v>596</v>
      </c>
      <c r="H50" s="132" t="s">
        <v>748</v>
      </c>
      <c r="I50" s="122">
        <f>HYPERLINK("https://ratings.fide.com/card.phtml?event=34101583",34101583)</f>
        <v>34101583</v>
      </c>
      <c r="J50" s="132" t="s">
        <v>596</v>
      </c>
      <c r="K50" s="132" t="s">
        <v>748</v>
      </c>
      <c r="L50" s="123" t="s">
        <v>689</v>
      </c>
      <c r="M50" s="132" t="s">
        <v>596</v>
      </c>
      <c r="N50" s="132" t="s">
        <v>748</v>
      </c>
      <c r="O50" s="124">
        <v>1946</v>
      </c>
      <c r="P50" s="132" t="s">
        <v>596</v>
      </c>
      <c r="Q50" s="132" t="s">
        <v>748</v>
      </c>
      <c r="R50" s="127" t="s">
        <v>226</v>
      </c>
      <c r="S50" s="132" t="s">
        <v>596</v>
      </c>
      <c r="T50" s="132" t="s">
        <v>748</v>
      </c>
      <c r="U50" s="124">
        <v>2077</v>
      </c>
      <c r="V50" s="132" t="s">
        <v>596</v>
      </c>
      <c r="W50" s="132" t="s">
        <v>785</v>
      </c>
      <c r="X50" s="126">
        <v>4</v>
      </c>
      <c r="Y50" s="132" t="s">
        <v>596</v>
      </c>
      <c r="Z50" s="132" t="s">
        <v>748</v>
      </c>
      <c r="AA50" s="124">
        <v>1981</v>
      </c>
      <c r="AB50" s="132" t="s">
        <v>596</v>
      </c>
      <c r="AC50" s="132" t="s">
        <v>785</v>
      </c>
      <c r="AD50" s="126">
        <v>52</v>
      </c>
      <c r="AE50" s="132" t="s">
        <v>596</v>
      </c>
      <c r="AF50" s="132" t="s">
        <v>748</v>
      </c>
      <c r="AG50" s="124">
        <v>1845</v>
      </c>
      <c r="AH50" s="132" t="s">
        <v>596</v>
      </c>
      <c r="AI50" s="132" t="s">
        <v>785</v>
      </c>
      <c r="AJ50" s="126">
        <v>18</v>
      </c>
      <c r="AK50" s="132" t="s">
        <v>596</v>
      </c>
      <c r="AL50" s="132" t="s">
        <v>748</v>
      </c>
      <c r="AM50" s="124">
        <v>2090</v>
      </c>
      <c r="AN50" s="132" t="s">
        <v>596</v>
      </c>
      <c r="AO50" s="132" t="s">
        <v>785</v>
      </c>
      <c r="AP50" s="126" t="s">
        <v>641</v>
      </c>
      <c r="AQ50" s="132" t="s">
        <v>596</v>
      </c>
      <c r="AR50" s="132" t="s">
        <v>748</v>
      </c>
      <c r="AS50" s="124">
        <v>2064</v>
      </c>
      <c r="AT50" s="132" t="s">
        <v>596</v>
      </c>
      <c r="AU50" s="132" t="s">
        <v>785</v>
      </c>
      <c r="AV50" s="126">
        <v>14</v>
      </c>
      <c r="AW50" s="132" t="s">
        <v>596</v>
      </c>
      <c r="AX50" s="132" t="s">
        <v>748</v>
      </c>
      <c r="AY50" s="124">
        <v>1931</v>
      </c>
      <c r="AZ50" s="132" t="s">
        <v>596</v>
      </c>
      <c r="BA50" s="132" t="s">
        <v>785</v>
      </c>
      <c r="BB50" s="126">
        <v>-4</v>
      </c>
      <c r="BC50" s="132" t="s">
        <v>596</v>
      </c>
      <c r="BD50" s="131" t="s">
        <v>594</v>
      </c>
    </row>
    <row r="51" spans="1:56">
      <c r="A51" s="130" t="s">
        <v>746</v>
      </c>
      <c r="B51" s="130" t="s">
        <v>748</v>
      </c>
      <c r="C51" s="115">
        <f t="shared" si="1"/>
        <v>49</v>
      </c>
      <c r="D51" s="132" t="s">
        <v>596</v>
      </c>
      <c r="E51" s="132" t="s">
        <v>748</v>
      </c>
      <c r="F51" s="116">
        <f>HYPERLINK("http://ratings.ruchess.ru/people/3519",3519)</f>
        <v>3519</v>
      </c>
      <c r="G51" s="132" t="s">
        <v>596</v>
      </c>
      <c r="H51" s="132" t="s">
        <v>748</v>
      </c>
      <c r="I51" s="116">
        <f>HYPERLINK("https://ratings.fide.com/card.phtml?event=34143480",34143480)</f>
        <v>34143480</v>
      </c>
      <c r="J51" s="132" t="s">
        <v>596</v>
      </c>
      <c r="K51" s="132" t="s">
        <v>748</v>
      </c>
      <c r="L51" s="117" t="s">
        <v>690</v>
      </c>
      <c r="M51" s="132" t="s">
        <v>596</v>
      </c>
      <c r="N51" s="132" t="s">
        <v>748</v>
      </c>
      <c r="O51" s="118">
        <v>1954</v>
      </c>
      <c r="P51" s="132" t="s">
        <v>596</v>
      </c>
      <c r="Q51" s="132" t="s">
        <v>748</v>
      </c>
      <c r="R51" s="128" t="s">
        <v>226</v>
      </c>
      <c r="S51" s="132" t="s">
        <v>596</v>
      </c>
      <c r="T51" s="132" t="s">
        <v>748</v>
      </c>
      <c r="U51" s="118">
        <v>2077</v>
      </c>
      <c r="V51" s="132" t="s">
        <v>596</v>
      </c>
      <c r="W51" s="132" t="s">
        <v>785</v>
      </c>
      <c r="X51" s="120">
        <v>7</v>
      </c>
      <c r="Y51" s="132" t="s">
        <v>596</v>
      </c>
      <c r="Z51" s="132" t="s">
        <v>748</v>
      </c>
      <c r="AA51" s="118">
        <v>1934</v>
      </c>
      <c r="AB51" s="132" t="s">
        <v>596</v>
      </c>
      <c r="AC51" s="132" t="s">
        <v>785</v>
      </c>
      <c r="AD51" s="120">
        <v>8</v>
      </c>
      <c r="AE51" s="132" t="s">
        <v>596</v>
      </c>
      <c r="AF51" s="132" t="s">
        <v>748</v>
      </c>
      <c r="AG51" s="118">
        <v>1842</v>
      </c>
      <c r="AH51" s="132" t="s">
        <v>596</v>
      </c>
      <c r="AI51" s="132" t="s">
        <v>785</v>
      </c>
      <c r="AJ51" s="120">
        <v>6</v>
      </c>
      <c r="AK51" s="132" t="s">
        <v>596</v>
      </c>
      <c r="AL51" s="132" t="s">
        <v>748</v>
      </c>
      <c r="AM51" s="118">
        <v>2070</v>
      </c>
      <c r="AN51" s="132" t="s">
        <v>596</v>
      </c>
      <c r="AO51" s="132" t="s">
        <v>785</v>
      </c>
      <c r="AP51" s="120" t="s">
        <v>641</v>
      </c>
      <c r="AQ51" s="132" t="s">
        <v>596</v>
      </c>
      <c r="AR51" s="132" t="s">
        <v>748</v>
      </c>
      <c r="AS51" s="118">
        <v>1944</v>
      </c>
      <c r="AT51" s="132" t="s">
        <v>596</v>
      </c>
      <c r="AU51" s="132" t="s">
        <v>785</v>
      </c>
      <c r="AV51" s="120">
        <v>1</v>
      </c>
      <c r="AW51" s="132" t="s">
        <v>596</v>
      </c>
      <c r="AX51" s="132" t="s">
        <v>748</v>
      </c>
      <c r="AY51" s="118">
        <v>1981</v>
      </c>
      <c r="AZ51" s="132" t="s">
        <v>596</v>
      </c>
      <c r="BA51" s="132" t="s">
        <v>785</v>
      </c>
      <c r="BB51" s="120" t="s">
        <v>641</v>
      </c>
      <c r="BC51" s="132" t="s">
        <v>596</v>
      </c>
      <c r="BD51" s="131" t="s">
        <v>594</v>
      </c>
    </row>
    <row r="52" spans="1:56">
      <c r="A52" s="130" t="s">
        <v>746</v>
      </c>
      <c r="B52" s="130" t="s">
        <v>748</v>
      </c>
      <c r="C52" s="121">
        <f t="shared" si="1"/>
        <v>50</v>
      </c>
      <c r="D52" s="132" t="s">
        <v>596</v>
      </c>
      <c r="E52" s="132" t="s">
        <v>748</v>
      </c>
      <c r="F52" s="122">
        <f>HYPERLINK("http://ratings.ruchess.ru/people/33326",33326)</f>
        <v>33326</v>
      </c>
      <c r="G52" s="132" t="s">
        <v>596</v>
      </c>
      <c r="H52" s="132" t="s">
        <v>748</v>
      </c>
      <c r="I52" s="122">
        <f>HYPERLINK("https://ratings.fide.com/card.phtml?event=24127841",24127841)</f>
        <v>24127841</v>
      </c>
      <c r="J52" s="132" t="s">
        <v>596</v>
      </c>
      <c r="K52" s="132" t="s">
        <v>748</v>
      </c>
      <c r="L52" s="123" t="s">
        <v>691</v>
      </c>
      <c r="M52" s="132" t="s">
        <v>596</v>
      </c>
      <c r="N52" s="132" t="s">
        <v>748</v>
      </c>
      <c r="O52" s="124">
        <v>1967</v>
      </c>
      <c r="P52" s="132" t="s">
        <v>596</v>
      </c>
      <c r="Q52" s="132" t="s">
        <v>748</v>
      </c>
      <c r="R52" s="127" t="s">
        <v>692</v>
      </c>
      <c r="S52" s="132" t="s">
        <v>596</v>
      </c>
      <c r="T52" s="132" t="s">
        <v>748</v>
      </c>
      <c r="U52" s="124">
        <v>2076</v>
      </c>
      <c r="V52" s="132" t="s">
        <v>596</v>
      </c>
      <c r="W52" s="132" t="s">
        <v>785</v>
      </c>
      <c r="X52" s="126" t="s">
        <v>641</v>
      </c>
      <c r="Y52" s="132" t="s">
        <v>596</v>
      </c>
      <c r="Z52" s="132" t="s">
        <v>748</v>
      </c>
      <c r="AA52" s="124">
        <v>1826</v>
      </c>
      <c r="AB52" s="132" t="s">
        <v>596</v>
      </c>
      <c r="AC52" s="132" t="s">
        <v>785</v>
      </c>
      <c r="AD52" s="126" t="s">
        <v>641</v>
      </c>
      <c r="AE52" s="132" t="s">
        <v>596</v>
      </c>
      <c r="AF52" s="132" t="s">
        <v>748</v>
      </c>
      <c r="AG52" s="124">
        <v>1797</v>
      </c>
      <c r="AH52" s="132" t="s">
        <v>596</v>
      </c>
      <c r="AI52" s="132" t="s">
        <v>785</v>
      </c>
      <c r="AJ52" s="126" t="s">
        <v>641</v>
      </c>
      <c r="AK52" s="132" t="s">
        <v>596</v>
      </c>
      <c r="AL52" s="132" t="s">
        <v>748</v>
      </c>
      <c r="AM52" s="124">
        <v>1848</v>
      </c>
      <c r="AN52" s="132" t="s">
        <v>596</v>
      </c>
      <c r="AO52" s="132" t="s">
        <v>785</v>
      </c>
      <c r="AP52" s="126" t="s">
        <v>641</v>
      </c>
      <c r="AQ52" s="132" t="s">
        <v>596</v>
      </c>
      <c r="AR52" s="132" t="s">
        <v>748</v>
      </c>
      <c r="AS52" s="124">
        <v>1851</v>
      </c>
      <c r="AT52" s="132" t="s">
        <v>596</v>
      </c>
      <c r="AU52" s="132" t="s">
        <v>785</v>
      </c>
      <c r="AV52" s="126" t="s">
        <v>641</v>
      </c>
      <c r="AW52" s="132" t="s">
        <v>596</v>
      </c>
      <c r="AX52" s="132" t="s">
        <v>748</v>
      </c>
      <c r="AY52" s="124">
        <v>1898</v>
      </c>
      <c r="AZ52" s="132" t="s">
        <v>596</v>
      </c>
      <c r="BA52" s="132" t="s">
        <v>785</v>
      </c>
      <c r="BB52" s="126" t="s">
        <v>641</v>
      </c>
      <c r="BC52" s="132" t="s">
        <v>596</v>
      </c>
      <c r="BD52" s="131" t="s">
        <v>594</v>
      </c>
    </row>
    <row r="53" spans="1:56">
      <c r="A53" s="130" t="s">
        <v>746</v>
      </c>
      <c r="B53" s="130" t="s">
        <v>748</v>
      </c>
      <c r="C53" s="115">
        <f t="shared" si="1"/>
        <v>51</v>
      </c>
      <c r="D53" s="132" t="s">
        <v>596</v>
      </c>
      <c r="E53" s="132" t="s">
        <v>748</v>
      </c>
      <c r="F53" s="116">
        <f>HYPERLINK("http://ratings.ruchess.ru/people/3516",3516)</f>
        <v>3516</v>
      </c>
      <c r="G53" s="132" t="s">
        <v>596</v>
      </c>
      <c r="H53" s="132" t="s">
        <v>748</v>
      </c>
      <c r="I53" s="116">
        <f>HYPERLINK("https://ratings.fide.com/card.phtml?event=4193997",4193997)</f>
        <v>4193997</v>
      </c>
      <c r="J53" s="132" t="s">
        <v>596</v>
      </c>
      <c r="K53" s="132" t="s">
        <v>748</v>
      </c>
      <c r="L53" s="117" t="s">
        <v>693</v>
      </c>
      <c r="M53" s="132" t="s">
        <v>596</v>
      </c>
      <c r="N53" s="132" t="s">
        <v>748</v>
      </c>
      <c r="O53" s="118">
        <v>1961</v>
      </c>
      <c r="P53" s="132" t="s">
        <v>596</v>
      </c>
      <c r="Q53" s="132" t="s">
        <v>748</v>
      </c>
      <c r="R53" s="119" t="s">
        <v>641</v>
      </c>
      <c r="S53" s="132" t="s">
        <v>596</v>
      </c>
      <c r="T53" s="132" t="s">
        <v>748</v>
      </c>
      <c r="U53" s="118">
        <v>2068</v>
      </c>
      <c r="V53" s="132" t="s">
        <v>596</v>
      </c>
      <c r="W53" s="132" t="s">
        <v>785</v>
      </c>
      <c r="X53" s="120" t="s">
        <v>641</v>
      </c>
      <c r="Y53" s="132" t="s">
        <v>596</v>
      </c>
      <c r="Z53" s="132" t="s">
        <v>748</v>
      </c>
      <c r="AA53" s="118">
        <v>1838</v>
      </c>
      <c r="AB53" s="132" t="s">
        <v>596</v>
      </c>
      <c r="AC53" s="132" t="s">
        <v>785</v>
      </c>
      <c r="AD53" s="120" t="s">
        <v>641</v>
      </c>
      <c r="AE53" s="132" t="s">
        <v>596</v>
      </c>
      <c r="AF53" s="132" t="s">
        <v>748</v>
      </c>
      <c r="AG53" s="118">
        <v>1748</v>
      </c>
      <c r="AH53" s="132" t="s">
        <v>596</v>
      </c>
      <c r="AI53" s="132" t="s">
        <v>785</v>
      </c>
      <c r="AJ53" s="120" t="s">
        <v>641</v>
      </c>
      <c r="AK53" s="132" t="s">
        <v>596</v>
      </c>
      <c r="AL53" s="132" t="s">
        <v>748</v>
      </c>
      <c r="AM53" s="118">
        <v>2031</v>
      </c>
      <c r="AN53" s="132" t="s">
        <v>596</v>
      </c>
      <c r="AO53" s="132" t="s">
        <v>785</v>
      </c>
      <c r="AP53" s="120" t="s">
        <v>641</v>
      </c>
      <c r="AQ53" s="132" t="s">
        <v>596</v>
      </c>
      <c r="AR53" s="132" t="s">
        <v>748</v>
      </c>
      <c r="AS53" s="118">
        <v>1880</v>
      </c>
      <c r="AT53" s="132" t="s">
        <v>596</v>
      </c>
      <c r="AU53" s="132" t="s">
        <v>785</v>
      </c>
      <c r="AV53" s="120" t="s">
        <v>641</v>
      </c>
      <c r="AW53" s="132" t="s">
        <v>596</v>
      </c>
      <c r="AX53" s="132" t="s">
        <v>748</v>
      </c>
      <c r="AY53" s="118">
        <v>1861</v>
      </c>
      <c r="AZ53" s="132" t="s">
        <v>596</v>
      </c>
      <c r="BA53" s="132" t="s">
        <v>785</v>
      </c>
      <c r="BB53" s="120" t="s">
        <v>641</v>
      </c>
      <c r="BC53" s="132" t="s">
        <v>596</v>
      </c>
      <c r="BD53" s="131" t="s">
        <v>594</v>
      </c>
    </row>
    <row r="54" spans="1:56">
      <c r="A54" s="130" t="s">
        <v>746</v>
      </c>
      <c r="B54" s="130" t="s">
        <v>748</v>
      </c>
      <c r="C54" s="121">
        <f t="shared" si="1"/>
        <v>52</v>
      </c>
      <c r="D54" s="132" t="s">
        <v>596</v>
      </c>
      <c r="E54" s="132" t="s">
        <v>748</v>
      </c>
      <c r="F54" s="122">
        <f>HYPERLINK("http://ratings.ruchess.ru/people/13147",13147)</f>
        <v>13147</v>
      </c>
      <c r="G54" s="132" t="s">
        <v>596</v>
      </c>
      <c r="H54" s="132" t="s">
        <v>748</v>
      </c>
      <c r="I54" s="122">
        <f>HYPERLINK("https://ratings.fide.com/card.phtml?event=34128309",34128309)</f>
        <v>34128309</v>
      </c>
      <c r="J54" s="132" t="s">
        <v>596</v>
      </c>
      <c r="K54" s="132" t="s">
        <v>748</v>
      </c>
      <c r="L54" s="123" t="s">
        <v>694</v>
      </c>
      <c r="M54" s="132" t="s">
        <v>596</v>
      </c>
      <c r="N54" s="132" t="s">
        <v>748</v>
      </c>
      <c r="O54" s="124">
        <v>1974</v>
      </c>
      <c r="P54" s="132" t="s">
        <v>596</v>
      </c>
      <c r="Q54" s="132" t="s">
        <v>748</v>
      </c>
      <c r="R54" s="125" t="s">
        <v>641</v>
      </c>
      <c r="S54" s="132" t="s">
        <v>596</v>
      </c>
      <c r="T54" s="132" t="s">
        <v>748</v>
      </c>
      <c r="U54" s="124">
        <v>2067</v>
      </c>
      <c r="V54" s="132" t="s">
        <v>596</v>
      </c>
      <c r="W54" s="132" t="s">
        <v>785</v>
      </c>
      <c r="X54" s="126" t="s">
        <v>641</v>
      </c>
      <c r="Y54" s="132" t="s">
        <v>596</v>
      </c>
      <c r="Z54" s="132" t="s">
        <v>748</v>
      </c>
      <c r="AA54" s="124">
        <v>1998</v>
      </c>
      <c r="AB54" s="132" t="s">
        <v>596</v>
      </c>
      <c r="AC54" s="132" t="s">
        <v>785</v>
      </c>
      <c r="AD54" s="126" t="s">
        <v>641</v>
      </c>
      <c r="AE54" s="132" t="s">
        <v>596</v>
      </c>
      <c r="AF54" s="132" t="s">
        <v>748</v>
      </c>
      <c r="AG54" s="124">
        <v>2031</v>
      </c>
      <c r="AH54" s="132" t="s">
        <v>596</v>
      </c>
      <c r="AI54" s="132" t="s">
        <v>785</v>
      </c>
      <c r="AJ54" s="126" t="s">
        <v>641</v>
      </c>
      <c r="AK54" s="132" t="s">
        <v>596</v>
      </c>
      <c r="AL54" s="132" t="s">
        <v>748</v>
      </c>
      <c r="AM54" s="124">
        <v>0</v>
      </c>
      <c r="AN54" s="132" t="s">
        <v>596</v>
      </c>
      <c r="AO54" s="132" t="s">
        <v>785</v>
      </c>
      <c r="AP54" s="126" t="s">
        <v>641</v>
      </c>
      <c r="AQ54" s="132" t="s">
        <v>596</v>
      </c>
      <c r="AR54" s="132" t="s">
        <v>748</v>
      </c>
      <c r="AS54" s="124">
        <v>2071</v>
      </c>
      <c r="AT54" s="132" t="s">
        <v>596</v>
      </c>
      <c r="AU54" s="132" t="s">
        <v>785</v>
      </c>
      <c r="AV54" s="126" t="s">
        <v>641</v>
      </c>
      <c r="AW54" s="132" t="s">
        <v>596</v>
      </c>
      <c r="AX54" s="132" t="s">
        <v>748</v>
      </c>
      <c r="AY54" s="124">
        <v>2063</v>
      </c>
      <c r="AZ54" s="132" t="s">
        <v>596</v>
      </c>
      <c r="BA54" s="132" t="s">
        <v>785</v>
      </c>
      <c r="BB54" s="126" t="s">
        <v>641</v>
      </c>
      <c r="BC54" s="132" t="s">
        <v>596</v>
      </c>
      <c r="BD54" s="131" t="s">
        <v>594</v>
      </c>
    </row>
    <row r="55" spans="1:56">
      <c r="A55" s="130" t="s">
        <v>746</v>
      </c>
      <c r="B55" s="130" t="s">
        <v>748</v>
      </c>
      <c r="C55" s="115">
        <f t="shared" si="1"/>
        <v>53</v>
      </c>
      <c r="D55" s="132" t="s">
        <v>596</v>
      </c>
      <c r="E55" s="132" t="s">
        <v>748</v>
      </c>
      <c r="F55" s="116">
        <f>HYPERLINK("http://ratings.ruchess.ru/people/16805",16805)</f>
        <v>16805</v>
      </c>
      <c r="G55" s="132" t="s">
        <v>596</v>
      </c>
      <c r="H55" s="132" t="s">
        <v>748</v>
      </c>
      <c r="I55" s="116">
        <f>HYPERLINK("https://ratings.fide.com/card.phtml?event=24106445",24106445)</f>
        <v>24106445</v>
      </c>
      <c r="J55" s="132" t="s">
        <v>596</v>
      </c>
      <c r="K55" s="132" t="s">
        <v>748</v>
      </c>
      <c r="L55" s="117" t="s">
        <v>695</v>
      </c>
      <c r="M55" s="132" t="s">
        <v>596</v>
      </c>
      <c r="N55" s="132" t="s">
        <v>748</v>
      </c>
      <c r="O55" s="118">
        <v>1978</v>
      </c>
      <c r="P55" s="132" t="s">
        <v>596</v>
      </c>
      <c r="Q55" s="132" t="s">
        <v>748</v>
      </c>
      <c r="R55" s="128" t="s">
        <v>696</v>
      </c>
      <c r="S55" s="132" t="s">
        <v>596</v>
      </c>
      <c r="T55" s="132" t="s">
        <v>748</v>
      </c>
      <c r="U55" s="118">
        <v>2063</v>
      </c>
      <c r="V55" s="132" t="s">
        <v>596</v>
      </c>
      <c r="W55" s="132" t="s">
        <v>785</v>
      </c>
      <c r="X55" s="120" t="s">
        <v>641</v>
      </c>
      <c r="Y55" s="132" t="s">
        <v>596</v>
      </c>
      <c r="Z55" s="132" t="s">
        <v>748</v>
      </c>
      <c r="AA55" s="118">
        <v>2014</v>
      </c>
      <c r="AB55" s="132" t="s">
        <v>596</v>
      </c>
      <c r="AC55" s="132" t="s">
        <v>785</v>
      </c>
      <c r="AD55" s="120" t="s">
        <v>641</v>
      </c>
      <c r="AE55" s="132" t="s">
        <v>596</v>
      </c>
      <c r="AF55" s="132" t="s">
        <v>748</v>
      </c>
      <c r="AG55" s="118">
        <v>0</v>
      </c>
      <c r="AH55" s="132" t="s">
        <v>596</v>
      </c>
      <c r="AI55" s="132" t="s">
        <v>785</v>
      </c>
      <c r="AJ55" s="120" t="s">
        <v>641</v>
      </c>
      <c r="AK55" s="132" t="s">
        <v>596</v>
      </c>
      <c r="AL55" s="132" t="s">
        <v>748</v>
      </c>
      <c r="AM55" s="118">
        <v>2066</v>
      </c>
      <c r="AN55" s="132" t="s">
        <v>596</v>
      </c>
      <c r="AO55" s="132" t="s">
        <v>785</v>
      </c>
      <c r="AP55" s="120" t="s">
        <v>641</v>
      </c>
      <c r="AQ55" s="132" t="s">
        <v>596</v>
      </c>
      <c r="AR55" s="132" t="s">
        <v>748</v>
      </c>
      <c r="AS55" s="118">
        <v>2048</v>
      </c>
      <c r="AT55" s="132" t="s">
        <v>596</v>
      </c>
      <c r="AU55" s="132" t="s">
        <v>785</v>
      </c>
      <c r="AV55" s="120" t="s">
        <v>641</v>
      </c>
      <c r="AW55" s="132" t="s">
        <v>596</v>
      </c>
      <c r="AX55" s="132" t="s">
        <v>748</v>
      </c>
      <c r="AY55" s="118">
        <v>0</v>
      </c>
      <c r="AZ55" s="132" t="s">
        <v>596</v>
      </c>
      <c r="BA55" s="132" t="s">
        <v>785</v>
      </c>
      <c r="BB55" s="120" t="s">
        <v>641</v>
      </c>
      <c r="BC55" s="132" t="s">
        <v>596</v>
      </c>
      <c r="BD55" s="131" t="s">
        <v>594</v>
      </c>
    </row>
    <row r="56" spans="1:56">
      <c r="A56" s="130" t="s">
        <v>746</v>
      </c>
      <c r="B56" s="130" t="s">
        <v>748</v>
      </c>
      <c r="C56" s="121">
        <f t="shared" si="1"/>
        <v>54</v>
      </c>
      <c r="D56" s="132" t="s">
        <v>596</v>
      </c>
      <c r="E56" s="132" t="s">
        <v>748</v>
      </c>
      <c r="F56" s="122">
        <f>HYPERLINK("http://ratings.ruchess.ru/people/3487",3487)</f>
        <v>3487</v>
      </c>
      <c r="G56" s="132" t="s">
        <v>596</v>
      </c>
      <c r="H56" s="132" t="s">
        <v>748</v>
      </c>
      <c r="I56" s="122">
        <f>HYPERLINK("https://ratings.fide.com/card.phtml?event=24175668",24175668)</f>
        <v>24175668</v>
      </c>
      <c r="J56" s="132" t="s">
        <v>596</v>
      </c>
      <c r="K56" s="132" t="s">
        <v>748</v>
      </c>
      <c r="L56" s="123" t="s">
        <v>697</v>
      </c>
      <c r="M56" s="132" t="s">
        <v>596</v>
      </c>
      <c r="N56" s="132" t="s">
        <v>748</v>
      </c>
      <c r="O56" s="124">
        <v>2001</v>
      </c>
      <c r="P56" s="132" t="s">
        <v>596</v>
      </c>
      <c r="Q56" s="132" t="s">
        <v>748</v>
      </c>
      <c r="R56" s="125" t="s">
        <v>641</v>
      </c>
      <c r="S56" s="132" t="s">
        <v>596</v>
      </c>
      <c r="T56" s="132" t="s">
        <v>748</v>
      </c>
      <c r="U56" s="124">
        <v>2062</v>
      </c>
      <c r="V56" s="132" t="s">
        <v>596</v>
      </c>
      <c r="W56" s="132" t="s">
        <v>785</v>
      </c>
      <c r="X56" s="126" t="s">
        <v>641</v>
      </c>
      <c r="Y56" s="132" t="s">
        <v>596</v>
      </c>
      <c r="Z56" s="132" t="s">
        <v>748</v>
      </c>
      <c r="AA56" s="124">
        <v>2029</v>
      </c>
      <c r="AB56" s="132" t="s">
        <v>596</v>
      </c>
      <c r="AC56" s="132" t="s">
        <v>785</v>
      </c>
      <c r="AD56" s="126" t="s">
        <v>641</v>
      </c>
      <c r="AE56" s="132" t="s">
        <v>596</v>
      </c>
      <c r="AF56" s="132" t="s">
        <v>748</v>
      </c>
      <c r="AG56" s="124">
        <v>2072</v>
      </c>
      <c r="AH56" s="132" t="s">
        <v>596</v>
      </c>
      <c r="AI56" s="132" t="s">
        <v>785</v>
      </c>
      <c r="AJ56" s="126" t="s">
        <v>641</v>
      </c>
      <c r="AK56" s="132" t="s">
        <v>596</v>
      </c>
      <c r="AL56" s="132" t="s">
        <v>748</v>
      </c>
      <c r="AM56" s="124">
        <v>2023</v>
      </c>
      <c r="AN56" s="132" t="s">
        <v>596</v>
      </c>
      <c r="AO56" s="132" t="s">
        <v>785</v>
      </c>
      <c r="AP56" s="126" t="s">
        <v>641</v>
      </c>
      <c r="AQ56" s="132" t="s">
        <v>596</v>
      </c>
      <c r="AR56" s="132" t="s">
        <v>748</v>
      </c>
      <c r="AS56" s="124">
        <v>2044</v>
      </c>
      <c r="AT56" s="132" t="s">
        <v>596</v>
      </c>
      <c r="AU56" s="132" t="s">
        <v>785</v>
      </c>
      <c r="AV56" s="126" t="s">
        <v>641</v>
      </c>
      <c r="AW56" s="132" t="s">
        <v>596</v>
      </c>
      <c r="AX56" s="132" t="s">
        <v>748</v>
      </c>
      <c r="AY56" s="124">
        <v>2087</v>
      </c>
      <c r="AZ56" s="132" t="s">
        <v>596</v>
      </c>
      <c r="BA56" s="132" t="s">
        <v>785</v>
      </c>
      <c r="BB56" s="126" t="s">
        <v>641</v>
      </c>
      <c r="BC56" s="132" t="s">
        <v>596</v>
      </c>
      <c r="BD56" s="131" t="s">
        <v>594</v>
      </c>
    </row>
    <row r="57" spans="1:56">
      <c r="A57" s="130" t="s">
        <v>746</v>
      </c>
      <c r="B57" s="130" t="s">
        <v>748</v>
      </c>
      <c r="C57" s="115">
        <f t="shared" si="1"/>
        <v>55</v>
      </c>
      <c r="D57" s="132" t="s">
        <v>596</v>
      </c>
      <c r="E57" s="132" t="s">
        <v>748</v>
      </c>
      <c r="F57" s="116">
        <f>HYPERLINK("http://ratings.ruchess.ru/people/111609",111609)</f>
        <v>111609</v>
      </c>
      <c r="G57" s="132" t="s">
        <v>596</v>
      </c>
      <c r="H57" s="132" t="s">
        <v>748</v>
      </c>
      <c r="I57" s="116">
        <f>HYPERLINK("https://ratings.fide.com/card.phtml?event=34128589",34128589)</f>
        <v>34128589</v>
      </c>
      <c r="J57" s="132" t="s">
        <v>596</v>
      </c>
      <c r="K57" s="132" t="s">
        <v>748</v>
      </c>
      <c r="L57" s="117" t="s">
        <v>698</v>
      </c>
      <c r="M57" s="132" t="s">
        <v>596</v>
      </c>
      <c r="N57" s="132" t="s">
        <v>748</v>
      </c>
      <c r="O57" s="118">
        <v>1969</v>
      </c>
      <c r="P57" s="132" t="s">
        <v>596</v>
      </c>
      <c r="Q57" s="132" t="s">
        <v>748</v>
      </c>
      <c r="R57" s="128" t="s">
        <v>699</v>
      </c>
      <c r="S57" s="132" t="s">
        <v>596</v>
      </c>
      <c r="T57" s="132" t="s">
        <v>748</v>
      </c>
      <c r="U57" s="118">
        <v>2062</v>
      </c>
      <c r="V57" s="132" t="s">
        <v>596</v>
      </c>
      <c r="W57" s="132" t="s">
        <v>785</v>
      </c>
      <c r="X57" s="120" t="s">
        <v>641</v>
      </c>
      <c r="Y57" s="132" t="s">
        <v>596</v>
      </c>
      <c r="Z57" s="132" t="s">
        <v>748</v>
      </c>
      <c r="AA57" s="118">
        <v>1931</v>
      </c>
      <c r="AB57" s="132" t="s">
        <v>596</v>
      </c>
      <c r="AC57" s="132" t="s">
        <v>785</v>
      </c>
      <c r="AD57" s="120" t="s">
        <v>641</v>
      </c>
      <c r="AE57" s="132" t="s">
        <v>596</v>
      </c>
      <c r="AF57" s="132" t="s">
        <v>748</v>
      </c>
      <c r="AG57" s="118">
        <v>0</v>
      </c>
      <c r="AH57" s="132" t="s">
        <v>596</v>
      </c>
      <c r="AI57" s="132" t="s">
        <v>785</v>
      </c>
      <c r="AJ57" s="120" t="s">
        <v>641</v>
      </c>
      <c r="AK57" s="132" t="s">
        <v>596</v>
      </c>
      <c r="AL57" s="132" t="s">
        <v>748</v>
      </c>
      <c r="AM57" s="118">
        <v>0</v>
      </c>
      <c r="AN57" s="132" t="s">
        <v>596</v>
      </c>
      <c r="AO57" s="132" t="s">
        <v>785</v>
      </c>
      <c r="AP57" s="120" t="s">
        <v>641</v>
      </c>
      <c r="AQ57" s="132" t="s">
        <v>596</v>
      </c>
      <c r="AR57" s="132" t="s">
        <v>748</v>
      </c>
      <c r="AS57" s="118">
        <v>1955</v>
      </c>
      <c r="AT57" s="132" t="s">
        <v>596</v>
      </c>
      <c r="AU57" s="132" t="s">
        <v>785</v>
      </c>
      <c r="AV57" s="120" t="s">
        <v>641</v>
      </c>
      <c r="AW57" s="132" t="s">
        <v>596</v>
      </c>
      <c r="AX57" s="132" t="s">
        <v>748</v>
      </c>
      <c r="AY57" s="118">
        <v>0</v>
      </c>
      <c r="AZ57" s="132" t="s">
        <v>596</v>
      </c>
      <c r="BA57" s="132" t="s">
        <v>785</v>
      </c>
      <c r="BB57" s="120" t="s">
        <v>641</v>
      </c>
      <c r="BC57" s="132" t="s">
        <v>596</v>
      </c>
      <c r="BD57" s="131" t="s">
        <v>594</v>
      </c>
    </row>
    <row r="58" spans="1:56">
      <c r="A58" s="130" t="s">
        <v>746</v>
      </c>
      <c r="B58" s="130" t="s">
        <v>748</v>
      </c>
      <c r="C58" s="121">
        <f t="shared" si="1"/>
        <v>56</v>
      </c>
      <c r="D58" s="132" t="s">
        <v>596</v>
      </c>
      <c r="E58" s="132" t="s">
        <v>748</v>
      </c>
      <c r="F58" s="122">
        <f>HYPERLINK("http://ratings.ruchess.ru/people/7649",7649)</f>
        <v>7649</v>
      </c>
      <c r="G58" s="132" t="s">
        <v>596</v>
      </c>
      <c r="H58" s="132" t="s">
        <v>748</v>
      </c>
      <c r="I58" s="122">
        <f>HYPERLINK("https://ratings.fide.com/card.phtml?event=34128465",34128465)</f>
        <v>34128465</v>
      </c>
      <c r="J58" s="132" t="s">
        <v>596</v>
      </c>
      <c r="K58" s="132" t="s">
        <v>748</v>
      </c>
      <c r="L58" s="123" t="s">
        <v>700</v>
      </c>
      <c r="M58" s="132" t="s">
        <v>596</v>
      </c>
      <c r="N58" s="132" t="s">
        <v>748</v>
      </c>
      <c r="O58" s="124">
        <v>1973</v>
      </c>
      <c r="P58" s="132" t="s">
        <v>596</v>
      </c>
      <c r="Q58" s="132" t="s">
        <v>748</v>
      </c>
      <c r="R58" s="125" t="s">
        <v>641</v>
      </c>
      <c r="S58" s="132" t="s">
        <v>596</v>
      </c>
      <c r="T58" s="132" t="s">
        <v>748</v>
      </c>
      <c r="U58" s="124">
        <v>2062</v>
      </c>
      <c r="V58" s="132" t="s">
        <v>596</v>
      </c>
      <c r="W58" s="132" t="s">
        <v>785</v>
      </c>
      <c r="X58" s="126" t="s">
        <v>641</v>
      </c>
      <c r="Y58" s="132" t="s">
        <v>596</v>
      </c>
      <c r="Z58" s="132" t="s">
        <v>748</v>
      </c>
      <c r="AA58" s="124">
        <v>1747</v>
      </c>
      <c r="AB58" s="132" t="s">
        <v>596</v>
      </c>
      <c r="AC58" s="132" t="s">
        <v>785</v>
      </c>
      <c r="AD58" s="126">
        <v>13</v>
      </c>
      <c r="AE58" s="132" t="s">
        <v>596</v>
      </c>
      <c r="AF58" s="132" t="s">
        <v>748</v>
      </c>
      <c r="AG58" s="124">
        <v>1910</v>
      </c>
      <c r="AH58" s="132" t="s">
        <v>596</v>
      </c>
      <c r="AI58" s="132" t="s">
        <v>785</v>
      </c>
      <c r="AJ58" s="126">
        <v>-30</v>
      </c>
      <c r="AK58" s="132" t="s">
        <v>596</v>
      </c>
      <c r="AL58" s="132" t="s">
        <v>748</v>
      </c>
      <c r="AM58" s="124">
        <v>2055</v>
      </c>
      <c r="AN58" s="132" t="s">
        <v>596</v>
      </c>
      <c r="AO58" s="132" t="s">
        <v>785</v>
      </c>
      <c r="AP58" s="126" t="s">
        <v>641</v>
      </c>
      <c r="AQ58" s="132" t="s">
        <v>596</v>
      </c>
      <c r="AR58" s="132" t="s">
        <v>748</v>
      </c>
      <c r="AS58" s="124">
        <v>1891</v>
      </c>
      <c r="AT58" s="132" t="s">
        <v>596</v>
      </c>
      <c r="AU58" s="132" t="s">
        <v>785</v>
      </c>
      <c r="AV58" s="126">
        <v>-7</v>
      </c>
      <c r="AW58" s="132" t="s">
        <v>596</v>
      </c>
      <c r="AX58" s="132" t="s">
        <v>748</v>
      </c>
      <c r="AY58" s="124">
        <v>1975</v>
      </c>
      <c r="AZ58" s="132" t="s">
        <v>596</v>
      </c>
      <c r="BA58" s="132" t="s">
        <v>785</v>
      </c>
      <c r="BB58" s="126">
        <v>-28</v>
      </c>
      <c r="BC58" s="132" t="s">
        <v>596</v>
      </c>
      <c r="BD58" s="131" t="s">
        <v>594</v>
      </c>
    </row>
    <row r="59" spans="1:56">
      <c r="A59" s="130" t="s">
        <v>746</v>
      </c>
      <c r="B59" s="130" t="s">
        <v>748</v>
      </c>
      <c r="C59" s="115">
        <f t="shared" si="1"/>
        <v>57</v>
      </c>
      <c r="D59" s="132" t="s">
        <v>596</v>
      </c>
      <c r="E59" s="132" t="s">
        <v>748</v>
      </c>
      <c r="F59" s="116">
        <f>HYPERLINK("http://ratings.ruchess.ru/people/16803",16803)</f>
        <v>16803</v>
      </c>
      <c r="G59" s="132" t="s">
        <v>596</v>
      </c>
      <c r="H59" s="132" t="s">
        <v>748</v>
      </c>
      <c r="I59" s="116">
        <f>HYPERLINK("https://ratings.fide.com/card.phtml?event=34101591",34101591)</f>
        <v>34101591</v>
      </c>
      <c r="J59" s="132" t="s">
        <v>596</v>
      </c>
      <c r="K59" s="132" t="s">
        <v>748</v>
      </c>
      <c r="L59" s="117" t="s">
        <v>701</v>
      </c>
      <c r="M59" s="132" t="s">
        <v>596</v>
      </c>
      <c r="N59" s="132" t="s">
        <v>748</v>
      </c>
      <c r="O59" s="118">
        <v>1966</v>
      </c>
      <c r="P59" s="132" t="s">
        <v>596</v>
      </c>
      <c r="Q59" s="132" t="s">
        <v>748</v>
      </c>
      <c r="R59" s="119" t="s">
        <v>226</v>
      </c>
      <c r="S59" s="132" t="s">
        <v>596</v>
      </c>
      <c r="T59" s="132" t="s">
        <v>748</v>
      </c>
      <c r="U59" s="118">
        <v>2059</v>
      </c>
      <c r="V59" s="132" t="s">
        <v>596</v>
      </c>
      <c r="W59" s="132" t="s">
        <v>785</v>
      </c>
      <c r="X59" s="120">
        <v>-2</v>
      </c>
      <c r="Y59" s="132" t="s">
        <v>596</v>
      </c>
      <c r="Z59" s="132" t="s">
        <v>748</v>
      </c>
      <c r="AA59" s="118">
        <v>2019</v>
      </c>
      <c r="AB59" s="132" t="s">
        <v>596</v>
      </c>
      <c r="AC59" s="132" t="s">
        <v>785</v>
      </c>
      <c r="AD59" s="120">
        <v>-31</v>
      </c>
      <c r="AE59" s="132" t="s">
        <v>596</v>
      </c>
      <c r="AF59" s="132" t="s">
        <v>748</v>
      </c>
      <c r="AG59" s="118">
        <v>1959</v>
      </c>
      <c r="AH59" s="132" t="s">
        <v>596</v>
      </c>
      <c r="AI59" s="132" t="s">
        <v>785</v>
      </c>
      <c r="AJ59" s="120" t="s">
        <v>641</v>
      </c>
      <c r="AK59" s="132" t="s">
        <v>596</v>
      </c>
      <c r="AL59" s="132" t="s">
        <v>748</v>
      </c>
      <c r="AM59" s="118">
        <v>2091</v>
      </c>
      <c r="AN59" s="132" t="s">
        <v>596</v>
      </c>
      <c r="AO59" s="132" t="s">
        <v>785</v>
      </c>
      <c r="AP59" s="120" t="s">
        <v>641</v>
      </c>
      <c r="AQ59" s="132" t="s">
        <v>596</v>
      </c>
      <c r="AR59" s="132" t="s">
        <v>748</v>
      </c>
      <c r="AS59" s="118">
        <v>2051</v>
      </c>
      <c r="AT59" s="132" t="s">
        <v>596</v>
      </c>
      <c r="AU59" s="132" t="s">
        <v>785</v>
      </c>
      <c r="AV59" s="120">
        <v>-22</v>
      </c>
      <c r="AW59" s="132" t="s">
        <v>596</v>
      </c>
      <c r="AX59" s="132" t="s">
        <v>748</v>
      </c>
      <c r="AY59" s="118">
        <v>2039</v>
      </c>
      <c r="AZ59" s="132" t="s">
        <v>596</v>
      </c>
      <c r="BA59" s="132" t="s">
        <v>785</v>
      </c>
      <c r="BB59" s="120" t="s">
        <v>641</v>
      </c>
      <c r="BC59" s="132" t="s">
        <v>596</v>
      </c>
      <c r="BD59" s="131" t="s">
        <v>594</v>
      </c>
    </row>
    <row r="60" spans="1:56">
      <c r="A60" s="130" t="s">
        <v>746</v>
      </c>
      <c r="B60" s="130" t="s">
        <v>748</v>
      </c>
      <c r="C60" s="121">
        <f t="shared" si="1"/>
        <v>58</v>
      </c>
      <c r="D60" s="132" t="s">
        <v>596</v>
      </c>
      <c r="E60" s="132" t="s">
        <v>748</v>
      </c>
      <c r="F60" s="122">
        <f>HYPERLINK("http://ratings.ruchess.ru/people/3517",3517)</f>
        <v>3517</v>
      </c>
      <c r="G60" s="132" t="s">
        <v>596</v>
      </c>
      <c r="H60" s="132" t="s">
        <v>748</v>
      </c>
      <c r="I60" s="122">
        <f>HYPERLINK("https://ratings.fide.com/card.phtml?event=34128490",34128490)</f>
        <v>34128490</v>
      </c>
      <c r="J60" s="132" t="s">
        <v>596</v>
      </c>
      <c r="K60" s="132" t="s">
        <v>748</v>
      </c>
      <c r="L60" s="123" t="s">
        <v>702</v>
      </c>
      <c r="M60" s="132" t="s">
        <v>596</v>
      </c>
      <c r="N60" s="132" t="s">
        <v>748</v>
      </c>
      <c r="O60" s="124">
        <v>1997</v>
      </c>
      <c r="P60" s="132" t="s">
        <v>596</v>
      </c>
      <c r="Q60" s="132" t="s">
        <v>748</v>
      </c>
      <c r="R60" s="125" t="s">
        <v>641</v>
      </c>
      <c r="S60" s="132" t="s">
        <v>596</v>
      </c>
      <c r="T60" s="132" t="s">
        <v>748</v>
      </c>
      <c r="U60" s="124">
        <v>2058</v>
      </c>
      <c r="V60" s="132" t="s">
        <v>596</v>
      </c>
      <c r="W60" s="132" t="s">
        <v>785</v>
      </c>
      <c r="X60" s="126">
        <v>-15</v>
      </c>
      <c r="Y60" s="132" t="s">
        <v>596</v>
      </c>
      <c r="Z60" s="132" t="s">
        <v>748</v>
      </c>
      <c r="AA60" s="124">
        <v>0</v>
      </c>
      <c r="AB60" s="132" t="s">
        <v>596</v>
      </c>
      <c r="AC60" s="132" t="s">
        <v>785</v>
      </c>
      <c r="AD60" s="126" t="s">
        <v>641</v>
      </c>
      <c r="AE60" s="132" t="s">
        <v>596</v>
      </c>
      <c r="AF60" s="132" t="s">
        <v>748</v>
      </c>
      <c r="AG60" s="124">
        <v>0</v>
      </c>
      <c r="AH60" s="132" t="s">
        <v>596</v>
      </c>
      <c r="AI60" s="132" t="s">
        <v>785</v>
      </c>
      <c r="AJ60" s="126" t="s">
        <v>641</v>
      </c>
      <c r="AK60" s="132" t="s">
        <v>596</v>
      </c>
      <c r="AL60" s="132" t="s">
        <v>748</v>
      </c>
      <c r="AM60" s="124">
        <v>2092</v>
      </c>
      <c r="AN60" s="132" t="s">
        <v>596</v>
      </c>
      <c r="AO60" s="132" t="s">
        <v>785</v>
      </c>
      <c r="AP60" s="126" t="s">
        <v>641</v>
      </c>
      <c r="AQ60" s="132" t="s">
        <v>596</v>
      </c>
      <c r="AR60" s="132" t="s">
        <v>748</v>
      </c>
      <c r="AS60" s="124">
        <v>0</v>
      </c>
      <c r="AT60" s="132" t="s">
        <v>596</v>
      </c>
      <c r="AU60" s="132" t="s">
        <v>785</v>
      </c>
      <c r="AV60" s="126" t="s">
        <v>641</v>
      </c>
      <c r="AW60" s="132" t="s">
        <v>596</v>
      </c>
      <c r="AX60" s="132" t="s">
        <v>748</v>
      </c>
      <c r="AY60" s="124">
        <v>0</v>
      </c>
      <c r="AZ60" s="132" t="s">
        <v>596</v>
      </c>
      <c r="BA60" s="132" t="s">
        <v>785</v>
      </c>
      <c r="BB60" s="126" t="s">
        <v>641</v>
      </c>
      <c r="BC60" s="132" t="s">
        <v>596</v>
      </c>
      <c r="BD60" s="131" t="s">
        <v>594</v>
      </c>
    </row>
    <row r="61" spans="1:56">
      <c r="A61" s="130" t="s">
        <v>746</v>
      </c>
      <c r="B61" s="130" t="s">
        <v>748</v>
      </c>
      <c r="C61" s="115">
        <f t="shared" si="1"/>
        <v>59</v>
      </c>
      <c r="D61" s="132" t="s">
        <v>596</v>
      </c>
      <c r="E61" s="132" t="s">
        <v>748</v>
      </c>
      <c r="F61" s="116">
        <f>HYPERLINK("http://ratings.ruchess.ru/people/9443",9443)</f>
        <v>9443</v>
      </c>
      <c r="G61" s="132" t="s">
        <v>596</v>
      </c>
      <c r="H61" s="132" t="s">
        <v>748</v>
      </c>
      <c r="I61" s="116">
        <f>HYPERLINK("https://ratings.fide.com/card.phtml?event=34101567",34101567)</f>
        <v>34101567</v>
      </c>
      <c r="J61" s="132" t="s">
        <v>596</v>
      </c>
      <c r="K61" s="132" t="s">
        <v>748</v>
      </c>
      <c r="L61" s="117" t="s">
        <v>703</v>
      </c>
      <c r="M61" s="132" t="s">
        <v>596</v>
      </c>
      <c r="N61" s="132" t="s">
        <v>748</v>
      </c>
      <c r="O61" s="118">
        <v>1976</v>
      </c>
      <c r="P61" s="132" t="s">
        <v>596</v>
      </c>
      <c r="Q61" s="132" t="s">
        <v>748</v>
      </c>
      <c r="R61" s="119" t="s">
        <v>641</v>
      </c>
      <c r="S61" s="132" t="s">
        <v>596</v>
      </c>
      <c r="T61" s="132" t="s">
        <v>748</v>
      </c>
      <c r="U61" s="118">
        <v>2057</v>
      </c>
      <c r="V61" s="132" t="s">
        <v>596</v>
      </c>
      <c r="W61" s="132" t="s">
        <v>785</v>
      </c>
      <c r="X61" s="120" t="s">
        <v>641</v>
      </c>
      <c r="Y61" s="132" t="s">
        <v>596</v>
      </c>
      <c r="Z61" s="132" t="s">
        <v>748</v>
      </c>
      <c r="AA61" s="118">
        <v>1962</v>
      </c>
      <c r="AB61" s="132" t="s">
        <v>596</v>
      </c>
      <c r="AC61" s="132" t="s">
        <v>785</v>
      </c>
      <c r="AD61" s="120" t="s">
        <v>641</v>
      </c>
      <c r="AE61" s="132" t="s">
        <v>596</v>
      </c>
      <c r="AF61" s="132" t="s">
        <v>748</v>
      </c>
      <c r="AG61" s="118">
        <v>0</v>
      </c>
      <c r="AH61" s="132" t="s">
        <v>596</v>
      </c>
      <c r="AI61" s="132" t="s">
        <v>785</v>
      </c>
      <c r="AJ61" s="120" t="s">
        <v>641</v>
      </c>
      <c r="AK61" s="132" t="s">
        <v>596</v>
      </c>
      <c r="AL61" s="132" t="s">
        <v>748</v>
      </c>
      <c r="AM61" s="118">
        <v>1882</v>
      </c>
      <c r="AN61" s="132" t="s">
        <v>596</v>
      </c>
      <c r="AO61" s="132" t="s">
        <v>785</v>
      </c>
      <c r="AP61" s="120" t="s">
        <v>641</v>
      </c>
      <c r="AQ61" s="132" t="s">
        <v>596</v>
      </c>
      <c r="AR61" s="132" t="s">
        <v>748</v>
      </c>
      <c r="AS61" s="118">
        <v>1959</v>
      </c>
      <c r="AT61" s="132" t="s">
        <v>596</v>
      </c>
      <c r="AU61" s="132" t="s">
        <v>785</v>
      </c>
      <c r="AV61" s="120" t="s">
        <v>641</v>
      </c>
      <c r="AW61" s="132" t="s">
        <v>596</v>
      </c>
      <c r="AX61" s="132" t="s">
        <v>748</v>
      </c>
      <c r="AY61" s="118">
        <v>0</v>
      </c>
      <c r="AZ61" s="132" t="s">
        <v>596</v>
      </c>
      <c r="BA61" s="132" t="s">
        <v>785</v>
      </c>
      <c r="BB61" s="120" t="s">
        <v>641</v>
      </c>
      <c r="BC61" s="132" t="s">
        <v>596</v>
      </c>
      <c r="BD61" s="131" t="s">
        <v>594</v>
      </c>
    </row>
    <row r="62" spans="1:56">
      <c r="A62" s="130" t="s">
        <v>746</v>
      </c>
      <c r="B62" s="130" t="s">
        <v>748</v>
      </c>
      <c r="C62" s="121">
        <f t="shared" si="1"/>
        <v>60</v>
      </c>
      <c r="D62" s="132" t="s">
        <v>596</v>
      </c>
      <c r="E62" s="132" t="s">
        <v>748</v>
      </c>
      <c r="F62" s="122">
        <f>HYPERLINK("http://ratings.ruchess.ru/people/39994",39994)</f>
        <v>39994</v>
      </c>
      <c r="G62" s="132" t="s">
        <v>596</v>
      </c>
      <c r="H62" s="132" t="s">
        <v>748</v>
      </c>
      <c r="I62" s="122">
        <f>HYPERLINK("https://ratings.fide.com/card.phtml?event=34105643",34105643)</f>
        <v>34105643</v>
      </c>
      <c r="J62" s="132" t="s">
        <v>596</v>
      </c>
      <c r="K62" s="132" t="s">
        <v>748</v>
      </c>
      <c r="L62" s="123" t="s">
        <v>704</v>
      </c>
      <c r="M62" s="132" t="s">
        <v>596</v>
      </c>
      <c r="N62" s="132" t="s">
        <v>748</v>
      </c>
      <c r="O62" s="124">
        <v>1948</v>
      </c>
      <c r="P62" s="132" t="s">
        <v>596</v>
      </c>
      <c r="Q62" s="132" t="s">
        <v>748</v>
      </c>
      <c r="R62" s="125" t="s">
        <v>641</v>
      </c>
      <c r="S62" s="132" t="s">
        <v>596</v>
      </c>
      <c r="T62" s="132" t="s">
        <v>748</v>
      </c>
      <c r="U62" s="124">
        <v>2056</v>
      </c>
      <c r="V62" s="132" t="s">
        <v>596</v>
      </c>
      <c r="W62" s="132" t="s">
        <v>785</v>
      </c>
      <c r="X62" s="126" t="s">
        <v>641</v>
      </c>
      <c r="Y62" s="132" t="s">
        <v>596</v>
      </c>
      <c r="Z62" s="132" t="s">
        <v>748</v>
      </c>
      <c r="AA62" s="124">
        <v>1879</v>
      </c>
      <c r="AB62" s="132" t="s">
        <v>596</v>
      </c>
      <c r="AC62" s="132" t="s">
        <v>785</v>
      </c>
      <c r="AD62" s="126" t="s">
        <v>641</v>
      </c>
      <c r="AE62" s="132" t="s">
        <v>596</v>
      </c>
      <c r="AF62" s="132" t="s">
        <v>748</v>
      </c>
      <c r="AG62" s="124">
        <v>0</v>
      </c>
      <c r="AH62" s="132" t="s">
        <v>596</v>
      </c>
      <c r="AI62" s="132" t="s">
        <v>785</v>
      </c>
      <c r="AJ62" s="126" t="s">
        <v>641</v>
      </c>
      <c r="AK62" s="132" t="s">
        <v>596</v>
      </c>
      <c r="AL62" s="132" t="s">
        <v>748</v>
      </c>
      <c r="AM62" s="124">
        <v>2053</v>
      </c>
      <c r="AN62" s="132" t="s">
        <v>596</v>
      </c>
      <c r="AO62" s="132" t="s">
        <v>785</v>
      </c>
      <c r="AP62" s="126" t="s">
        <v>641</v>
      </c>
      <c r="AQ62" s="132" t="s">
        <v>596</v>
      </c>
      <c r="AR62" s="132" t="s">
        <v>748</v>
      </c>
      <c r="AS62" s="124">
        <v>1898</v>
      </c>
      <c r="AT62" s="132" t="s">
        <v>596</v>
      </c>
      <c r="AU62" s="132" t="s">
        <v>785</v>
      </c>
      <c r="AV62" s="126" t="s">
        <v>641</v>
      </c>
      <c r="AW62" s="132" t="s">
        <v>596</v>
      </c>
      <c r="AX62" s="132" t="s">
        <v>748</v>
      </c>
      <c r="AY62" s="124">
        <v>0</v>
      </c>
      <c r="AZ62" s="132" t="s">
        <v>596</v>
      </c>
      <c r="BA62" s="132" t="s">
        <v>785</v>
      </c>
      <c r="BB62" s="126" t="s">
        <v>641</v>
      </c>
      <c r="BC62" s="132" t="s">
        <v>596</v>
      </c>
      <c r="BD62" s="131" t="s">
        <v>594</v>
      </c>
    </row>
    <row r="63" spans="1:56">
      <c r="A63" s="130" t="s">
        <v>746</v>
      </c>
      <c r="B63" s="130" t="s">
        <v>748</v>
      </c>
      <c r="C63" s="115">
        <f t="shared" si="1"/>
        <v>61</v>
      </c>
      <c r="D63" s="132" t="s">
        <v>596</v>
      </c>
      <c r="E63" s="132" t="s">
        <v>748</v>
      </c>
      <c r="F63" s="116">
        <f>HYPERLINK("http://ratings.ruchess.ru/people/111595",111595)</f>
        <v>111595</v>
      </c>
      <c r="G63" s="132" t="s">
        <v>596</v>
      </c>
      <c r="H63" s="132" t="s">
        <v>748</v>
      </c>
      <c r="I63" s="116">
        <f>HYPERLINK("https://ratings.fide.com/card.phtml?event=24152633",24152633)</f>
        <v>24152633</v>
      </c>
      <c r="J63" s="132" t="s">
        <v>596</v>
      </c>
      <c r="K63" s="132" t="s">
        <v>748</v>
      </c>
      <c r="L63" s="117" t="s">
        <v>705</v>
      </c>
      <c r="M63" s="132" t="s">
        <v>596</v>
      </c>
      <c r="N63" s="132" t="s">
        <v>748</v>
      </c>
      <c r="O63" s="118">
        <v>1976</v>
      </c>
      <c r="P63" s="132" t="s">
        <v>596</v>
      </c>
      <c r="Q63" s="132" t="s">
        <v>748</v>
      </c>
      <c r="R63" s="128" t="s">
        <v>226</v>
      </c>
      <c r="S63" s="132" t="s">
        <v>596</v>
      </c>
      <c r="T63" s="132" t="s">
        <v>748</v>
      </c>
      <c r="U63" s="118">
        <v>2054</v>
      </c>
      <c r="V63" s="132" t="s">
        <v>596</v>
      </c>
      <c r="W63" s="132" t="s">
        <v>785</v>
      </c>
      <c r="X63" s="120" t="s">
        <v>641</v>
      </c>
      <c r="Y63" s="132" t="s">
        <v>596</v>
      </c>
      <c r="Z63" s="132" t="s">
        <v>748</v>
      </c>
      <c r="AA63" s="118">
        <v>2020</v>
      </c>
      <c r="AB63" s="132" t="s">
        <v>596</v>
      </c>
      <c r="AC63" s="132" t="s">
        <v>785</v>
      </c>
      <c r="AD63" s="120" t="s">
        <v>641</v>
      </c>
      <c r="AE63" s="132" t="s">
        <v>596</v>
      </c>
      <c r="AF63" s="132" t="s">
        <v>748</v>
      </c>
      <c r="AG63" s="118">
        <v>0</v>
      </c>
      <c r="AH63" s="132" t="s">
        <v>596</v>
      </c>
      <c r="AI63" s="132" t="s">
        <v>785</v>
      </c>
      <c r="AJ63" s="120" t="s">
        <v>641</v>
      </c>
      <c r="AK63" s="132" t="s">
        <v>596</v>
      </c>
      <c r="AL63" s="132" t="s">
        <v>748</v>
      </c>
      <c r="AM63" s="118">
        <v>2041</v>
      </c>
      <c r="AN63" s="132" t="s">
        <v>596</v>
      </c>
      <c r="AO63" s="132" t="s">
        <v>785</v>
      </c>
      <c r="AP63" s="120" t="s">
        <v>641</v>
      </c>
      <c r="AQ63" s="132" t="s">
        <v>596</v>
      </c>
      <c r="AR63" s="132" t="s">
        <v>748</v>
      </c>
      <c r="AS63" s="118">
        <v>2069</v>
      </c>
      <c r="AT63" s="132" t="s">
        <v>596</v>
      </c>
      <c r="AU63" s="132" t="s">
        <v>785</v>
      </c>
      <c r="AV63" s="120" t="s">
        <v>641</v>
      </c>
      <c r="AW63" s="132" t="s">
        <v>596</v>
      </c>
      <c r="AX63" s="132" t="s">
        <v>748</v>
      </c>
      <c r="AY63" s="118">
        <v>0</v>
      </c>
      <c r="AZ63" s="132" t="s">
        <v>596</v>
      </c>
      <c r="BA63" s="132" t="s">
        <v>785</v>
      </c>
      <c r="BB63" s="120" t="s">
        <v>641</v>
      </c>
      <c r="BC63" s="132" t="s">
        <v>596</v>
      </c>
      <c r="BD63" s="131" t="s">
        <v>594</v>
      </c>
    </row>
    <row r="64" spans="1:56">
      <c r="A64" s="130" t="s">
        <v>746</v>
      </c>
      <c r="B64" s="130" t="s">
        <v>748</v>
      </c>
      <c r="C64" s="121">
        <f t="shared" si="1"/>
        <v>62</v>
      </c>
      <c r="D64" s="132" t="s">
        <v>596</v>
      </c>
      <c r="E64" s="132" t="s">
        <v>748</v>
      </c>
      <c r="F64" s="122">
        <f>HYPERLINK("http://ratings.ruchess.ru/people/13149",13149)</f>
        <v>13149</v>
      </c>
      <c r="G64" s="132" t="s">
        <v>596</v>
      </c>
      <c r="H64" s="132" t="s">
        <v>748</v>
      </c>
      <c r="I64" s="122">
        <f>HYPERLINK("https://ratings.fide.com/card.phtml?event=34174807",34174807)</f>
        <v>34174807</v>
      </c>
      <c r="J64" s="132" t="s">
        <v>596</v>
      </c>
      <c r="K64" s="132" t="s">
        <v>748</v>
      </c>
      <c r="L64" s="123" t="s">
        <v>706</v>
      </c>
      <c r="M64" s="132" t="s">
        <v>596</v>
      </c>
      <c r="N64" s="132" t="s">
        <v>748</v>
      </c>
      <c r="O64" s="124">
        <v>1953</v>
      </c>
      <c r="P64" s="132" t="s">
        <v>596</v>
      </c>
      <c r="Q64" s="132" t="s">
        <v>748</v>
      </c>
      <c r="R64" s="127" t="s">
        <v>226</v>
      </c>
      <c r="S64" s="132" t="s">
        <v>596</v>
      </c>
      <c r="T64" s="132" t="s">
        <v>748</v>
      </c>
      <c r="U64" s="124">
        <v>2054</v>
      </c>
      <c r="V64" s="132" t="s">
        <v>596</v>
      </c>
      <c r="W64" s="132" t="s">
        <v>785</v>
      </c>
      <c r="X64" s="126" t="s">
        <v>641</v>
      </c>
      <c r="Y64" s="132" t="s">
        <v>596</v>
      </c>
      <c r="Z64" s="132" t="s">
        <v>748</v>
      </c>
      <c r="AA64" s="124">
        <v>1882</v>
      </c>
      <c r="AB64" s="132" t="s">
        <v>596</v>
      </c>
      <c r="AC64" s="132" t="s">
        <v>785</v>
      </c>
      <c r="AD64" s="126">
        <v>4</v>
      </c>
      <c r="AE64" s="132" t="s">
        <v>596</v>
      </c>
      <c r="AF64" s="132" t="s">
        <v>748</v>
      </c>
      <c r="AG64" s="124">
        <v>1914</v>
      </c>
      <c r="AH64" s="132" t="s">
        <v>596</v>
      </c>
      <c r="AI64" s="132" t="s">
        <v>785</v>
      </c>
      <c r="AJ64" s="126">
        <v>48</v>
      </c>
      <c r="AK64" s="132" t="s">
        <v>596</v>
      </c>
      <c r="AL64" s="132" t="s">
        <v>748</v>
      </c>
      <c r="AM64" s="124">
        <v>1881</v>
      </c>
      <c r="AN64" s="132" t="s">
        <v>596</v>
      </c>
      <c r="AO64" s="132" t="s">
        <v>785</v>
      </c>
      <c r="AP64" s="126" t="s">
        <v>641</v>
      </c>
      <c r="AQ64" s="132" t="s">
        <v>596</v>
      </c>
      <c r="AR64" s="132" t="s">
        <v>748</v>
      </c>
      <c r="AS64" s="124">
        <v>1815</v>
      </c>
      <c r="AT64" s="132" t="s">
        <v>596</v>
      </c>
      <c r="AU64" s="132" t="s">
        <v>785</v>
      </c>
      <c r="AV64" s="126" t="s">
        <v>641</v>
      </c>
      <c r="AW64" s="132" t="s">
        <v>596</v>
      </c>
      <c r="AX64" s="132" t="s">
        <v>748</v>
      </c>
      <c r="AY64" s="124">
        <v>1888</v>
      </c>
      <c r="AZ64" s="132" t="s">
        <v>596</v>
      </c>
      <c r="BA64" s="132" t="s">
        <v>785</v>
      </c>
      <c r="BB64" s="126" t="s">
        <v>641</v>
      </c>
      <c r="BC64" s="132" t="s">
        <v>596</v>
      </c>
      <c r="BD64" s="131" t="s">
        <v>594</v>
      </c>
    </row>
    <row r="65" spans="1:56">
      <c r="A65" s="130" t="s">
        <v>746</v>
      </c>
      <c r="B65" s="130" t="s">
        <v>748</v>
      </c>
      <c r="C65" s="115">
        <f t="shared" si="1"/>
        <v>63</v>
      </c>
      <c r="D65" s="132" t="s">
        <v>596</v>
      </c>
      <c r="E65" s="132" t="s">
        <v>748</v>
      </c>
      <c r="F65" s="116">
        <f>HYPERLINK("http://ratings.ruchess.ru/people/33330",33330)</f>
        <v>33330</v>
      </c>
      <c r="G65" s="132" t="s">
        <v>596</v>
      </c>
      <c r="H65" s="132" t="s">
        <v>748</v>
      </c>
      <c r="I65" s="116">
        <f>HYPERLINK("https://ratings.fide.com/card.phtml?event=34128457",34128457)</f>
        <v>34128457</v>
      </c>
      <c r="J65" s="132" t="s">
        <v>596</v>
      </c>
      <c r="K65" s="132" t="s">
        <v>748</v>
      </c>
      <c r="L65" s="117" t="s">
        <v>707</v>
      </c>
      <c r="M65" s="132" t="s">
        <v>596</v>
      </c>
      <c r="N65" s="132" t="s">
        <v>748</v>
      </c>
      <c r="O65" s="118">
        <v>1973</v>
      </c>
      <c r="P65" s="132" t="s">
        <v>596</v>
      </c>
      <c r="Q65" s="132" t="s">
        <v>748</v>
      </c>
      <c r="R65" s="119" t="s">
        <v>641</v>
      </c>
      <c r="S65" s="132" t="s">
        <v>596</v>
      </c>
      <c r="T65" s="132" t="s">
        <v>748</v>
      </c>
      <c r="U65" s="118">
        <v>2054</v>
      </c>
      <c r="V65" s="132" t="s">
        <v>596</v>
      </c>
      <c r="W65" s="132" t="s">
        <v>785</v>
      </c>
      <c r="X65" s="120" t="s">
        <v>641</v>
      </c>
      <c r="Y65" s="132" t="s">
        <v>596</v>
      </c>
      <c r="Z65" s="132" t="s">
        <v>748</v>
      </c>
      <c r="AA65" s="118">
        <v>1607</v>
      </c>
      <c r="AB65" s="132" t="s">
        <v>596</v>
      </c>
      <c r="AC65" s="132" t="s">
        <v>785</v>
      </c>
      <c r="AD65" s="120" t="s">
        <v>641</v>
      </c>
      <c r="AE65" s="132" t="s">
        <v>596</v>
      </c>
      <c r="AF65" s="132" t="s">
        <v>748</v>
      </c>
      <c r="AG65" s="118">
        <v>1949</v>
      </c>
      <c r="AH65" s="132" t="s">
        <v>596</v>
      </c>
      <c r="AI65" s="132" t="s">
        <v>785</v>
      </c>
      <c r="AJ65" s="120" t="s">
        <v>641</v>
      </c>
      <c r="AK65" s="132" t="s">
        <v>596</v>
      </c>
      <c r="AL65" s="132" t="s">
        <v>748</v>
      </c>
      <c r="AM65" s="118">
        <v>0</v>
      </c>
      <c r="AN65" s="132" t="s">
        <v>596</v>
      </c>
      <c r="AO65" s="132" t="s">
        <v>785</v>
      </c>
      <c r="AP65" s="120" t="s">
        <v>641</v>
      </c>
      <c r="AQ65" s="132" t="s">
        <v>596</v>
      </c>
      <c r="AR65" s="132" t="s">
        <v>748</v>
      </c>
      <c r="AS65" s="118">
        <v>1881</v>
      </c>
      <c r="AT65" s="132" t="s">
        <v>596</v>
      </c>
      <c r="AU65" s="132" t="s">
        <v>785</v>
      </c>
      <c r="AV65" s="120" t="s">
        <v>641</v>
      </c>
      <c r="AW65" s="132" t="s">
        <v>596</v>
      </c>
      <c r="AX65" s="132" t="s">
        <v>748</v>
      </c>
      <c r="AY65" s="118">
        <v>1829</v>
      </c>
      <c r="AZ65" s="132" t="s">
        <v>596</v>
      </c>
      <c r="BA65" s="132" t="s">
        <v>785</v>
      </c>
      <c r="BB65" s="120" t="s">
        <v>641</v>
      </c>
      <c r="BC65" s="132" t="s">
        <v>596</v>
      </c>
      <c r="BD65" s="131" t="s">
        <v>594</v>
      </c>
    </row>
    <row r="66" spans="1:56">
      <c r="A66" s="130" t="s">
        <v>746</v>
      </c>
      <c r="B66" s="130" t="s">
        <v>748</v>
      </c>
      <c r="C66" s="121">
        <f t="shared" si="1"/>
        <v>64</v>
      </c>
      <c r="D66" s="132" t="s">
        <v>596</v>
      </c>
      <c r="E66" s="132" t="s">
        <v>748</v>
      </c>
      <c r="F66" s="122">
        <f>HYPERLINK("http://ratings.ruchess.ru/people/3637",3637)</f>
        <v>3637</v>
      </c>
      <c r="G66" s="132" t="s">
        <v>596</v>
      </c>
      <c r="H66" s="132" t="s">
        <v>748</v>
      </c>
      <c r="I66" s="122">
        <f>HYPERLINK("https://ratings.fide.com/card.phtml?event=44182546",44182546)</f>
        <v>44182546</v>
      </c>
      <c r="J66" s="132" t="s">
        <v>596</v>
      </c>
      <c r="K66" s="132" t="s">
        <v>748</v>
      </c>
      <c r="L66" s="123" t="s">
        <v>708</v>
      </c>
      <c r="M66" s="132" t="s">
        <v>596</v>
      </c>
      <c r="N66" s="132" t="s">
        <v>748</v>
      </c>
      <c r="O66" s="124">
        <v>1970</v>
      </c>
      <c r="P66" s="132" t="s">
        <v>596</v>
      </c>
      <c r="Q66" s="132" t="s">
        <v>748</v>
      </c>
      <c r="R66" s="127" t="s">
        <v>294</v>
      </c>
      <c r="S66" s="132" t="s">
        <v>596</v>
      </c>
      <c r="T66" s="132" t="s">
        <v>748</v>
      </c>
      <c r="U66" s="124">
        <v>2054</v>
      </c>
      <c r="V66" s="132" t="s">
        <v>596</v>
      </c>
      <c r="W66" s="132" t="s">
        <v>785</v>
      </c>
      <c r="X66" s="126" t="s">
        <v>641</v>
      </c>
      <c r="Y66" s="132" t="s">
        <v>596</v>
      </c>
      <c r="Z66" s="132" t="s">
        <v>748</v>
      </c>
      <c r="AA66" s="124">
        <v>0</v>
      </c>
      <c r="AB66" s="132" t="s">
        <v>596</v>
      </c>
      <c r="AC66" s="132" t="s">
        <v>785</v>
      </c>
      <c r="AD66" s="126" t="s">
        <v>641</v>
      </c>
      <c r="AE66" s="132" t="s">
        <v>596</v>
      </c>
      <c r="AF66" s="132" t="s">
        <v>748</v>
      </c>
      <c r="AG66" s="124">
        <v>0</v>
      </c>
      <c r="AH66" s="132" t="s">
        <v>596</v>
      </c>
      <c r="AI66" s="132" t="s">
        <v>785</v>
      </c>
      <c r="AJ66" s="126" t="s">
        <v>641</v>
      </c>
      <c r="AK66" s="132" t="s">
        <v>596</v>
      </c>
      <c r="AL66" s="132" t="s">
        <v>748</v>
      </c>
      <c r="AM66" s="124">
        <v>2041</v>
      </c>
      <c r="AN66" s="132" t="s">
        <v>596</v>
      </c>
      <c r="AO66" s="132" t="s">
        <v>785</v>
      </c>
      <c r="AP66" s="126" t="s">
        <v>641</v>
      </c>
      <c r="AQ66" s="132" t="s">
        <v>596</v>
      </c>
      <c r="AR66" s="132" t="s">
        <v>748</v>
      </c>
      <c r="AS66" s="124">
        <v>2089</v>
      </c>
      <c r="AT66" s="132" t="s">
        <v>596</v>
      </c>
      <c r="AU66" s="132" t="s">
        <v>785</v>
      </c>
      <c r="AV66" s="126" t="s">
        <v>641</v>
      </c>
      <c r="AW66" s="132" t="s">
        <v>596</v>
      </c>
      <c r="AX66" s="132" t="s">
        <v>748</v>
      </c>
      <c r="AY66" s="124">
        <v>2029</v>
      </c>
      <c r="AZ66" s="132" t="s">
        <v>596</v>
      </c>
      <c r="BA66" s="132" t="s">
        <v>785</v>
      </c>
      <c r="BB66" s="126" t="s">
        <v>641</v>
      </c>
      <c r="BC66" s="132" t="s">
        <v>596</v>
      </c>
      <c r="BD66" s="131" t="s">
        <v>594</v>
      </c>
    </row>
    <row r="67" spans="1:56">
      <c r="A67" s="130" t="s">
        <v>746</v>
      </c>
      <c r="B67" s="130" t="s">
        <v>748</v>
      </c>
      <c r="C67" s="115">
        <f t="shared" ref="C67:C102" si="2">+IFERROR(IF(SUBTOTAL(3,L67),C66+1,C66),1)</f>
        <v>65</v>
      </c>
      <c r="D67" s="132" t="s">
        <v>596</v>
      </c>
      <c r="E67" s="132" t="s">
        <v>748</v>
      </c>
      <c r="F67" s="116">
        <f>HYPERLINK("http://ratings.ruchess.ru/people/16809",16809)</f>
        <v>16809</v>
      </c>
      <c r="G67" s="132" t="s">
        <v>596</v>
      </c>
      <c r="H67" s="132" t="s">
        <v>748</v>
      </c>
      <c r="I67" s="116">
        <f>HYPERLINK("https://ratings.fide.com/card.phtml?event=4151321",4151321)</f>
        <v>4151321</v>
      </c>
      <c r="J67" s="132" t="s">
        <v>596</v>
      </c>
      <c r="K67" s="132" t="s">
        <v>748</v>
      </c>
      <c r="L67" s="117" t="s">
        <v>709</v>
      </c>
      <c r="M67" s="132" t="s">
        <v>596</v>
      </c>
      <c r="N67" s="132" t="s">
        <v>748</v>
      </c>
      <c r="O67" s="118">
        <v>1991</v>
      </c>
      <c r="P67" s="132" t="s">
        <v>596</v>
      </c>
      <c r="Q67" s="132" t="s">
        <v>748</v>
      </c>
      <c r="R67" s="119" t="s">
        <v>641</v>
      </c>
      <c r="S67" s="132" t="s">
        <v>596</v>
      </c>
      <c r="T67" s="132" t="s">
        <v>748</v>
      </c>
      <c r="U67" s="118">
        <v>2053</v>
      </c>
      <c r="V67" s="132" t="s">
        <v>596</v>
      </c>
      <c r="W67" s="132" t="s">
        <v>785</v>
      </c>
      <c r="X67" s="120" t="s">
        <v>641</v>
      </c>
      <c r="Y67" s="132" t="s">
        <v>596</v>
      </c>
      <c r="Z67" s="132" t="s">
        <v>748</v>
      </c>
      <c r="AA67" s="118">
        <v>0</v>
      </c>
      <c r="AB67" s="132" t="s">
        <v>596</v>
      </c>
      <c r="AC67" s="132" t="s">
        <v>785</v>
      </c>
      <c r="AD67" s="120" t="s">
        <v>641</v>
      </c>
      <c r="AE67" s="132" t="s">
        <v>596</v>
      </c>
      <c r="AF67" s="132" t="s">
        <v>748</v>
      </c>
      <c r="AG67" s="118">
        <v>0</v>
      </c>
      <c r="AH67" s="132" t="s">
        <v>596</v>
      </c>
      <c r="AI67" s="132" t="s">
        <v>785</v>
      </c>
      <c r="AJ67" s="120" t="s">
        <v>641</v>
      </c>
      <c r="AK67" s="132" t="s">
        <v>596</v>
      </c>
      <c r="AL67" s="132" t="s">
        <v>748</v>
      </c>
      <c r="AM67" s="118">
        <v>1874</v>
      </c>
      <c r="AN67" s="132" t="s">
        <v>596</v>
      </c>
      <c r="AO67" s="132" t="s">
        <v>785</v>
      </c>
      <c r="AP67" s="120" t="s">
        <v>641</v>
      </c>
      <c r="AQ67" s="132" t="s">
        <v>596</v>
      </c>
      <c r="AR67" s="132" t="s">
        <v>748</v>
      </c>
      <c r="AS67" s="118">
        <v>1864</v>
      </c>
      <c r="AT67" s="132" t="s">
        <v>596</v>
      </c>
      <c r="AU67" s="132" t="s">
        <v>785</v>
      </c>
      <c r="AV67" s="120" t="s">
        <v>641</v>
      </c>
      <c r="AW67" s="132" t="s">
        <v>596</v>
      </c>
      <c r="AX67" s="132" t="s">
        <v>748</v>
      </c>
      <c r="AY67" s="118">
        <v>1868</v>
      </c>
      <c r="AZ67" s="132" t="s">
        <v>596</v>
      </c>
      <c r="BA67" s="132" t="s">
        <v>785</v>
      </c>
      <c r="BB67" s="120" t="s">
        <v>641</v>
      </c>
      <c r="BC67" s="132" t="s">
        <v>596</v>
      </c>
      <c r="BD67" s="131" t="s">
        <v>594</v>
      </c>
    </row>
    <row r="68" spans="1:56">
      <c r="A68" s="130" t="s">
        <v>746</v>
      </c>
      <c r="B68" s="130" t="s">
        <v>748</v>
      </c>
      <c r="C68" s="121">
        <f t="shared" si="2"/>
        <v>66</v>
      </c>
      <c r="D68" s="132" t="s">
        <v>596</v>
      </c>
      <c r="E68" s="132" t="s">
        <v>748</v>
      </c>
      <c r="F68" s="122">
        <f>HYPERLINK("http://ratings.ruchess.ru/people/2644",2644)</f>
        <v>2644</v>
      </c>
      <c r="G68" s="132" t="s">
        <v>596</v>
      </c>
      <c r="H68" s="132" t="s">
        <v>748</v>
      </c>
      <c r="I68" s="122">
        <f>HYPERLINK("https://ratings.fide.com/card.phtml?event=34143464",34143464)</f>
        <v>34143464</v>
      </c>
      <c r="J68" s="132" t="s">
        <v>596</v>
      </c>
      <c r="K68" s="132" t="s">
        <v>748</v>
      </c>
      <c r="L68" s="123" t="s">
        <v>710</v>
      </c>
      <c r="M68" s="132" t="s">
        <v>596</v>
      </c>
      <c r="N68" s="132" t="s">
        <v>748</v>
      </c>
      <c r="O68" s="124">
        <v>1972</v>
      </c>
      <c r="P68" s="132" t="s">
        <v>596</v>
      </c>
      <c r="Q68" s="132" t="s">
        <v>748</v>
      </c>
      <c r="R68" s="125" t="s">
        <v>641</v>
      </c>
      <c r="S68" s="132" t="s">
        <v>596</v>
      </c>
      <c r="T68" s="132" t="s">
        <v>748</v>
      </c>
      <c r="U68" s="124">
        <v>2052</v>
      </c>
      <c r="V68" s="132" t="s">
        <v>596</v>
      </c>
      <c r="W68" s="132" t="s">
        <v>785</v>
      </c>
      <c r="X68" s="126" t="s">
        <v>641</v>
      </c>
      <c r="Y68" s="132" t="s">
        <v>596</v>
      </c>
      <c r="Z68" s="132" t="s">
        <v>748</v>
      </c>
      <c r="AA68" s="124">
        <v>1905</v>
      </c>
      <c r="AB68" s="132" t="s">
        <v>596</v>
      </c>
      <c r="AC68" s="132" t="s">
        <v>785</v>
      </c>
      <c r="AD68" s="126" t="s">
        <v>641</v>
      </c>
      <c r="AE68" s="132" t="s">
        <v>596</v>
      </c>
      <c r="AF68" s="132" t="s">
        <v>748</v>
      </c>
      <c r="AG68" s="124">
        <v>2040</v>
      </c>
      <c r="AH68" s="132" t="s">
        <v>596</v>
      </c>
      <c r="AI68" s="132" t="s">
        <v>785</v>
      </c>
      <c r="AJ68" s="126" t="s">
        <v>641</v>
      </c>
      <c r="AK68" s="132" t="s">
        <v>596</v>
      </c>
      <c r="AL68" s="132" t="s">
        <v>748</v>
      </c>
      <c r="AM68" s="124">
        <v>1989</v>
      </c>
      <c r="AN68" s="132" t="s">
        <v>596</v>
      </c>
      <c r="AO68" s="132" t="s">
        <v>785</v>
      </c>
      <c r="AP68" s="126" t="s">
        <v>641</v>
      </c>
      <c r="AQ68" s="132" t="s">
        <v>596</v>
      </c>
      <c r="AR68" s="132" t="s">
        <v>748</v>
      </c>
      <c r="AS68" s="124">
        <v>1998</v>
      </c>
      <c r="AT68" s="132" t="s">
        <v>596</v>
      </c>
      <c r="AU68" s="132" t="s">
        <v>785</v>
      </c>
      <c r="AV68" s="126" t="s">
        <v>641</v>
      </c>
      <c r="AW68" s="132" t="s">
        <v>596</v>
      </c>
      <c r="AX68" s="132" t="s">
        <v>748</v>
      </c>
      <c r="AY68" s="124">
        <v>2057</v>
      </c>
      <c r="AZ68" s="132" t="s">
        <v>596</v>
      </c>
      <c r="BA68" s="132" t="s">
        <v>785</v>
      </c>
      <c r="BB68" s="126" t="s">
        <v>641</v>
      </c>
      <c r="BC68" s="132" t="s">
        <v>596</v>
      </c>
      <c r="BD68" s="131" t="s">
        <v>594</v>
      </c>
    </row>
    <row r="69" spans="1:56">
      <c r="A69" s="130" t="s">
        <v>746</v>
      </c>
      <c r="B69" s="130" t="s">
        <v>748</v>
      </c>
      <c r="C69" s="115">
        <f t="shared" si="2"/>
        <v>67</v>
      </c>
      <c r="D69" s="132" t="s">
        <v>596</v>
      </c>
      <c r="E69" s="132" t="s">
        <v>748</v>
      </c>
      <c r="F69" s="116">
        <f>HYPERLINK("http://ratings.ruchess.ru/people/39995",39995)</f>
        <v>39995</v>
      </c>
      <c r="G69" s="132" t="s">
        <v>596</v>
      </c>
      <c r="H69" s="132" t="s">
        <v>748</v>
      </c>
      <c r="I69" s="116">
        <f>HYPERLINK("https://ratings.fide.com/card.phtml?event=24289230",24289230)</f>
        <v>24289230</v>
      </c>
      <c r="J69" s="132" t="s">
        <v>596</v>
      </c>
      <c r="K69" s="132" t="s">
        <v>748</v>
      </c>
      <c r="L69" s="117" t="s">
        <v>711</v>
      </c>
      <c r="M69" s="132" t="s">
        <v>596</v>
      </c>
      <c r="N69" s="132" t="s">
        <v>748</v>
      </c>
      <c r="O69" s="118">
        <v>1956</v>
      </c>
      <c r="P69" s="132" t="s">
        <v>596</v>
      </c>
      <c r="Q69" s="132" t="s">
        <v>748</v>
      </c>
      <c r="R69" s="128" t="s">
        <v>226</v>
      </c>
      <c r="S69" s="132" t="s">
        <v>596</v>
      </c>
      <c r="T69" s="132" t="s">
        <v>748</v>
      </c>
      <c r="U69" s="118">
        <v>2048</v>
      </c>
      <c r="V69" s="132" t="s">
        <v>596</v>
      </c>
      <c r="W69" s="132" t="s">
        <v>785</v>
      </c>
      <c r="X69" s="120" t="s">
        <v>641</v>
      </c>
      <c r="Y69" s="132" t="s">
        <v>596</v>
      </c>
      <c r="Z69" s="132" t="s">
        <v>748</v>
      </c>
      <c r="AA69" s="118">
        <v>1594</v>
      </c>
      <c r="AB69" s="132" t="s">
        <v>596</v>
      </c>
      <c r="AC69" s="132" t="s">
        <v>785</v>
      </c>
      <c r="AD69" s="120">
        <v>-105</v>
      </c>
      <c r="AE69" s="132" t="s">
        <v>596</v>
      </c>
      <c r="AF69" s="132" t="s">
        <v>748</v>
      </c>
      <c r="AG69" s="118">
        <v>1394</v>
      </c>
      <c r="AH69" s="132" t="s">
        <v>596</v>
      </c>
      <c r="AI69" s="132" t="s">
        <v>785</v>
      </c>
      <c r="AJ69" s="120" t="s">
        <v>641</v>
      </c>
      <c r="AK69" s="132" t="s">
        <v>596</v>
      </c>
      <c r="AL69" s="132" t="s">
        <v>748</v>
      </c>
      <c r="AM69" s="118">
        <v>0</v>
      </c>
      <c r="AN69" s="132" t="s">
        <v>596</v>
      </c>
      <c r="AO69" s="132" t="s">
        <v>785</v>
      </c>
      <c r="AP69" s="120" t="s">
        <v>641</v>
      </c>
      <c r="AQ69" s="132" t="s">
        <v>596</v>
      </c>
      <c r="AR69" s="132" t="s">
        <v>748</v>
      </c>
      <c r="AS69" s="118">
        <v>1623</v>
      </c>
      <c r="AT69" s="132" t="s">
        <v>596</v>
      </c>
      <c r="AU69" s="132" t="s">
        <v>785</v>
      </c>
      <c r="AV69" s="120">
        <v>-49</v>
      </c>
      <c r="AW69" s="132" t="s">
        <v>596</v>
      </c>
      <c r="AX69" s="132" t="s">
        <v>748</v>
      </c>
      <c r="AY69" s="118">
        <v>1682</v>
      </c>
      <c r="AZ69" s="132" t="s">
        <v>596</v>
      </c>
      <c r="BA69" s="132" t="s">
        <v>785</v>
      </c>
      <c r="BB69" s="120" t="s">
        <v>641</v>
      </c>
      <c r="BC69" s="132" t="s">
        <v>596</v>
      </c>
      <c r="BD69" s="131" t="s">
        <v>594</v>
      </c>
    </row>
    <row r="70" spans="1:56">
      <c r="A70" s="130" t="s">
        <v>746</v>
      </c>
      <c r="B70" s="130" t="s">
        <v>748</v>
      </c>
      <c r="C70" s="121">
        <f t="shared" si="2"/>
        <v>68</v>
      </c>
      <c r="D70" s="132" t="s">
        <v>596</v>
      </c>
      <c r="E70" s="132" t="s">
        <v>748</v>
      </c>
      <c r="F70" s="122">
        <f>HYPERLINK("http://ratings.ruchess.ru/people/111593",111593)</f>
        <v>111593</v>
      </c>
      <c r="G70" s="132" t="s">
        <v>596</v>
      </c>
      <c r="H70" s="132" t="s">
        <v>748</v>
      </c>
      <c r="I70" s="122">
        <f>HYPERLINK("https://ratings.fide.com/card.phtml?event=24109762",24109762)</f>
        <v>24109762</v>
      </c>
      <c r="J70" s="132" t="s">
        <v>596</v>
      </c>
      <c r="K70" s="132" t="s">
        <v>748</v>
      </c>
      <c r="L70" s="123" t="s">
        <v>712</v>
      </c>
      <c r="M70" s="132" t="s">
        <v>596</v>
      </c>
      <c r="N70" s="132" t="s">
        <v>748</v>
      </c>
      <c r="O70" s="124">
        <v>1958</v>
      </c>
      <c r="P70" s="132" t="s">
        <v>596</v>
      </c>
      <c r="Q70" s="132" t="s">
        <v>748</v>
      </c>
      <c r="R70" s="127" t="s">
        <v>226</v>
      </c>
      <c r="S70" s="132" t="s">
        <v>596</v>
      </c>
      <c r="T70" s="132" t="s">
        <v>748</v>
      </c>
      <c r="U70" s="124">
        <v>2048</v>
      </c>
      <c r="V70" s="132" t="s">
        <v>596</v>
      </c>
      <c r="W70" s="132" t="s">
        <v>785</v>
      </c>
      <c r="X70" s="126" t="s">
        <v>641</v>
      </c>
      <c r="Y70" s="132" t="s">
        <v>596</v>
      </c>
      <c r="Z70" s="132" t="s">
        <v>748</v>
      </c>
      <c r="AA70" s="124">
        <v>0</v>
      </c>
      <c r="AB70" s="132" t="s">
        <v>596</v>
      </c>
      <c r="AC70" s="132" t="s">
        <v>785</v>
      </c>
      <c r="AD70" s="126" t="s">
        <v>641</v>
      </c>
      <c r="AE70" s="132" t="s">
        <v>596</v>
      </c>
      <c r="AF70" s="132" t="s">
        <v>748</v>
      </c>
      <c r="AG70" s="124">
        <v>0</v>
      </c>
      <c r="AH70" s="132" t="s">
        <v>596</v>
      </c>
      <c r="AI70" s="132" t="s">
        <v>785</v>
      </c>
      <c r="AJ70" s="126" t="s">
        <v>641</v>
      </c>
      <c r="AK70" s="132" t="s">
        <v>596</v>
      </c>
      <c r="AL70" s="132" t="s">
        <v>748</v>
      </c>
      <c r="AM70" s="124">
        <v>2004</v>
      </c>
      <c r="AN70" s="132" t="s">
        <v>596</v>
      </c>
      <c r="AO70" s="132" t="s">
        <v>785</v>
      </c>
      <c r="AP70" s="126" t="s">
        <v>641</v>
      </c>
      <c r="AQ70" s="132" t="s">
        <v>596</v>
      </c>
      <c r="AR70" s="132" t="s">
        <v>748</v>
      </c>
      <c r="AS70" s="124">
        <v>0</v>
      </c>
      <c r="AT70" s="132" t="s">
        <v>596</v>
      </c>
      <c r="AU70" s="132" t="s">
        <v>785</v>
      </c>
      <c r="AV70" s="126" t="s">
        <v>641</v>
      </c>
      <c r="AW70" s="132" t="s">
        <v>596</v>
      </c>
      <c r="AX70" s="132" t="s">
        <v>748</v>
      </c>
      <c r="AY70" s="124">
        <v>0</v>
      </c>
      <c r="AZ70" s="132" t="s">
        <v>596</v>
      </c>
      <c r="BA70" s="132" t="s">
        <v>785</v>
      </c>
      <c r="BB70" s="126" t="s">
        <v>641</v>
      </c>
      <c r="BC70" s="132" t="s">
        <v>596</v>
      </c>
      <c r="BD70" s="131" t="s">
        <v>594</v>
      </c>
    </row>
    <row r="71" spans="1:56">
      <c r="A71" s="130" t="s">
        <v>746</v>
      </c>
      <c r="B71" s="130" t="s">
        <v>748</v>
      </c>
      <c r="C71" s="115">
        <f t="shared" si="2"/>
        <v>69</v>
      </c>
      <c r="D71" s="132" t="s">
        <v>596</v>
      </c>
      <c r="E71" s="132" t="s">
        <v>748</v>
      </c>
      <c r="F71" s="116">
        <f>HYPERLINK("http://ratings.ruchess.ru/people/111598",111598)</f>
        <v>111598</v>
      </c>
      <c r="G71" s="132" t="s">
        <v>596</v>
      </c>
      <c r="H71" s="132" t="s">
        <v>748</v>
      </c>
      <c r="I71" s="116">
        <f>HYPERLINK("https://ratings.fide.com/card.phtml?event=24178322",24178322)</f>
        <v>24178322</v>
      </c>
      <c r="J71" s="132" t="s">
        <v>596</v>
      </c>
      <c r="K71" s="132" t="s">
        <v>748</v>
      </c>
      <c r="L71" s="117" t="s">
        <v>713</v>
      </c>
      <c r="M71" s="132" t="s">
        <v>596</v>
      </c>
      <c r="N71" s="132" t="s">
        <v>748</v>
      </c>
      <c r="O71" s="118">
        <v>1998</v>
      </c>
      <c r="P71" s="132" t="s">
        <v>596</v>
      </c>
      <c r="Q71" s="132" t="s">
        <v>748</v>
      </c>
      <c r="R71" s="128" t="s">
        <v>226</v>
      </c>
      <c r="S71" s="132" t="s">
        <v>596</v>
      </c>
      <c r="T71" s="132" t="s">
        <v>748</v>
      </c>
      <c r="U71" s="118">
        <v>2047</v>
      </c>
      <c r="V71" s="132" t="s">
        <v>596</v>
      </c>
      <c r="W71" s="132" t="s">
        <v>785</v>
      </c>
      <c r="X71" s="120" t="s">
        <v>641</v>
      </c>
      <c r="Y71" s="132" t="s">
        <v>596</v>
      </c>
      <c r="Z71" s="132" t="s">
        <v>748</v>
      </c>
      <c r="AA71" s="118">
        <v>0</v>
      </c>
      <c r="AB71" s="132" t="s">
        <v>596</v>
      </c>
      <c r="AC71" s="132" t="s">
        <v>785</v>
      </c>
      <c r="AD71" s="120" t="s">
        <v>641</v>
      </c>
      <c r="AE71" s="132" t="s">
        <v>596</v>
      </c>
      <c r="AF71" s="132" t="s">
        <v>748</v>
      </c>
      <c r="AG71" s="118">
        <v>0</v>
      </c>
      <c r="AH71" s="132" t="s">
        <v>596</v>
      </c>
      <c r="AI71" s="132" t="s">
        <v>785</v>
      </c>
      <c r="AJ71" s="120" t="s">
        <v>641</v>
      </c>
      <c r="AK71" s="132" t="s">
        <v>596</v>
      </c>
      <c r="AL71" s="132" t="s">
        <v>748</v>
      </c>
      <c r="AM71" s="118">
        <v>2044</v>
      </c>
      <c r="AN71" s="132" t="s">
        <v>596</v>
      </c>
      <c r="AO71" s="132" t="s">
        <v>785</v>
      </c>
      <c r="AP71" s="120" t="s">
        <v>641</v>
      </c>
      <c r="AQ71" s="132" t="s">
        <v>596</v>
      </c>
      <c r="AR71" s="132" t="s">
        <v>748</v>
      </c>
      <c r="AS71" s="118">
        <v>0</v>
      </c>
      <c r="AT71" s="132" t="s">
        <v>596</v>
      </c>
      <c r="AU71" s="132" t="s">
        <v>785</v>
      </c>
      <c r="AV71" s="120" t="s">
        <v>641</v>
      </c>
      <c r="AW71" s="132" t="s">
        <v>596</v>
      </c>
      <c r="AX71" s="132" t="s">
        <v>748</v>
      </c>
      <c r="AY71" s="118">
        <v>1904</v>
      </c>
      <c r="AZ71" s="132" t="s">
        <v>596</v>
      </c>
      <c r="BA71" s="132" t="s">
        <v>785</v>
      </c>
      <c r="BB71" s="120" t="s">
        <v>641</v>
      </c>
      <c r="BC71" s="132" t="s">
        <v>596</v>
      </c>
      <c r="BD71" s="131" t="s">
        <v>594</v>
      </c>
    </row>
    <row r="72" spans="1:56">
      <c r="A72" s="130" t="s">
        <v>746</v>
      </c>
      <c r="B72" s="130" t="s">
        <v>748</v>
      </c>
      <c r="C72" s="121">
        <f t="shared" si="2"/>
        <v>70</v>
      </c>
      <c r="D72" s="132" t="s">
        <v>596</v>
      </c>
      <c r="E72" s="132" t="s">
        <v>748</v>
      </c>
      <c r="F72" s="122">
        <f>HYPERLINK("http://ratings.ruchess.ru/people/3547",3547)</f>
        <v>3547</v>
      </c>
      <c r="G72" s="132" t="s">
        <v>596</v>
      </c>
      <c r="H72" s="132" t="s">
        <v>748</v>
      </c>
      <c r="I72" s="122">
        <f>HYPERLINK("https://ratings.fide.com/card.phtml?event=34164992",34164992)</f>
        <v>34164992</v>
      </c>
      <c r="J72" s="132" t="s">
        <v>596</v>
      </c>
      <c r="K72" s="132" t="s">
        <v>748</v>
      </c>
      <c r="L72" s="123" t="s">
        <v>714</v>
      </c>
      <c r="M72" s="132" t="s">
        <v>596</v>
      </c>
      <c r="N72" s="132" t="s">
        <v>748</v>
      </c>
      <c r="O72" s="124">
        <v>2004</v>
      </c>
      <c r="P72" s="132" t="s">
        <v>596</v>
      </c>
      <c r="Q72" s="132" t="s">
        <v>748</v>
      </c>
      <c r="R72" s="125" t="s">
        <v>641</v>
      </c>
      <c r="S72" s="132" t="s">
        <v>596</v>
      </c>
      <c r="T72" s="132" t="s">
        <v>748</v>
      </c>
      <c r="U72" s="124">
        <v>2046</v>
      </c>
      <c r="V72" s="132" t="s">
        <v>596</v>
      </c>
      <c r="W72" s="132" t="s">
        <v>785</v>
      </c>
      <c r="X72" s="126" t="s">
        <v>641</v>
      </c>
      <c r="Y72" s="132" t="s">
        <v>596</v>
      </c>
      <c r="Z72" s="132" t="s">
        <v>748</v>
      </c>
      <c r="AA72" s="124">
        <v>2119</v>
      </c>
      <c r="AB72" s="132" t="s">
        <v>596</v>
      </c>
      <c r="AC72" s="132" t="s">
        <v>785</v>
      </c>
      <c r="AD72" s="126">
        <v>43</v>
      </c>
      <c r="AE72" s="132" t="s">
        <v>596</v>
      </c>
      <c r="AF72" s="132" t="s">
        <v>748</v>
      </c>
      <c r="AG72" s="124">
        <v>2112</v>
      </c>
      <c r="AH72" s="132" t="s">
        <v>596</v>
      </c>
      <c r="AI72" s="132" t="s">
        <v>785</v>
      </c>
      <c r="AJ72" s="126">
        <v>9</v>
      </c>
      <c r="AK72" s="132" t="s">
        <v>596</v>
      </c>
      <c r="AL72" s="132" t="s">
        <v>748</v>
      </c>
      <c r="AM72" s="124">
        <v>1983</v>
      </c>
      <c r="AN72" s="132" t="s">
        <v>596</v>
      </c>
      <c r="AO72" s="132" t="s">
        <v>785</v>
      </c>
      <c r="AP72" s="126" t="s">
        <v>641</v>
      </c>
      <c r="AQ72" s="132" t="s">
        <v>596</v>
      </c>
      <c r="AR72" s="132" t="s">
        <v>748</v>
      </c>
      <c r="AS72" s="124">
        <v>2116</v>
      </c>
      <c r="AT72" s="132" t="s">
        <v>596</v>
      </c>
      <c r="AU72" s="132" t="s">
        <v>785</v>
      </c>
      <c r="AV72" s="126">
        <v>37</v>
      </c>
      <c r="AW72" s="132" t="s">
        <v>596</v>
      </c>
      <c r="AX72" s="132" t="s">
        <v>748</v>
      </c>
      <c r="AY72" s="124">
        <v>2036</v>
      </c>
      <c r="AZ72" s="132" t="s">
        <v>596</v>
      </c>
      <c r="BA72" s="132" t="s">
        <v>785</v>
      </c>
      <c r="BB72" s="126">
        <v>24</v>
      </c>
      <c r="BC72" s="132" t="s">
        <v>596</v>
      </c>
      <c r="BD72" s="131" t="s">
        <v>594</v>
      </c>
    </row>
    <row r="73" spans="1:56">
      <c r="A73" s="130" t="s">
        <v>746</v>
      </c>
      <c r="B73" s="130" t="s">
        <v>748</v>
      </c>
      <c r="C73" s="115">
        <f t="shared" si="2"/>
        <v>71</v>
      </c>
      <c r="D73" s="132" t="s">
        <v>596</v>
      </c>
      <c r="E73" s="132" t="s">
        <v>748</v>
      </c>
      <c r="F73" s="116">
        <f>HYPERLINK("http://ratings.ruchess.ru/people/19384",19384)</f>
        <v>19384</v>
      </c>
      <c r="G73" s="132" t="s">
        <v>596</v>
      </c>
      <c r="H73" s="132" t="s">
        <v>748</v>
      </c>
      <c r="I73" s="116">
        <f>HYPERLINK("https://ratings.fide.com/card.phtml?event=44182490",44182490)</f>
        <v>44182490</v>
      </c>
      <c r="J73" s="132" t="s">
        <v>596</v>
      </c>
      <c r="K73" s="132" t="s">
        <v>748</v>
      </c>
      <c r="L73" s="117" t="s">
        <v>715</v>
      </c>
      <c r="M73" s="132" t="s">
        <v>596</v>
      </c>
      <c r="N73" s="132" t="s">
        <v>748</v>
      </c>
      <c r="O73" s="118">
        <v>1970</v>
      </c>
      <c r="P73" s="132" t="s">
        <v>596</v>
      </c>
      <c r="Q73" s="132" t="s">
        <v>748</v>
      </c>
      <c r="R73" s="119" t="s">
        <v>641</v>
      </c>
      <c r="S73" s="132" t="s">
        <v>596</v>
      </c>
      <c r="T73" s="132" t="s">
        <v>748</v>
      </c>
      <c r="U73" s="118">
        <v>2046</v>
      </c>
      <c r="V73" s="132" t="s">
        <v>596</v>
      </c>
      <c r="W73" s="132" t="s">
        <v>785</v>
      </c>
      <c r="X73" s="120" t="s">
        <v>641</v>
      </c>
      <c r="Y73" s="132" t="s">
        <v>596</v>
      </c>
      <c r="Z73" s="132" t="s">
        <v>748</v>
      </c>
      <c r="AA73" s="118">
        <v>1930</v>
      </c>
      <c r="AB73" s="132" t="s">
        <v>596</v>
      </c>
      <c r="AC73" s="132" t="s">
        <v>785</v>
      </c>
      <c r="AD73" s="120" t="s">
        <v>641</v>
      </c>
      <c r="AE73" s="132" t="s">
        <v>596</v>
      </c>
      <c r="AF73" s="132" t="s">
        <v>748</v>
      </c>
      <c r="AG73" s="118">
        <v>1944</v>
      </c>
      <c r="AH73" s="132" t="s">
        <v>596</v>
      </c>
      <c r="AI73" s="132" t="s">
        <v>785</v>
      </c>
      <c r="AJ73" s="120" t="s">
        <v>641</v>
      </c>
      <c r="AK73" s="132" t="s">
        <v>596</v>
      </c>
      <c r="AL73" s="132" t="s">
        <v>748</v>
      </c>
      <c r="AM73" s="118">
        <v>0</v>
      </c>
      <c r="AN73" s="132" t="s">
        <v>596</v>
      </c>
      <c r="AO73" s="132" t="s">
        <v>785</v>
      </c>
      <c r="AP73" s="120" t="s">
        <v>641</v>
      </c>
      <c r="AQ73" s="132" t="s">
        <v>596</v>
      </c>
      <c r="AR73" s="132" t="s">
        <v>748</v>
      </c>
      <c r="AS73" s="118">
        <v>1981</v>
      </c>
      <c r="AT73" s="132" t="s">
        <v>596</v>
      </c>
      <c r="AU73" s="132" t="s">
        <v>785</v>
      </c>
      <c r="AV73" s="120" t="s">
        <v>641</v>
      </c>
      <c r="AW73" s="132" t="s">
        <v>596</v>
      </c>
      <c r="AX73" s="132" t="s">
        <v>748</v>
      </c>
      <c r="AY73" s="118">
        <v>1957</v>
      </c>
      <c r="AZ73" s="132" t="s">
        <v>596</v>
      </c>
      <c r="BA73" s="132" t="s">
        <v>785</v>
      </c>
      <c r="BB73" s="120" t="s">
        <v>641</v>
      </c>
      <c r="BC73" s="132" t="s">
        <v>596</v>
      </c>
      <c r="BD73" s="131" t="s">
        <v>594</v>
      </c>
    </row>
    <row r="74" spans="1:56">
      <c r="A74" s="130" t="s">
        <v>746</v>
      </c>
      <c r="B74" s="130" t="s">
        <v>748</v>
      </c>
      <c r="C74" s="121">
        <f t="shared" si="2"/>
        <v>72</v>
      </c>
      <c r="D74" s="132" t="s">
        <v>596</v>
      </c>
      <c r="E74" s="132" t="s">
        <v>748</v>
      </c>
      <c r="F74" s="122">
        <f>HYPERLINK("http://ratings.ruchess.ru/people/61294",61294)</f>
        <v>61294</v>
      </c>
      <c r="G74" s="132" t="s">
        <v>596</v>
      </c>
      <c r="H74" s="132" t="s">
        <v>748</v>
      </c>
      <c r="I74" s="122">
        <f>HYPERLINK("https://ratings.fide.com/card.phtml?event=34236490",34236490)</f>
        <v>34236490</v>
      </c>
      <c r="J74" s="132" t="s">
        <v>596</v>
      </c>
      <c r="K74" s="132" t="s">
        <v>748</v>
      </c>
      <c r="L74" s="123" t="s">
        <v>716</v>
      </c>
      <c r="M74" s="132" t="s">
        <v>596</v>
      </c>
      <c r="N74" s="132" t="s">
        <v>748</v>
      </c>
      <c r="O74" s="124">
        <v>1976</v>
      </c>
      <c r="P74" s="132" t="s">
        <v>596</v>
      </c>
      <c r="Q74" s="132" t="s">
        <v>748</v>
      </c>
      <c r="R74" s="125" t="s">
        <v>641</v>
      </c>
      <c r="S74" s="132" t="s">
        <v>596</v>
      </c>
      <c r="T74" s="132" t="s">
        <v>748</v>
      </c>
      <c r="U74" s="124">
        <v>2044</v>
      </c>
      <c r="V74" s="132" t="s">
        <v>596</v>
      </c>
      <c r="W74" s="132" t="s">
        <v>785</v>
      </c>
      <c r="X74" s="126" t="s">
        <v>641</v>
      </c>
      <c r="Y74" s="132" t="s">
        <v>596</v>
      </c>
      <c r="Z74" s="132" t="s">
        <v>748</v>
      </c>
      <c r="AA74" s="124">
        <v>0</v>
      </c>
      <c r="AB74" s="132" t="s">
        <v>596</v>
      </c>
      <c r="AC74" s="132" t="s">
        <v>785</v>
      </c>
      <c r="AD74" s="126" t="s">
        <v>641</v>
      </c>
      <c r="AE74" s="132" t="s">
        <v>596</v>
      </c>
      <c r="AF74" s="132" t="s">
        <v>748</v>
      </c>
      <c r="AG74" s="124">
        <v>1099</v>
      </c>
      <c r="AH74" s="132" t="s">
        <v>596</v>
      </c>
      <c r="AI74" s="132" t="s">
        <v>785</v>
      </c>
      <c r="AJ74" s="126" t="s">
        <v>641</v>
      </c>
      <c r="AK74" s="132" t="s">
        <v>596</v>
      </c>
      <c r="AL74" s="132" t="s">
        <v>748</v>
      </c>
      <c r="AM74" s="124">
        <v>0</v>
      </c>
      <c r="AN74" s="132" t="s">
        <v>596</v>
      </c>
      <c r="AO74" s="132" t="s">
        <v>785</v>
      </c>
      <c r="AP74" s="126" t="s">
        <v>641</v>
      </c>
      <c r="AQ74" s="132" t="s">
        <v>596</v>
      </c>
      <c r="AR74" s="132" t="s">
        <v>748</v>
      </c>
      <c r="AS74" s="124">
        <v>0</v>
      </c>
      <c r="AT74" s="132" t="s">
        <v>596</v>
      </c>
      <c r="AU74" s="132" t="s">
        <v>785</v>
      </c>
      <c r="AV74" s="126" t="s">
        <v>641</v>
      </c>
      <c r="AW74" s="132" t="s">
        <v>596</v>
      </c>
      <c r="AX74" s="132" t="s">
        <v>748</v>
      </c>
      <c r="AY74" s="124">
        <v>2020</v>
      </c>
      <c r="AZ74" s="132" t="s">
        <v>596</v>
      </c>
      <c r="BA74" s="132" t="s">
        <v>785</v>
      </c>
      <c r="BB74" s="126" t="s">
        <v>641</v>
      </c>
      <c r="BC74" s="132" t="s">
        <v>596</v>
      </c>
      <c r="BD74" s="131" t="s">
        <v>594</v>
      </c>
    </row>
    <row r="75" spans="1:56">
      <c r="A75" s="130" t="s">
        <v>746</v>
      </c>
      <c r="B75" s="130" t="s">
        <v>748</v>
      </c>
      <c r="C75" s="115">
        <f t="shared" si="2"/>
        <v>73</v>
      </c>
      <c r="D75" s="132" t="s">
        <v>596</v>
      </c>
      <c r="E75" s="132" t="s">
        <v>748</v>
      </c>
      <c r="F75" s="116">
        <f>HYPERLINK("http://ratings.ruchess.ru/people/28127",28127)</f>
        <v>28127</v>
      </c>
      <c r="G75" s="132" t="s">
        <v>596</v>
      </c>
      <c r="H75" s="132" t="s">
        <v>748</v>
      </c>
      <c r="I75" s="116">
        <f>HYPERLINK("https://ratings.fide.com/card.phtml?event=4151151",4151151)</f>
        <v>4151151</v>
      </c>
      <c r="J75" s="132" t="s">
        <v>596</v>
      </c>
      <c r="K75" s="132" t="s">
        <v>748</v>
      </c>
      <c r="L75" s="117" t="s">
        <v>717</v>
      </c>
      <c r="M75" s="132" t="s">
        <v>596</v>
      </c>
      <c r="N75" s="132" t="s">
        <v>748</v>
      </c>
      <c r="O75" s="118">
        <v>1991</v>
      </c>
      <c r="P75" s="132" t="s">
        <v>596</v>
      </c>
      <c r="Q75" s="132" t="s">
        <v>748</v>
      </c>
      <c r="R75" s="128" t="s">
        <v>226</v>
      </c>
      <c r="S75" s="132" t="s">
        <v>596</v>
      </c>
      <c r="T75" s="132" t="s">
        <v>748</v>
      </c>
      <c r="U75" s="118">
        <v>2037</v>
      </c>
      <c r="V75" s="132" t="s">
        <v>596</v>
      </c>
      <c r="W75" s="132" t="s">
        <v>785</v>
      </c>
      <c r="X75" s="120" t="s">
        <v>641</v>
      </c>
      <c r="Y75" s="132" t="s">
        <v>596</v>
      </c>
      <c r="Z75" s="132" t="s">
        <v>748</v>
      </c>
      <c r="AA75" s="118">
        <v>1992</v>
      </c>
      <c r="AB75" s="132" t="s">
        <v>596</v>
      </c>
      <c r="AC75" s="132" t="s">
        <v>785</v>
      </c>
      <c r="AD75" s="120" t="s">
        <v>641</v>
      </c>
      <c r="AE75" s="132" t="s">
        <v>596</v>
      </c>
      <c r="AF75" s="132" t="s">
        <v>748</v>
      </c>
      <c r="AG75" s="118">
        <v>1973</v>
      </c>
      <c r="AH75" s="132" t="s">
        <v>596</v>
      </c>
      <c r="AI75" s="132" t="s">
        <v>785</v>
      </c>
      <c r="AJ75" s="120" t="s">
        <v>641</v>
      </c>
      <c r="AK75" s="132" t="s">
        <v>596</v>
      </c>
      <c r="AL75" s="132" t="s">
        <v>748</v>
      </c>
      <c r="AM75" s="118">
        <v>2027</v>
      </c>
      <c r="AN75" s="132" t="s">
        <v>596</v>
      </c>
      <c r="AO75" s="132" t="s">
        <v>785</v>
      </c>
      <c r="AP75" s="120" t="s">
        <v>641</v>
      </c>
      <c r="AQ75" s="132" t="s">
        <v>596</v>
      </c>
      <c r="AR75" s="132" t="s">
        <v>748</v>
      </c>
      <c r="AS75" s="118">
        <v>1981</v>
      </c>
      <c r="AT75" s="132" t="s">
        <v>596</v>
      </c>
      <c r="AU75" s="132" t="s">
        <v>785</v>
      </c>
      <c r="AV75" s="120" t="s">
        <v>641</v>
      </c>
      <c r="AW75" s="132" t="s">
        <v>596</v>
      </c>
      <c r="AX75" s="132" t="s">
        <v>748</v>
      </c>
      <c r="AY75" s="118">
        <v>1973</v>
      </c>
      <c r="AZ75" s="132" t="s">
        <v>596</v>
      </c>
      <c r="BA75" s="132" t="s">
        <v>785</v>
      </c>
      <c r="BB75" s="120" t="s">
        <v>641</v>
      </c>
      <c r="BC75" s="132" t="s">
        <v>596</v>
      </c>
      <c r="BD75" s="131" t="s">
        <v>594</v>
      </c>
    </row>
    <row r="76" spans="1:56">
      <c r="A76" s="130" t="s">
        <v>746</v>
      </c>
      <c r="B76" s="130" t="s">
        <v>748</v>
      </c>
      <c r="C76" s="121">
        <f t="shared" si="2"/>
        <v>74</v>
      </c>
      <c r="D76" s="132" t="s">
        <v>596</v>
      </c>
      <c r="E76" s="132" t="s">
        <v>748</v>
      </c>
      <c r="F76" s="122">
        <f>HYPERLINK("http://ratings.ruchess.ru/people/2673",2673)</f>
        <v>2673</v>
      </c>
      <c r="G76" s="132" t="s">
        <v>596</v>
      </c>
      <c r="H76" s="132" t="s">
        <v>748</v>
      </c>
      <c r="I76" s="122">
        <f>HYPERLINK("https://ratings.fide.com/card.phtml?event=54184274",54184274)</f>
        <v>54184274</v>
      </c>
      <c r="J76" s="132" t="s">
        <v>596</v>
      </c>
      <c r="K76" s="132" t="s">
        <v>748</v>
      </c>
      <c r="L76" s="123" t="s">
        <v>718</v>
      </c>
      <c r="M76" s="132" t="s">
        <v>596</v>
      </c>
      <c r="N76" s="132" t="s">
        <v>748</v>
      </c>
      <c r="O76" s="124">
        <v>2007</v>
      </c>
      <c r="P76" s="132" t="s">
        <v>596</v>
      </c>
      <c r="Q76" s="132" t="s">
        <v>748</v>
      </c>
      <c r="R76" s="127" t="s">
        <v>226</v>
      </c>
      <c r="S76" s="132" t="s">
        <v>596</v>
      </c>
      <c r="T76" s="132" t="s">
        <v>748</v>
      </c>
      <c r="U76" s="124">
        <v>2037</v>
      </c>
      <c r="V76" s="132" t="s">
        <v>596</v>
      </c>
      <c r="W76" s="132" t="s">
        <v>785</v>
      </c>
      <c r="X76" s="126">
        <v>29</v>
      </c>
      <c r="Y76" s="132" t="s">
        <v>596</v>
      </c>
      <c r="Z76" s="132" t="s">
        <v>748</v>
      </c>
      <c r="AA76" s="124">
        <v>1990</v>
      </c>
      <c r="AB76" s="132" t="s">
        <v>596</v>
      </c>
      <c r="AC76" s="132" t="s">
        <v>785</v>
      </c>
      <c r="AD76" s="126">
        <v>60</v>
      </c>
      <c r="AE76" s="132" t="s">
        <v>596</v>
      </c>
      <c r="AF76" s="132" t="s">
        <v>748</v>
      </c>
      <c r="AG76" s="124">
        <v>1915</v>
      </c>
      <c r="AH76" s="132" t="s">
        <v>596</v>
      </c>
      <c r="AI76" s="132" t="s">
        <v>785</v>
      </c>
      <c r="AJ76" s="126">
        <v>5</v>
      </c>
      <c r="AK76" s="132" t="s">
        <v>596</v>
      </c>
      <c r="AL76" s="132" t="s">
        <v>748</v>
      </c>
      <c r="AM76" s="124">
        <v>1887</v>
      </c>
      <c r="AN76" s="132" t="s">
        <v>596</v>
      </c>
      <c r="AO76" s="132" t="s">
        <v>785</v>
      </c>
      <c r="AP76" s="126" t="s">
        <v>641</v>
      </c>
      <c r="AQ76" s="132" t="s">
        <v>596</v>
      </c>
      <c r="AR76" s="132" t="s">
        <v>748</v>
      </c>
      <c r="AS76" s="124">
        <v>1988</v>
      </c>
      <c r="AT76" s="132" t="s">
        <v>596</v>
      </c>
      <c r="AU76" s="132" t="s">
        <v>785</v>
      </c>
      <c r="AV76" s="126">
        <v>42</v>
      </c>
      <c r="AW76" s="132" t="s">
        <v>596</v>
      </c>
      <c r="AX76" s="132" t="s">
        <v>748</v>
      </c>
      <c r="AY76" s="124">
        <v>1898</v>
      </c>
      <c r="AZ76" s="132" t="s">
        <v>596</v>
      </c>
      <c r="BA76" s="132" t="s">
        <v>785</v>
      </c>
      <c r="BB76" s="126">
        <v>25</v>
      </c>
      <c r="BC76" s="132" t="s">
        <v>596</v>
      </c>
      <c r="BD76" s="131" t="s">
        <v>594</v>
      </c>
    </row>
    <row r="77" spans="1:56">
      <c r="A77" s="130" t="s">
        <v>746</v>
      </c>
      <c r="B77" s="130" t="s">
        <v>748</v>
      </c>
      <c r="C77" s="115">
        <f t="shared" si="2"/>
        <v>75</v>
      </c>
      <c r="D77" s="132" t="s">
        <v>596</v>
      </c>
      <c r="E77" s="132" t="s">
        <v>748</v>
      </c>
      <c r="F77" s="116">
        <f>HYPERLINK("http://ratings.ruchess.ru/people/3486",3486)</f>
        <v>3486</v>
      </c>
      <c r="G77" s="132" t="s">
        <v>596</v>
      </c>
      <c r="H77" s="132" t="s">
        <v>748</v>
      </c>
      <c r="I77" s="116">
        <f>HYPERLINK("https://ratings.fide.com/card.phtml?event=34128147",34128147)</f>
        <v>34128147</v>
      </c>
      <c r="J77" s="132" t="s">
        <v>596</v>
      </c>
      <c r="K77" s="132" t="s">
        <v>748</v>
      </c>
      <c r="L77" s="117" t="s">
        <v>719</v>
      </c>
      <c r="M77" s="132" t="s">
        <v>596</v>
      </c>
      <c r="N77" s="132" t="s">
        <v>748</v>
      </c>
      <c r="O77" s="118">
        <v>2000</v>
      </c>
      <c r="P77" s="132" t="s">
        <v>596</v>
      </c>
      <c r="Q77" s="132" t="s">
        <v>748</v>
      </c>
      <c r="R77" s="128" t="s">
        <v>294</v>
      </c>
      <c r="S77" s="132" t="s">
        <v>596</v>
      </c>
      <c r="T77" s="132" t="s">
        <v>748</v>
      </c>
      <c r="U77" s="118">
        <v>2036</v>
      </c>
      <c r="V77" s="132" t="s">
        <v>596</v>
      </c>
      <c r="W77" s="132" t="s">
        <v>785</v>
      </c>
      <c r="X77" s="120" t="s">
        <v>641</v>
      </c>
      <c r="Y77" s="132" t="s">
        <v>596</v>
      </c>
      <c r="Z77" s="132" t="s">
        <v>748</v>
      </c>
      <c r="AA77" s="118">
        <v>1935</v>
      </c>
      <c r="AB77" s="132" t="s">
        <v>596</v>
      </c>
      <c r="AC77" s="132" t="s">
        <v>785</v>
      </c>
      <c r="AD77" s="120" t="s">
        <v>641</v>
      </c>
      <c r="AE77" s="132" t="s">
        <v>596</v>
      </c>
      <c r="AF77" s="132" t="s">
        <v>748</v>
      </c>
      <c r="AG77" s="118">
        <v>1945</v>
      </c>
      <c r="AH77" s="132" t="s">
        <v>596</v>
      </c>
      <c r="AI77" s="132" t="s">
        <v>785</v>
      </c>
      <c r="AJ77" s="120" t="s">
        <v>641</v>
      </c>
      <c r="AK77" s="132" t="s">
        <v>596</v>
      </c>
      <c r="AL77" s="132" t="s">
        <v>748</v>
      </c>
      <c r="AM77" s="118">
        <v>2038</v>
      </c>
      <c r="AN77" s="132" t="s">
        <v>596</v>
      </c>
      <c r="AO77" s="132" t="s">
        <v>785</v>
      </c>
      <c r="AP77" s="120" t="s">
        <v>641</v>
      </c>
      <c r="AQ77" s="132" t="s">
        <v>596</v>
      </c>
      <c r="AR77" s="132" t="s">
        <v>748</v>
      </c>
      <c r="AS77" s="118">
        <v>1935</v>
      </c>
      <c r="AT77" s="132" t="s">
        <v>596</v>
      </c>
      <c r="AU77" s="132" t="s">
        <v>785</v>
      </c>
      <c r="AV77" s="120" t="s">
        <v>641</v>
      </c>
      <c r="AW77" s="132" t="s">
        <v>596</v>
      </c>
      <c r="AX77" s="132" t="s">
        <v>748</v>
      </c>
      <c r="AY77" s="118">
        <v>1947</v>
      </c>
      <c r="AZ77" s="132" t="s">
        <v>596</v>
      </c>
      <c r="BA77" s="132" t="s">
        <v>785</v>
      </c>
      <c r="BB77" s="120" t="s">
        <v>641</v>
      </c>
      <c r="BC77" s="132" t="s">
        <v>596</v>
      </c>
      <c r="BD77" s="131" t="s">
        <v>594</v>
      </c>
    </row>
    <row r="78" spans="1:56">
      <c r="A78" s="130" t="s">
        <v>746</v>
      </c>
      <c r="B78" s="130" t="s">
        <v>748</v>
      </c>
      <c r="C78" s="121">
        <f t="shared" si="2"/>
        <v>76</v>
      </c>
      <c r="D78" s="132" t="s">
        <v>596</v>
      </c>
      <c r="E78" s="132" t="s">
        <v>748</v>
      </c>
      <c r="F78" s="122">
        <f>HYPERLINK("http://ratings.ruchess.ru/people/111586",111586)</f>
        <v>111586</v>
      </c>
      <c r="G78" s="132" t="s">
        <v>596</v>
      </c>
      <c r="H78" s="132" t="s">
        <v>748</v>
      </c>
      <c r="I78" s="122">
        <f>HYPERLINK("https://ratings.fide.com/card.phtml?event=4114183",4114183)</f>
        <v>4114183</v>
      </c>
      <c r="J78" s="132" t="s">
        <v>596</v>
      </c>
      <c r="K78" s="132" t="s">
        <v>748</v>
      </c>
      <c r="L78" s="123" t="s">
        <v>720</v>
      </c>
      <c r="M78" s="132" t="s">
        <v>596</v>
      </c>
      <c r="N78" s="132" t="s">
        <v>748</v>
      </c>
      <c r="O78" s="124">
        <v>1964</v>
      </c>
      <c r="P78" s="132" t="s">
        <v>596</v>
      </c>
      <c r="Q78" s="132" t="s">
        <v>748</v>
      </c>
      <c r="R78" s="127" t="s">
        <v>226</v>
      </c>
      <c r="S78" s="132" t="s">
        <v>596</v>
      </c>
      <c r="T78" s="132" t="s">
        <v>748</v>
      </c>
      <c r="U78" s="124">
        <v>2032</v>
      </c>
      <c r="V78" s="132" t="s">
        <v>596</v>
      </c>
      <c r="W78" s="132" t="s">
        <v>785</v>
      </c>
      <c r="X78" s="126">
        <v>-17</v>
      </c>
      <c r="Y78" s="132" t="s">
        <v>596</v>
      </c>
      <c r="Z78" s="132" t="s">
        <v>748</v>
      </c>
      <c r="AA78" s="124">
        <v>1880</v>
      </c>
      <c r="AB78" s="132" t="s">
        <v>596</v>
      </c>
      <c r="AC78" s="132" t="s">
        <v>785</v>
      </c>
      <c r="AD78" s="126">
        <v>-55</v>
      </c>
      <c r="AE78" s="132" t="s">
        <v>596</v>
      </c>
      <c r="AF78" s="132" t="s">
        <v>748</v>
      </c>
      <c r="AG78" s="124">
        <v>1898</v>
      </c>
      <c r="AH78" s="132" t="s">
        <v>596</v>
      </c>
      <c r="AI78" s="132" t="s">
        <v>785</v>
      </c>
      <c r="AJ78" s="126">
        <v>-60</v>
      </c>
      <c r="AK78" s="132" t="s">
        <v>596</v>
      </c>
      <c r="AL78" s="132" t="s">
        <v>748</v>
      </c>
      <c r="AM78" s="124">
        <v>2068</v>
      </c>
      <c r="AN78" s="132" t="s">
        <v>596</v>
      </c>
      <c r="AO78" s="132" t="s">
        <v>785</v>
      </c>
      <c r="AP78" s="126" t="s">
        <v>641</v>
      </c>
      <c r="AQ78" s="132" t="s">
        <v>596</v>
      </c>
      <c r="AR78" s="132" t="s">
        <v>748</v>
      </c>
      <c r="AS78" s="124">
        <v>1964</v>
      </c>
      <c r="AT78" s="132" t="s">
        <v>596</v>
      </c>
      <c r="AU78" s="132" t="s">
        <v>785</v>
      </c>
      <c r="AV78" s="126">
        <v>-39</v>
      </c>
      <c r="AW78" s="132" t="s">
        <v>596</v>
      </c>
      <c r="AX78" s="132" t="s">
        <v>748</v>
      </c>
      <c r="AY78" s="124">
        <v>1970</v>
      </c>
      <c r="AZ78" s="132" t="s">
        <v>596</v>
      </c>
      <c r="BA78" s="132" t="s">
        <v>785</v>
      </c>
      <c r="BB78" s="126">
        <v>-35</v>
      </c>
      <c r="BC78" s="132" t="s">
        <v>596</v>
      </c>
      <c r="BD78" s="131" t="s">
        <v>594</v>
      </c>
    </row>
    <row r="79" spans="1:56">
      <c r="A79" s="130" t="s">
        <v>746</v>
      </c>
      <c r="B79" s="130" t="s">
        <v>748</v>
      </c>
      <c r="C79" s="115">
        <f t="shared" si="2"/>
        <v>77</v>
      </c>
      <c r="D79" s="132" t="s">
        <v>596</v>
      </c>
      <c r="E79" s="132" t="s">
        <v>748</v>
      </c>
      <c r="F79" s="116">
        <f>HYPERLINK("http://ratings.ruchess.ru/people/3654",3654)</f>
        <v>3654</v>
      </c>
      <c r="G79" s="132" t="s">
        <v>596</v>
      </c>
      <c r="H79" s="132" t="s">
        <v>748</v>
      </c>
      <c r="I79" s="116">
        <f>HYPERLINK("https://ratings.fide.com/card.phtml?event=54114900",54114900)</f>
        <v>54114900</v>
      </c>
      <c r="J79" s="132" t="s">
        <v>596</v>
      </c>
      <c r="K79" s="132" t="s">
        <v>748</v>
      </c>
      <c r="L79" s="117" t="s">
        <v>721</v>
      </c>
      <c r="M79" s="132" t="s">
        <v>596</v>
      </c>
      <c r="N79" s="132" t="s">
        <v>748</v>
      </c>
      <c r="O79" s="118">
        <v>2001</v>
      </c>
      <c r="P79" s="132" t="s">
        <v>596</v>
      </c>
      <c r="Q79" s="132" t="s">
        <v>748</v>
      </c>
      <c r="R79" s="128" t="s">
        <v>281</v>
      </c>
      <c r="S79" s="132" t="s">
        <v>596</v>
      </c>
      <c r="T79" s="132" t="s">
        <v>748</v>
      </c>
      <c r="U79" s="118">
        <v>2031</v>
      </c>
      <c r="V79" s="132" t="s">
        <v>596</v>
      </c>
      <c r="W79" s="132" t="s">
        <v>785</v>
      </c>
      <c r="X79" s="120" t="s">
        <v>641</v>
      </c>
      <c r="Y79" s="132" t="s">
        <v>596</v>
      </c>
      <c r="Z79" s="132" t="s">
        <v>748</v>
      </c>
      <c r="AA79" s="118">
        <v>1814</v>
      </c>
      <c r="AB79" s="132" t="s">
        <v>596</v>
      </c>
      <c r="AC79" s="132" t="s">
        <v>785</v>
      </c>
      <c r="AD79" s="120" t="s">
        <v>641</v>
      </c>
      <c r="AE79" s="132" t="s">
        <v>596</v>
      </c>
      <c r="AF79" s="132" t="s">
        <v>748</v>
      </c>
      <c r="AG79" s="118">
        <v>0</v>
      </c>
      <c r="AH79" s="132" t="s">
        <v>596</v>
      </c>
      <c r="AI79" s="132" t="s">
        <v>785</v>
      </c>
      <c r="AJ79" s="120" t="s">
        <v>641</v>
      </c>
      <c r="AK79" s="132" t="s">
        <v>596</v>
      </c>
      <c r="AL79" s="132" t="s">
        <v>748</v>
      </c>
      <c r="AM79" s="118">
        <v>1818</v>
      </c>
      <c r="AN79" s="132" t="s">
        <v>596</v>
      </c>
      <c r="AO79" s="132" t="s">
        <v>785</v>
      </c>
      <c r="AP79" s="120" t="s">
        <v>641</v>
      </c>
      <c r="AQ79" s="132" t="s">
        <v>596</v>
      </c>
      <c r="AR79" s="132" t="s">
        <v>748</v>
      </c>
      <c r="AS79" s="118">
        <v>1816</v>
      </c>
      <c r="AT79" s="132" t="s">
        <v>596</v>
      </c>
      <c r="AU79" s="132" t="s">
        <v>785</v>
      </c>
      <c r="AV79" s="120" t="s">
        <v>641</v>
      </c>
      <c r="AW79" s="132" t="s">
        <v>596</v>
      </c>
      <c r="AX79" s="132" t="s">
        <v>748</v>
      </c>
      <c r="AY79" s="118">
        <v>0</v>
      </c>
      <c r="AZ79" s="132" t="s">
        <v>596</v>
      </c>
      <c r="BA79" s="132" t="s">
        <v>785</v>
      </c>
      <c r="BB79" s="120" t="s">
        <v>641</v>
      </c>
      <c r="BC79" s="132" t="s">
        <v>596</v>
      </c>
      <c r="BD79" s="131" t="s">
        <v>594</v>
      </c>
    </row>
    <row r="80" spans="1:56">
      <c r="A80" s="130" t="s">
        <v>746</v>
      </c>
      <c r="B80" s="130" t="s">
        <v>748</v>
      </c>
      <c r="C80" s="121">
        <f t="shared" si="2"/>
        <v>78</v>
      </c>
      <c r="D80" s="132" t="s">
        <v>596</v>
      </c>
      <c r="E80" s="132" t="s">
        <v>748</v>
      </c>
      <c r="F80" s="122">
        <f>HYPERLINK("http://ratings.ruchess.ru/people/3518",3518)</f>
        <v>3518</v>
      </c>
      <c r="G80" s="132" t="s">
        <v>596</v>
      </c>
      <c r="H80" s="132" t="s">
        <v>748</v>
      </c>
      <c r="I80" s="122">
        <f>HYPERLINK("https://ratings.fide.com/card.phtml?event=4120922",4120922)</f>
        <v>4120922</v>
      </c>
      <c r="J80" s="132" t="s">
        <v>596</v>
      </c>
      <c r="K80" s="132" t="s">
        <v>748</v>
      </c>
      <c r="L80" s="123" t="s">
        <v>722</v>
      </c>
      <c r="M80" s="132" t="s">
        <v>596</v>
      </c>
      <c r="N80" s="132" t="s">
        <v>748</v>
      </c>
      <c r="O80" s="124">
        <v>1969</v>
      </c>
      <c r="P80" s="132" t="s">
        <v>596</v>
      </c>
      <c r="Q80" s="132" t="s">
        <v>748</v>
      </c>
      <c r="R80" s="125" t="s">
        <v>641</v>
      </c>
      <c r="S80" s="132" t="s">
        <v>596</v>
      </c>
      <c r="T80" s="132" t="s">
        <v>748</v>
      </c>
      <c r="U80" s="124">
        <v>2030</v>
      </c>
      <c r="V80" s="132" t="s">
        <v>596</v>
      </c>
      <c r="W80" s="132" t="s">
        <v>785</v>
      </c>
      <c r="X80" s="126">
        <v>-86</v>
      </c>
      <c r="Y80" s="132" t="s">
        <v>596</v>
      </c>
      <c r="Z80" s="132" t="s">
        <v>748</v>
      </c>
      <c r="AA80" s="124">
        <v>1879</v>
      </c>
      <c r="AB80" s="132" t="s">
        <v>596</v>
      </c>
      <c r="AC80" s="132" t="s">
        <v>785</v>
      </c>
      <c r="AD80" s="126" t="s">
        <v>641</v>
      </c>
      <c r="AE80" s="132" t="s">
        <v>596</v>
      </c>
      <c r="AF80" s="132" t="s">
        <v>748</v>
      </c>
      <c r="AG80" s="124">
        <v>1940</v>
      </c>
      <c r="AH80" s="132" t="s">
        <v>596</v>
      </c>
      <c r="AI80" s="132" t="s">
        <v>785</v>
      </c>
      <c r="AJ80" s="126" t="s">
        <v>641</v>
      </c>
      <c r="AK80" s="132" t="s">
        <v>596</v>
      </c>
      <c r="AL80" s="132" t="s">
        <v>748</v>
      </c>
      <c r="AM80" s="124">
        <v>2150</v>
      </c>
      <c r="AN80" s="132" t="s">
        <v>596</v>
      </c>
      <c r="AO80" s="132" t="s">
        <v>785</v>
      </c>
      <c r="AP80" s="126" t="s">
        <v>641</v>
      </c>
      <c r="AQ80" s="132" t="s">
        <v>596</v>
      </c>
      <c r="AR80" s="132" t="s">
        <v>748</v>
      </c>
      <c r="AS80" s="124">
        <v>1896</v>
      </c>
      <c r="AT80" s="132" t="s">
        <v>596</v>
      </c>
      <c r="AU80" s="132" t="s">
        <v>785</v>
      </c>
      <c r="AV80" s="126" t="s">
        <v>641</v>
      </c>
      <c r="AW80" s="132" t="s">
        <v>596</v>
      </c>
      <c r="AX80" s="132" t="s">
        <v>748</v>
      </c>
      <c r="AY80" s="124">
        <v>1988</v>
      </c>
      <c r="AZ80" s="132" t="s">
        <v>596</v>
      </c>
      <c r="BA80" s="132" t="s">
        <v>785</v>
      </c>
      <c r="BB80" s="126" t="s">
        <v>641</v>
      </c>
      <c r="BC80" s="132" t="s">
        <v>596</v>
      </c>
      <c r="BD80" s="131" t="s">
        <v>594</v>
      </c>
    </row>
    <row r="81" spans="1:56">
      <c r="A81" s="130" t="s">
        <v>746</v>
      </c>
      <c r="B81" s="130" t="s">
        <v>748</v>
      </c>
      <c r="C81" s="115">
        <f t="shared" si="2"/>
        <v>79</v>
      </c>
      <c r="D81" s="132" t="s">
        <v>596</v>
      </c>
      <c r="E81" s="132" t="s">
        <v>748</v>
      </c>
      <c r="F81" s="116">
        <f>HYPERLINK("http://ratings.ruchess.ru/people/3524",3524)</f>
        <v>3524</v>
      </c>
      <c r="G81" s="132" t="s">
        <v>596</v>
      </c>
      <c r="H81" s="132" t="s">
        <v>748</v>
      </c>
      <c r="I81" s="116">
        <f>HYPERLINK("https://ratings.fide.com/card.phtml?event=4194888",4194888)</f>
        <v>4194888</v>
      </c>
      <c r="J81" s="132" t="s">
        <v>596</v>
      </c>
      <c r="K81" s="132" t="s">
        <v>748</v>
      </c>
      <c r="L81" s="117" t="s">
        <v>723</v>
      </c>
      <c r="M81" s="132" t="s">
        <v>596</v>
      </c>
      <c r="N81" s="132" t="s">
        <v>748</v>
      </c>
      <c r="O81" s="118">
        <v>1967</v>
      </c>
      <c r="P81" s="132" t="s">
        <v>596</v>
      </c>
      <c r="Q81" s="132" t="s">
        <v>748</v>
      </c>
      <c r="R81" s="119" t="s">
        <v>641</v>
      </c>
      <c r="S81" s="132" t="s">
        <v>596</v>
      </c>
      <c r="T81" s="132" t="s">
        <v>748</v>
      </c>
      <c r="U81" s="118">
        <v>2028</v>
      </c>
      <c r="V81" s="132" t="s">
        <v>596</v>
      </c>
      <c r="W81" s="132" t="s">
        <v>785</v>
      </c>
      <c r="X81" s="120" t="s">
        <v>641</v>
      </c>
      <c r="Y81" s="132" t="s">
        <v>596</v>
      </c>
      <c r="Z81" s="132" t="s">
        <v>748</v>
      </c>
      <c r="AA81" s="118">
        <v>1719</v>
      </c>
      <c r="AB81" s="132" t="s">
        <v>596</v>
      </c>
      <c r="AC81" s="132" t="s">
        <v>785</v>
      </c>
      <c r="AD81" s="120" t="s">
        <v>641</v>
      </c>
      <c r="AE81" s="132" t="s">
        <v>596</v>
      </c>
      <c r="AF81" s="132" t="s">
        <v>748</v>
      </c>
      <c r="AG81" s="118">
        <v>0</v>
      </c>
      <c r="AH81" s="132" t="s">
        <v>596</v>
      </c>
      <c r="AI81" s="132" t="s">
        <v>785</v>
      </c>
      <c r="AJ81" s="120" t="s">
        <v>641</v>
      </c>
      <c r="AK81" s="132" t="s">
        <v>596</v>
      </c>
      <c r="AL81" s="132" t="s">
        <v>748</v>
      </c>
      <c r="AM81" s="118">
        <v>1986</v>
      </c>
      <c r="AN81" s="132" t="s">
        <v>596</v>
      </c>
      <c r="AO81" s="132" t="s">
        <v>785</v>
      </c>
      <c r="AP81" s="120" t="s">
        <v>641</v>
      </c>
      <c r="AQ81" s="132" t="s">
        <v>596</v>
      </c>
      <c r="AR81" s="132" t="s">
        <v>748</v>
      </c>
      <c r="AS81" s="118">
        <v>1821</v>
      </c>
      <c r="AT81" s="132" t="s">
        <v>596</v>
      </c>
      <c r="AU81" s="132" t="s">
        <v>785</v>
      </c>
      <c r="AV81" s="120" t="s">
        <v>641</v>
      </c>
      <c r="AW81" s="132" t="s">
        <v>596</v>
      </c>
      <c r="AX81" s="132" t="s">
        <v>748</v>
      </c>
      <c r="AY81" s="118">
        <v>0</v>
      </c>
      <c r="AZ81" s="132" t="s">
        <v>596</v>
      </c>
      <c r="BA81" s="132" t="s">
        <v>785</v>
      </c>
      <c r="BB81" s="120" t="s">
        <v>641</v>
      </c>
      <c r="BC81" s="132" t="s">
        <v>596</v>
      </c>
      <c r="BD81" s="131" t="s">
        <v>594</v>
      </c>
    </row>
    <row r="82" spans="1:56">
      <c r="A82" s="130" t="s">
        <v>746</v>
      </c>
      <c r="B82" s="130" t="s">
        <v>748</v>
      </c>
      <c r="C82" s="121">
        <f t="shared" si="2"/>
        <v>80</v>
      </c>
      <c r="D82" s="132" t="s">
        <v>596</v>
      </c>
      <c r="E82" s="132" t="s">
        <v>748</v>
      </c>
      <c r="F82" s="122">
        <f>HYPERLINK("http://ratings.ruchess.ru/people/33323",33323)</f>
        <v>33323</v>
      </c>
      <c r="G82" s="132" t="s">
        <v>596</v>
      </c>
      <c r="H82" s="132" t="s">
        <v>748</v>
      </c>
      <c r="I82" s="122">
        <f>HYPERLINK("https://ratings.fide.com/card.phtml?event=54161770",54161770)</f>
        <v>54161770</v>
      </c>
      <c r="J82" s="132" t="s">
        <v>596</v>
      </c>
      <c r="K82" s="132" t="s">
        <v>748</v>
      </c>
      <c r="L82" s="123" t="s">
        <v>724</v>
      </c>
      <c r="M82" s="132" t="s">
        <v>596</v>
      </c>
      <c r="N82" s="132" t="s">
        <v>748</v>
      </c>
      <c r="O82" s="124">
        <v>1967</v>
      </c>
      <c r="P82" s="132" t="s">
        <v>596</v>
      </c>
      <c r="Q82" s="132" t="s">
        <v>748</v>
      </c>
      <c r="R82" s="127" t="s">
        <v>324</v>
      </c>
      <c r="S82" s="132" t="s">
        <v>596</v>
      </c>
      <c r="T82" s="132" t="s">
        <v>748</v>
      </c>
      <c r="U82" s="124">
        <v>2025</v>
      </c>
      <c r="V82" s="132" t="s">
        <v>596</v>
      </c>
      <c r="W82" s="132" t="s">
        <v>785</v>
      </c>
      <c r="X82" s="126" t="s">
        <v>641</v>
      </c>
      <c r="Y82" s="132" t="s">
        <v>596</v>
      </c>
      <c r="Z82" s="132" t="s">
        <v>748</v>
      </c>
      <c r="AA82" s="124">
        <v>1836</v>
      </c>
      <c r="AB82" s="132" t="s">
        <v>596</v>
      </c>
      <c r="AC82" s="132" t="s">
        <v>785</v>
      </c>
      <c r="AD82" s="126" t="s">
        <v>641</v>
      </c>
      <c r="AE82" s="132" t="s">
        <v>596</v>
      </c>
      <c r="AF82" s="132" t="s">
        <v>748</v>
      </c>
      <c r="AG82" s="124">
        <v>1527</v>
      </c>
      <c r="AH82" s="132" t="s">
        <v>596</v>
      </c>
      <c r="AI82" s="132" t="s">
        <v>785</v>
      </c>
      <c r="AJ82" s="126" t="s">
        <v>641</v>
      </c>
      <c r="AK82" s="132" t="s">
        <v>596</v>
      </c>
      <c r="AL82" s="132" t="s">
        <v>748</v>
      </c>
      <c r="AM82" s="124">
        <v>0</v>
      </c>
      <c r="AN82" s="132" t="s">
        <v>596</v>
      </c>
      <c r="AO82" s="132" t="s">
        <v>785</v>
      </c>
      <c r="AP82" s="126" t="s">
        <v>641</v>
      </c>
      <c r="AQ82" s="132" t="s">
        <v>596</v>
      </c>
      <c r="AR82" s="132" t="s">
        <v>748</v>
      </c>
      <c r="AS82" s="124">
        <v>1988</v>
      </c>
      <c r="AT82" s="132" t="s">
        <v>596</v>
      </c>
      <c r="AU82" s="132" t="s">
        <v>785</v>
      </c>
      <c r="AV82" s="126" t="s">
        <v>641</v>
      </c>
      <c r="AW82" s="132" t="s">
        <v>596</v>
      </c>
      <c r="AX82" s="132" t="s">
        <v>748</v>
      </c>
      <c r="AY82" s="124">
        <v>2019</v>
      </c>
      <c r="AZ82" s="132" t="s">
        <v>596</v>
      </c>
      <c r="BA82" s="132" t="s">
        <v>785</v>
      </c>
      <c r="BB82" s="126" t="s">
        <v>641</v>
      </c>
      <c r="BC82" s="132" t="s">
        <v>596</v>
      </c>
      <c r="BD82" s="131" t="s">
        <v>594</v>
      </c>
    </row>
    <row r="83" spans="1:56">
      <c r="A83" s="130" t="s">
        <v>746</v>
      </c>
      <c r="B83" s="130" t="s">
        <v>748</v>
      </c>
      <c r="C83" s="115">
        <f t="shared" si="2"/>
        <v>81</v>
      </c>
      <c r="D83" s="132" t="s">
        <v>596</v>
      </c>
      <c r="E83" s="132" t="s">
        <v>748</v>
      </c>
      <c r="F83" s="116">
        <f>HYPERLINK("http://ratings.ruchess.ru/people/111594",111594)</f>
        <v>111594</v>
      </c>
      <c r="G83" s="132" t="s">
        <v>596</v>
      </c>
      <c r="H83" s="132" t="s">
        <v>748</v>
      </c>
      <c r="I83" s="116">
        <f>HYPERLINK("https://ratings.fide.com/card.phtml?event=24127710",24127710)</f>
        <v>24127710</v>
      </c>
      <c r="J83" s="132" t="s">
        <v>596</v>
      </c>
      <c r="K83" s="132" t="s">
        <v>748</v>
      </c>
      <c r="L83" s="117" t="s">
        <v>725</v>
      </c>
      <c r="M83" s="132" t="s">
        <v>596</v>
      </c>
      <c r="N83" s="132" t="s">
        <v>748</v>
      </c>
      <c r="O83" s="118">
        <v>1975</v>
      </c>
      <c r="P83" s="132" t="s">
        <v>596</v>
      </c>
      <c r="Q83" s="132" t="s">
        <v>748</v>
      </c>
      <c r="R83" s="128" t="s">
        <v>726</v>
      </c>
      <c r="S83" s="132" t="s">
        <v>596</v>
      </c>
      <c r="T83" s="132" t="s">
        <v>748</v>
      </c>
      <c r="U83" s="118">
        <v>2025</v>
      </c>
      <c r="V83" s="132" t="s">
        <v>596</v>
      </c>
      <c r="W83" s="132" t="s">
        <v>785</v>
      </c>
      <c r="X83" s="120" t="s">
        <v>641</v>
      </c>
      <c r="Y83" s="132" t="s">
        <v>596</v>
      </c>
      <c r="Z83" s="132" t="s">
        <v>748</v>
      </c>
      <c r="AA83" s="118">
        <v>0</v>
      </c>
      <c r="AB83" s="132" t="s">
        <v>596</v>
      </c>
      <c r="AC83" s="132" t="s">
        <v>785</v>
      </c>
      <c r="AD83" s="120" t="s">
        <v>641</v>
      </c>
      <c r="AE83" s="132" t="s">
        <v>596</v>
      </c>
      <c r="AF83" s="132" t="s">
        <v>748</v>
      </c>
      <c r="AG83" s="118">
        <v>0</v>
      </c>
      <c r="AH83" s="132" t="s">
        <v>596</v>
      </c>
      <c r="AI83" s="132" t="s">
        <v>785</v>
      </c>
      <c r="AJ83" s="120" t="s">
        <v>641</v>
      </c>
      <c r="AK83" s="132" t="s">
        <v>596</v>
      </c>
      <c r="AL83" s="132" t="s">
        <v>748</v>
      </c>
      <c r="AM83" s="118">
        <v>2018</v>
      </c>
      <c r="AN83" s="132" t="s">
        <v>596</v>
      </c>
      <c r="AO83" s="132" t="s">
        <v>785</v>
      </c>
      <c r="AP83" s="120" t="s">
        <v>641</v>
      </c>
      <c r="AQ83" s="132" t="s">
        <v>596</v>
      </c>
      <c r="AR83" s="132" t="s">
        <v>748</v>
      </c>
      <c r="AS83" s="118">
        <v>0</v>
      </c>
      <c r="AT83" s="132" t="s">
        <v>596</v>
      </c>
      <c r="AU83" s="132" t="s">
        <v>785</v>
      </c>
      <c r="AV83" s="120" t="s">
        <v>641</v>
      </c>
      <c r="AW83" s="132" t="s">
        <v>596</v>
      </c>
      <c r="AX83" s="132" t="s">
        <v>748</v>
      </c>
      <c r="AY83" s="118">
        <v>0</v>
      </c>
      <c r="AZ83" s="132" t="s">
        <v>596</v>
      </c>
      <c r="BA83" s="132" t="s">
        <v>785</v>
      </c>
      <c r="BB83" s="120" t="s">
        <v>641</v>
      </c>
      <c r="BC83" s="132" t="s">
        <v>596</v>
      </c>
      <c r="BD83" s="131" t="s">
        <v>594</v>
      </c>
    </row>
    <row r="84" spans="1:56">
      <c r="A84" s="130" t="s">
        <v>746</v>
      </c>
      <c r="B84" s="130" t="s">
        <v>748</v>
      </c>
      <c r="C84" s="121">
        <f t="shared" si="2"/>
        <v>82</v>
      </c>
      <c r="D84" s="132" t="s">
        <v>596</v>
      </c>
      <c r="E84" s="132" t="s">
        <v>748</v>
      </c>
      <c r="F84" s="122">
        <f>HYPERLINK("http://ratings.ruchess.ru/people/111626",111626)</f>
        <v>111626</v>
      </c>
      <c r="G84" s="132" t="s">
        <v>596</v>
      </c>
      <c r="H84" s="132" t="s">
        <v>748</v>
      </c>
      <c r="I84" s="122">
        <f>HYPERLINK("https://ratings.fide.com/card.phtml?event=54140161",54140161)</f>
        <v>54140161</v>
      </c>
      <c r="J84" s="132" t="s">
        <v>596</v>
      </c>
      <c r="K84" s="132" t="s">
        <v>748</v>
      </c>
      <c r="L84" s="123" t="s">
        <v>727</v>
      </c>
      <c r="M84" s="132" t="s">
        <v>596</v>
      </c>
      <c r="N84" s="132" t="s">
        <v>748</v>
      </c>
      <c r="O84" s="124">
        <v>1974</v>
      </c>
      <c r="P84" s="132" t="s">
        <v>596</v>
      </c>
      <c r="Q84" s="132" t="s">
        <v>748</v>
      </c>
      <c r="R84" s="127" t="s">
        <v>226</v>
      </c>
      <c r="S84" s="132" t="s">
        <v>596</v>
      </c>
      <c r="T84" s="132" t="s">
        <v>748</v>
      </c>
      <c r="U84" s="124">
        <v>2022</v>
      </c>
      <c r="V84" s="132" t="s">
        <v>596</v>
      </c>
      <c r="W84" s="132" t="s">
        <v>785</v>
      </c>
      <c r="X84" s="126" t="s">
        <v>641</v>
      </c>
      <c r="Y84" s="132" t="s">
        <v>596</v>
      </c>
      <c r="Z84" s="132" t="s">
        <v>748</v>
      </c>
      <c r="AA84" s="124">
        <v>0</v>
      </c>
      <c r="AB84" s="132" t="s">
        <v>596</v>
      </c>
      <c r="AC84" s="132" t="s">
        <v>785</v>
      </c>
      <c r="AD84" s="126" t="s">
        <v>641</v>
      </c>
      <c r="AE84" s="132" t="s">
        <v>596</v>
      </c>
      <c r="AF84" s="132" t="s">
        <v>748</v>
      </c>
      <c r="AG84" s="124">
        <v>0</v>
      </c>
      <c r="AH84" s="132" t="s">
        <v>596</v>
      </c>
      <c r="AI84" s="132" t="s">
        <v>785</v>
      </c>
      <c r="AJ84" s="126" t="s">
        <v>641</v>
      </c>
      <c r="AK84" s="132" t="s">
        <v>596</v>
      </c>
      <c r="AL84" s="132" t="s">
        <v>748</v>
      </c>
      <c r="AM84" s="124">
        <v>0</v>
      </c>
      <c r="AN84" s="132" t="s">
        <v>596</v>
      </c>
      <c r="AO84" s="132" t="s">
        <v>785</v>
      </c>
      <c r="AP84" s="126" t="s">
        <v>641</v>
      </c>
      <c r="AQ84" s="132" t="s">
        <v>596</v>
      </c>
      <c r="AR84" s="132" t="s">
        <v>748</v>
      </c>
      <c r="AS84" s="124">
        <v>0</v>
      </c>
      <c r="AT84" s="132" t="s">
        <v>596</v>
      </c>
      <c r="AU84" s="132" t="s">
        <v>785</v>
      </c>
      <c r="AV84" s="126" t="s">
        <v>641</v>
      </c>
      <c r="AW84" s="132" t="s">
        <v>596</v>
      </c>
      <c r="AX84" s="132" t="s">
        <v>748</v>
      </c>
      <c r="AY84" s="124">
        <v>0</v>
      </c>
      <c r="AZ84" s="132" t="s">
        <v>596</v>
      </c>
      <c r="BA84" s="132" t="s">
        <v>785</v>
      </c>
      <c r="BB84" s="126" t="s">
        <v>641</v>
      </c>
      <c r="BC84" s="132" t="s">
        <v>596</v>
      </c>
      <c r="BD84" s="131" t="s">
        <v>594</v>
      </c>
    </row>
    <row r="85" spans="1:56">
      <c r="A85" s="130" t="s">
        <v>746</v>
      </c>
      <c r="B85" s="130" t="s">
        <v>748</v>
      </c>
      <c r="C85" s="115">
        <f t="shared" si="2"/>
        <v>83</v>
      </c>
      <c r="D85" s="132" t="s">
        <v>596</v>
      </c>
      <c r="E85" s="132" t="s">
        <v>748</v>
      </c>
      <c r="F85" s="116">
        <f>HYPERLINK("http://ratings.ruchess.ru/people/3545",3545)</f>
        <v>3545</v>
      </c>
      <c r="G85" s="132" t="s">
        <v>596</v>
      </c>
      <c r="H85" s="132" t="s">
        <v>748</v>
      </c>
      <c r="I85" s="116">
        <f>HYPERLINK("https://ratings.fide.com/card.phtml?event=34164470",34164470)</f>
        <v>34164470</v>
      </c>
      <c r="J85" s="132" t="s">
        <v>596</v>
      </c>
      <c r="K85" s="132" t="s">
        <v>748</v>
      </c>
      <c r="L85" s="117" t="s">
        <v>728</v>
      </c>
      <c r="M85" s="132" t="s">
        <v>596</v>
      </c>
      <c r="N85" s="132" t="s">
        <v>748</v>
      </c>
      <c r="O85" s="118">
        <v>2003</v>
      </c>
      <c r="P85" s="132" t="s">
        <v>596</v>
      </c>
      <c r="Q85" s="132" t="s">
        <v>748</v>
      </c>
      <c r="R85" s="119" t="s">
        <v>641</v>
      </c>
      <c r="S85" s="132" t="s">
        <v>596</v>
      </c>
      <c r="T85" s="132" t="s">
        <v>748</v>
      </c>
      <c r="U85" s="118">
        <v>2020</v>
      </c>
      <c r="V85" s="132" t="s">
        <v>596</v>
      </c>
      <c r="W85" s="132" t="s">
        <v>785</v>
      </c>
      <c r="X85" s="120" t="s">
        <v>641</v>
      </c>
      <c r="Y85" s="132" t="s">
        <v>596</v>
      </c>
      <c r="Z85" s="132" t="s">
        <v>748</v>
      </c>
      <c r="AA85" s="118">
        <v>1979</v>
      </c>
      <c r="AB85" s="132" t="s">
        <v>596</v>
      </c>
      <c r="AC85" s="132" t="s">
        <v>785</v>
      </c>
      <c r="AD85" s="120">
        <v>18</v>
      </c>
      <c r="AE85" s="132" t="s">
        <v>596</v>
      </c>
      <c r="AF85" s="132" t="s">
        <v>748</v>
      </c>
      <c r="AG85" s="118">
        <v>1868</v>
      </c>
      <c r="AH85" s="132" t="s">
        <v>596</v>
      </c>
      <c r="AI85" s="132" t="s">
        <v>785</v>
      </c>
      <c r="AJ85" s="120">
        <v>-38</v>
      </c>
      <c r="AK85" s="132" t="s">
        <v>596</v>
      </c>
      <c r="AL85" s="132" t="s">
        <v>748</v>
      </c>
      <c r="AM85" s="118">
        <v>1991</v>
      </c>
      <c r="AN85" s="132" t="s">
        <v>596</v>
      </c>
      <c r="AO85" s="132" t="s">
        <v>785</v>
      </c>
      <c r="AP85" s="120" t="s">
        <v>641</v>
      </c>
      <c r="AQ85" s="132" t="s">
        <v>596</v>
      </c>
      <c r="AR85" s="132" t="s">
        <v>748</v>
      </c>
      <c r="AS85" s="118">
        <v>2060</v>
      </c>
      <c r="AT85" s="132" t="s">
        <v>596</v>
      </c>
      <c r="AU85" s="132" t="s">
        <v>785</v>
      </c>
      <c r="AV85" s="120">
        <v>-5</v>
      </c>
      <c r="AW85" s="132" t="s">
        <v>596</v>
      </c>
      <c r="AX85" s="132" t="s">
        <v>748</v>
      </c>
      <c r="AY85" s="118">
        <v>1948</v>
      </c>
      <c r="AZ85" s="132" t="s">
        <v>596</v>
      </c>
      <c r="BA85" s="132" t="s">
        <v>785</v>
      </c>
      <c r="BB85" s="120">
        <v>-35</v>
      </c>
      <c r="BC85" s="132" t="s">
        <v>596</v>
      </c>
      <c r="BD85" s="131" t="s">
        <v>594</v>
      </c>
    </row>
    <row r="86" spans="1:56">
      <c r="A86" s="130" t="s">
        <v>746</v>
      </c>
      <c r="B86" s="130" t="s">
        <v>748</v>
      </c>
      <c r="C86" s="121">
        <f t="shared" si="2"/>
        <v>84</v>
      </c>
      <c r="D86" s="132" t="s">
        <v>596</v>
      </c>
      <c r="E86" s="132" t="s">
        <v>748</v>
      </c>
      <c r="F86" s="122">
        <f>HYPERLINK("http://ratings.ruchess.ru/people/3473",3473)</f>
        <v>3473</v>
      </c>
      <c r="G86" s="132" t="s">
        <v>596</v>
      </c>
      <c r="H86" s="132" t="s">
        <v>748</v>
      </c>
      <c r="I86" s="122">
        <f>HYPERLINK("https://ratings.fide.com/card.phtml?event=34142050",34142050)</f>
        <v>34142050</v>
      </c>
      <c r="J86" s="132" t="s">
        <v>596</v>
      </c>
      <c r="K86" s="132" t="s">
        <v>748</v>
      </c>
      <c r="L86" s="123" t="s">
        <v>729</v>
      </c>
      <c r="M86" s="132" t="s">
        <v>596</v>
      </c>
      <c r="N86" s="132" t="s">
        <v>748</v>
      </c>
      <c r="O86" s="124">
        <v>1971</v>
      </c>
      <c r="P86" s="132" t="s">
        <v>596</v>
      </c>
      <c r="Q86" s="132" t="s">
        <v>748</v>
      </c>
      <c r="R86" s="125" t="s">
        <v>301</v>
      </c>
      <c r="S86" s="132" t="s">
        <v>596</v>
      </c>
      <c r="T86" s="132" t="s">
        <v>748</v>
      </c>
      <c r="U86" s="124">
        <v>2020</v>
      </c>
      <c r="V86" s="132" t="s">
        <v>596</v>
      </c>
      <c r="W86" s="132" t="s">
        <v>785</v>
      </c>
      <c r="X86" s="126" t="s">
        <v>641</v>
      </c>
      <c r="Y86" s="132" t="s">
        <v>596</v>
      </c>
      <c r="Z86" s="132" t="s">
        <v>748</v>
      </c>
      <c r="AA86" s="124">
        <v>1910</v>
      </c>
      <c r="AB86" s="132" t="s">
        <v>596</v>
      </c>
      <c r="AC86" s="132" t="s">
        <v>785</v>
      </c>
      <c r="AD86" s="126" t="s">
        <v>641</v>
      </c>
      <c r="AE86" s="132" t="s">
        <v>596</v>
      </c>
      <c r="AF86" s="132" t="s">
        <v>748</v>
      </c>
      <c r="AG86" s="124">
        <v>2036</v>
      </c>
      <c r="AH86" s="132" t="s">
        <v>596</v>
      </c>
      <c r="AI86" s="132" t="s">
        <v>785</v>
      </c>
      <c r="AJ86" s="126" t="s">
        <v>641</v>
      </c>
      <c r="AK86" s="132" t="s">
        <v>596</v>
      </c>
      <c r="AL86" s="132" t="s">
        <v>748</v>
      </c>
      <c r="AM86" s="124">
        <v>1972</v>
      </c>
      <c r="AN86" s="132" t="s">
        <v>596</v>
      </c>
      <c r="AO86" s="132" t="s">
        <v>785</v>
      </c>
      <c r="AP86" s="126" t="s">
        <v>641</v>
      </c>
      <c r="AQ86" s="132" t="s">
        <v>596</v>
      </c>
      <c r="AR86" s="132" t="s">
        <v>748</v>
      </c>
      <c r="AS86" s="124">
        <v>1988</v>
      </c>
      <c r="AT86" s="132" t="s">
        <v>596</v>
      </c>
      <c r="AU86" s="132" t="s">
        <v>785</v>
      </c>
      <c r="AV86" s="126" t="s">
        <v>641</v>
      </c>
      <c r="AW86" s="132" t="s">
        <v>596</v>
      </c>
      <c r="AX86" s="132" t="s">
        <v>748</v>
      </c>
      <c r="AY86" s="124">
        <v>2011</v>
      </c>
      <c r="AZ86" s="132" t="s">
        <v>596</v>
      </c>
      <c r="BA86" s="132" t="s">
        <v>785</v>
      </c>
      <c r="BB86" s="126" t="s">
        <v>641</v>
      </c>
      <c r="BC86" s="132" t="s">
        <v>596</v>
      </c>
      <c r="BD86" s="131" t="s">
        <v>594</v>
      </c>
    </row>
    <row r="87" spans="1:56">
      <c r="A87" s="130" t="s">
        <v>746</v>
      </c>
      <c r="B87" s="130" t="s">
        <v>748</v>
      </c>
      <c r="C87" s="115">
        <f t="shared" si="2"/>
        <v>85</v>
      </c>
      <c r="D87" s="132" t="s">
        <v>596</v>
      </c>
      <c r="E87" s="132" t="s">
        <v>748</v>
      </c>
      <c r="F87" s="116">
        <f>HYPERLINK("http://ratings.ruchess.ru/people/3513",3513)</f>
        <v>3513</v>
      </c>
      <c r="G87" s="132" t="s">
        <v>596</v>
      </c>
      <c r="H87" s="132" t="s">
        <v>748</v>
      </c>
      <c r="I87" s="116">
        <f>HYPERLINK("https://ratings.fide.com/card.phtml?event=24102245",24102245)</f>
        <v>24102245</v>
      </c>
      <c r="J87" s="132" t="s">
        <v>596</v>
      </c>
      <c r="K87" s="132" t="s">
        <v>748</v>
      </c>
      <c r="L87" s="117" t="s">
        <v>730</v>
      </c>
      <c r="M87" s="132" t="s">
        <v>596</v>
      </c>
      <c r="N87" s="132" t="s">
        <v>748</v>
      </c>
      <c r="O87" s="118">
        <v>1997</v>
      </c>
      <c r="P87" s="132" t="s">
        <v>596</v>
      </c>
      <c r="Q87" s="132" t="s">
        <v>748</v>
      </c>
      <c r="R87" s="119" t="s">
        <v>641</v>
      </c>
      <c r="S87" s="132" t="s">
        <v>596</v>
      </c>
      <c r="T87" s="132" t="s">
        <v>748</v>
      </c>
      <c r="U87" s="118">
        <v>2019</v>
      </c>
      <c r="V87" s="132" t="s">
        <v>596</v>
      </c>
      <c r="W87" s="132" t="s">
        <v>785</v>
      </c>
      <c r="X87" s="120">
        <v>16</v>
      </c>
      <c r="Y87" s="132" t="s">
        <v>596</v>
      </c>
      <c r="Z87" s="132" t="s">
        <v>748</v>
      </c>
      <c r="AA87" s="118">
        <v>1870</v>
      </c>
      <c r="AB87" s="132" t="s">
        <v>596</v>
      </c>
      <c r="AC87" s="132" t="s">
        <v>785</v>
      </c>
      <c r="AD87" s="120" t="s">
        <v>641</v>
      </c>
      <c r="AE87" s="132" t="s">
        <v>596</v>
      </c>
      <c r="AF87" s="132" t="s">
        <v>748</v>
      </c>
      <c r="AG87" s="118">
        <v>2026</v>
      </c>
      <c r="AH87" s="132" t="s">
        <v>596</v>
      </c>
      <c r="AI87" s="132" t="s">
        <v>785</v>
      </c>
      <c r="AJ87" s="120" t="s">
        <v>641</v>
      </c>
      <c r="AK87" s="132" t="s">
        <v>596</v>
      </c>
      <c r="AL87" s="132" t="s">
        <v>748</v>
      </c>
      <c r="AM87" s="118">
        <v>2014</v>
      </c>
      <c r="AN87" s="132" t="s">
        <v>596</v>
      </c>
      <c r="AO87" s="132" t="s">
        <v>785</v>
      </c>
      <c r="AP87" s="120" t="s">
        <v>641</v>
      </c>
      <c r="AQ87" s="132" t="s">
        <v>596</v>
      </c>
      <c r="AR87" s="132" t="s">
        <v>748</v>
      </c>
      <c r="AS87" s="118">
        <v>1934</v>
      </c>
      <c r="AT87" s="132" t="s">
        <v>596</v>
      </c>
      <c r="AU87" s="132" t="s">
        <v>785</v>
      </c>
      <c r="AV87" s="120" t="s">
        <v>641</v>
      </c>
      <c r="AW87" s="132" t="s">
        <v>596</v>
      </c>
      <c r="AX87" s="132" t="s">
        <v>748</v>
      </c>
      <c r="AY87" s="118">
        <v>2011</v>
      </c>
      <c r="AZ87" s="132" t="s">
        <v>596</v>
      </c>
      <c r="BA87" s="132" t="s">
        <v>785</v>
      </c>
      <c r="BB87" s="120" t="s">
        <v>641</v>
      </c>
      <c r="BC87" s="132" t="s">
        <v>596</v>
      </c>
      <c r="BD87" s="131" t="s">
        <v>594</v>
      </c>
    </row>
    <row r="88" spans="1:56">
      <c r="A88" s="130" t="s">
        <v>746</v>
      </c>
      <c r="B88" s="130" t="s">
        <v>748</v>
      </c>
      <c r="C88" s="121">
        <f t="shared" si="2"/>
        <v>86</v>
      </c>
      <c r="D88" s="132" t="s">
        <v>596</v>
      </c>
      <c r="E88" s="132" t="s">
        <v>748</v>
      </c>
      <c r="F88" s="122">
        <f>HYPERLINK("http://ratings.ruchess.ru/people/91734",91734)</f>
        <v>91734</v>
      </c>
      <c r="G88" s="132" t="s">
        <v>596</v>
      </c>
      <c r="H88" s="132" t="s">
        <v>748</v>
      </c>
      <c r="I88" s="122">
        <f>HYPERLINK("https://ratings.fide.com/card.phtml?event=34142026",34142026)</f>
        <v>34142026</v>
      </c>
      <c r="J88" s="132" t="s">
        <v>596</v>
      </c>
      <c r="K88" s="132" t="s">
        <v>748</v>
      </c>
      <c r="L88" s="123" t="s">
        <v>731</v>
      </c>
      <c r="M88" s="132" t="s">
        <v>596</v>
      </c>
      <c r="N88" s="132" t="s">
        <v>748</v>
      </c>
      <c r="O88" s="124">
        <v>1980</v>
      </c>
      <c r="P88" s="132" t="s">
        <v>596</v>
      </c>
      <c r="Q88" s="132" t="s">
        <v>748</v>
      </c>
      <c r="R88" s="127" t="s">
        <v>226</v>
      </c>
      <c r="S88" s="132" t="s">
        <v>596</v>
      </c>
      <c r="T88" s="132" t="s">
        <v>748</v>
      </c>
      <c r="U88" s="124">
        <v>2017</v>
      </c>
      <c r="V88" s="132" t="s">
        <v>596</v>
      </c>
      <c r="W88" s="132" t="s">
        <v>785</v>
      </c>
      <c r="X88" s="126" t="s">
        <v>641</v>
      </c>
      <c r="Y88" s="132" t="s">
        <v>596</v>
      </c>
      <c r="Z88" s="132" t="s">
        <v>748</v>
      </c>
      <c r="AA88" s="124">
        <v>1867</v>
      </c>
      <c r="AB88" s="132" t="s">
        <v>596</v>
      </c>
      <c r="AC88" s="132" t="s">
        <v>785</v>
      </c>
      <c r="AD88" s="126" t="s">
        <v>641</v>
      </c>
      <c r="AE88" s="132" t="s">
        <v>596</v>
      </c>
      <c r="AF88" s="132" t="s">
        <v>748</v>
      </c>
      <c r="AG88" s="124">
        <v>0</v>
      </c>
      <c r="AH88" s="132" t="s">
        <v>596</v>
      </c>
      <c r="AI88" s="132" t="s">
        <v>785</v>
      </c>
      <c r="AJ88" s="126" t="s">
        <v>641</v>
      </c>
      <c r="AK88" s="132" t="s">
        <v>596</v>
      </c>
      <c r="AL88" s="132" t="s">
        <v>748</v>
      </c>
      <c r="AM88" s="124">
        <v>0</v>
      </c>
      <c r="AN88" s="132" t="s">
        <v>596</v>
      </c>
      <c r="AO88" s="132" t="s">
        <v>785</v>
      </c>
      <c r="AP88" s="126" t="s">
        <v>641</v>
      </c>
      <c r="AQ88" s="132" t="s">
        <v>596</v>
      </c>
      <c r="AR88" s="132" t="s">
        <v>748</v>
      </c>
      <c r="AS88" s="124">
        <v>1926</v>
      </c>
      <c r="AT88" s="132" t="s">
        <v>596</v>
      </c>
      <c r="AU88" s="132" t="s">
        <v>785</v>
      </c>
      <c r="AV88" s="126" t="s">
        <v>641</v>
      </c>
      <c r="AW88" s="132" t="s">
        <v>596</v>
      </c>
      <c r="AX88" s="132" t="s">
        <v>748</v>
      </c>
      <c r="AY88" s="124">
        <v>2020</v>
      </c>
      <c r="AZ88" s="132" t="s">
        <v>596</v>
      </c>
      <c r="BA88" s="132" t="s">
        <v>785</v>
      </c>
      <c r="BB88" s="126" t="s">
        <v>641</v>
      </c>
      <c r="BC88" s="132" t="s">
        <v>596</v>
      </c>
      <c r="BD88" s="131" t="s">
        <v>594</v>
      </c>
    </row>
    <row r="89" spans="1:56">
      <c r="A89" s="130" t="s">
        <v>746</v>
      </c>
      <c r="B89" s="130" t="s">
        <v>748</v>
      </c>
      <c r="C89" s="115">
        <f t="shared" si="2"/>
        <v>87</v>
      </c>
      <c r="D89" s="132" t="s">
        <v>596</v>
      </c>
      <c r="E89" s="132" t="s">
        <v>748</v>
      </c>
      <c r="F89" s="116">
        <f>HYPERLINK("http://ratings.ruchess.ru/people/20372",20372)</f>
        <v>20372</v>
      </c>
      <c r="G89" s="132" t="s">
        <v>596</v>
      </c>
      <c r="H89" s="132" t="s">
        <v>748</v>
      </c>
      <c r="I89" s="116">
        <f>HYPERLINK("https://ratings.fide.com/card.phtml?event=34177946",34177946)</f>
        <v>34177946</v>
      </c>
      <c r="J89" s="132" t="s">
        <v>596</v>
      </c>
      <c r="K89" s="132" t="s">
        <v>748</v>
      </c>
      <c r="L89" s="117" t="s">
        <v>732</v>
      </c>
      <c r="M89" s="132" t="s">
        <v>596</v>
      </c>
      <c r="N89" s="132" t="s">
        <v>748</v>
      </c>
      <c r="O89" s="118">
        <v>2003</v>
      </c>
      <c r="P89" s="132" t="s">
        <v>596</v>
      </c>
      <c r="Q89" s="132" t="s">
        <v>748</v>
      </c>
      <c r="R89" s="119" t="s">
        <v>641</v>
      </c>
      <c r="S89" s="132" t="s">
        <v>596</v>
      </c>
      <c r="T89" s="132" t="s">
        <v>748</v>
      </c>
      <c r="U89" s="118">
        <v>2015</v>
      </c>
      <c r="V89" s="132" t="s">
        <v>596</v>
      </c>
      <c r="W89" s="132" t="s">
        <v>785</v>
      </c>
      <c r="X89" s="120">
        <v>16</v>
      </c>
      <c r="Y89" s="132" t="s">
        <v>596</v>
      </c>
      <c r="Z89" s="132" t="s">
        <v>748</v>
      </c>
      <c r="AA89" s="118">
        <v>1983</v>
      </c>
      <c r="AB89" s="132" t="s">
        <v>596</v>
      </c>
      <c r="AC89" s="132" t="s">
        <v>785</v>
      </c>
      <c r="AD89" s="120">
        <v>-23</v>
      </c>
      <c r="AE89" s="132" t="s">
        <v>596</v>
      </c>
      <c r="AF89" s="132" t="s">
        <v>748</v>
      </c>
      <c r="AG89" s="118">
        <v>2072</v>
      </c>
      <c r="AH89" s="132" t="s">
        <v>596</v>
      </c>
      <c r="AI89" s="132" t="s">
        <v>785</v>
      </c>
      <c r="AJ89" s="120">
        <v>6</v>
      </c>
      <c r="AK89" s="132" t="s">
        <v>596</v>
      </c>
      <c r="AL89" s="132" t="s">
        <v>748</v>
      </c>
      <c r="AM89" s="118">
        <v>1957</v>
      </c>
      <c r="AN89" s="132" t="s">
        <v>596</v>
      </c>
      <c r="AO89" s="132" t="s">
        <v>785</v>
      </c>
      <c r="AP89" s="120" t="s">
        <v>641</v>
      </c>
      <c r="AQ89" s="132" t="s">
        <v>596</v>
      </c>
      <c r="AR89" s="132" t="s">
        <v>748</v>
      </c>
      <c r="AS89" s="118">
        <v>2029</v>
      </c>
      <c r="AT89" s="132" t="s">
        <v>596</v>
      </c>
      <c r="AU89" s="132" t="s">
        <v>785</v>
      </c>
      <c r="AV89" s="120">
        <v>-17</v>
      </c>
      <c r="AW89" s="132" t="s">
        <v>596</v>
      </c>
      <c r="AX89" s="132" t="s">
        <v>748</v>
      </c>
      <c r="AY89" s="118">
        <v>2044</v>
      </c>
      <c r="AZ89" s="132" t="s">
        <v>596</v>
      </c>
      <c r="BA89" s="132" t="s">
        <v>785</v>
      </c>
      <c r="BB89" s="120">
        <v>23</v>
      </c>
      <c r="BC89" s="132" t="s">
        <v>596</v>
      </c>
      <c r="BD89" s="131" t="s">
        <v>594</v>
      </c>
    </row>
    <row r="90" spans="1:56">
      <c r="A90" s="130" t="s">
        <v>746</v>
      </c>
      <c r="B90" s="130" t="s">
        <v>748</v>
      </c>
      <c r="C90" s="121">
        <f t="shared" si="2"/>
        <v>88</v>
      </c>
      <c r="D90" s="132" t="s">
        <v>596</v>
      </c>
      <c r="E90" s="132" t="s">
        <v>748</v>
      </c>
      <c r="F90" s="122">
        <f>HYPERLINK("http://ratings.ruchess.ru/people/33338",33338)</f>
        <v>33338</v>
      </c>
      <c r="G90" s="132" t="s">
        <v>596</v>
      </c>
      <c r="H90" s="132" t="s">
        <v>748</v>
      </c>
      <c r="I90" s="122">
        <f>HYPERLINK("https://ratings.fide.com/card.phtml?event=34128830",34128830)</f>
        <v>34128830</v>
      </c>
      <c r="J90" s="132" t="s">
        <v>596</v>
      </c>
      <c r="K90" s="132" t="s">
        <v>748</v>
      </c>
      <c r="L90" s="123" t="s">
        <v>733</v>
      </c>
      <c r="M90" s="132" t="s">
        <v>596</v>
      </c>
      <c r="N90" s="132" t="s">
        <v>748</v>
      </c>
      <c r="O90" s="124">
        <v>1951</v>
      </c>
      <c r="P90" s="132" t="s">
        <v>596</v>
      </c>
      <c r="Q90" s="132" t="s">
        <v>748</v>
      </c>
      <c r="R90" s="125" t="s">
        <v>641</v>
      </c>
      <c r="S90" s="132" t="s">
        <v>596</v>
      </c>
      <c r="T90" s="132" t="s">
        <v>748</v>
      </c>
      <c r="U90" s="124">
        <v>2010</v>
      </c>
      <c r="V90" s="132" t="s">
        <v>596</v>
      </c>
      <c r="W90" s="132" t="s">
        <v>785</v>
      </c>
      <c r="X90" s="126" t="s">
        <v>641</v>
      </c>
      <c r="Y90" s="132" t="s">
        <v>596</v>
      </c>
      <c r="Z90" s="132" t="s">
        <v>748</v>
      </c>
      <c r="AA90" s="124">
        <v>1505</v>
      </c>
      <c r="AB90" s="132" t="s">
        <v>596</v>
      </c>
      <c r="AC90" s="132" t="s">
        <v>785</v>
      </c>
      <c r="AD90" s="126" t="s">
        <v>641</v>
      </c>
      <c r="AE90" s="132" t="s">
        <v>596</v>
      </c>
      <c r="AF90" s="132" t="s">
        <v>748</v>
      </c>
      <c r="AG90" s="124">
        <v>0</v>
      </c>
      <c r="AH90" s="132" t="s">
        <v>596</v>
      </c>
      <c r="AI90" s="132" t="s">
        <v>785</v>
      </c>
      <c r="AJ90" s="126" t="s">
        <v>641</v>
      </c>
      <c r="AK90" s="132" t="s">
        <v>596</v>
      </c>
      <c r="AL90" s="132" t="s">
        <v>748</v>
      </c>
      <c r="AM90" s="124">
        <v>0</v>
      </c>
      <c r="AN90" s="132" t="s">
        <v>596</v>
      </c>
      <c r="AO90" s="132" t="s">
        <v>785</v>
      </c>
      <c r="AP90" s="126" t="s">
        <v>641</v>
      </c>
      <c r="AQ90" s="132" t="s">
        <v>596</v>
      </c>
      <c r="AR90" s="132" t="s">
        <v>748</v>
      </c>
      <c r="AS90" s="124">
        <v>1799</v>
      </c>
      <c r="AT90" s="132" t="s">
        <v>596</v>
      </c>
      <c r="AU90" s="132" t="s">
        <v>785</v>
      </c>
      <c r="AV90" s="126" t="s">
        <v>641</v>
      </c>
      <c r="AW90" s="132" t="s">
        <v>596</v>
      </c>
      <c r="AX90" s="132" t="s">
        <v>748</v>
      </c>
      <c r="AY90" s="124">
        <v>0</v>
      </c>
      <c r="AZ90" s="132" t="s">
        <v>596</v>
      </c>
      <c r="BA90" s="132" t="s">
        <v>785</v>
      </c>
      <c r="BB90" s="126" t="s">
        <v>641</v>
      </c>
      <c r="BC90" s="132" t="s">
        <v>596</v>
      </c>
      <c r="BD90" s="131" t="s">
        <v>594</v>
      </c>
    </row>
    <row r="91" spans="1:56">
      <c r="A91" s="130" t="s">
        <v>746</v>
      </c>
      <c r="B91" s="130" t="s">
        <v>748</v>
      </c>
      <c r="C91" s="115">
        <f t="shared" si="2"/>
        <v>89</v>
      </c>
      <c r="D91" s="132" t="s">
        <v>596</v>
      </c>
      <c r="E91" s="132" t="s">
        <v>748</v>
      </c>
      <c r="F91" s="116">
        <f>HYPERLINK("http://ratings.ruchess.ru/people/6572",6572)</f>
        <v>6572</v>
      </c>
      <c r="G91" s="132" t="s">
        <v>596</v>
      </c>
      <c r="H91" s="132" t="s">
        <v>748</v>
      </c>
      <c r="I91" s="116">
        <f>HYPERLINK("https://ratings.fide.com/card.phtml?event=34141887",34141887)</f>
        <v>34141887</v>
      </c>
      <c r="J91" s="132" t="s">
        <v>596</v>
      </c>
      <c r="K91" s="132" t="s">
        <v>748</v>
      </c>
      <c r="L91" s="117" t="s">
        <v>734</v>
      </c>
      <c r="M91" s="132" t="s">
        <v>596</v>
      </c>
      <c r="N91" s="132" t="s">
        <v>748</v>
      </c>
      <c r="O91" s="118">
        <v>1980</v>
      </c>
      <c r="P91" s="132" t="s">
        <v>596</v>
      </c>
      <c r="Q91" s="132" t="s">
        <v>748</v>
      </c>
      <c r="R91" s="119" t="s">
        <v>641</v>
      </c>
      <c r="S91" s="132" t="s">
        <v>596</v>
      </c>
      <c r="T91" s="132" t="s">
        <v>748</v>
      </c>
      <c r="U91" s="118">
        <v>2006</v>
      </c>
      <c r="V91" s="132" t="s">
        <v>596</v>
      </c>
      <c r="W91" s="132" t="s">
        <v>785</v>
      </c>
      <c r="X91" s="120" t="s">
        <v>641</v>
      </c>
      <c r="Y91" s="132" t="s">
        <v>596</v>
      </c>
      <c r="Z91" s="132" t="s">
        <v>748</v>
      </c>
      <c r="AA91" s="118">
        <v>2048</v>
      </c>
      <c r="AB91" s="132" t="s">
        <v>596</v>
      </c>
      <c r="AC91" s="132" t="s">
        <v>785</v>
      </c>
      <c r="AD91" s="120">
        <v>-10</v>
      </c>
      <c r="AE91" s="132" t="s">
        <v>596</v>
      </c>
      <c r="AF91" s="132" t="s">
        <v>748</v>
      </c>
      <c r="AG91" s="118">
        <v>2063</v>
      </c>
      <c r="AH91" s="132" t="s">
        <v>596</v>
      </c>
      <c r="AI91" s="132" t="s">
        <v>785</v>
      </c>
      <c r="AJ91" s="120" t="s">
        <v>641</v>
      </c>
      <c r="AK91" s="132" t="s">
        <v>596</v>
      </c>
      <c r="AL91" s="132" t="s">
        <v>748</v>
      </c>
      <c r="AM91" s="118">
        <v>2011</v>
      </c>
      <c r="AN91" s="132" t="s">
        <v>596</v>
      </c>
      <c r="AO91" s="132" t="s">
        <v>785</v>
      </c>
      <c r="AP91" s="120" t="s">
        <v>641</v>
      </c>
      <c r="AQ91" s="132" t="s">
        <v>596</v>
      </c>
      <c r="AR91" s="132" t="s">
        <v>748</v>
      </c>
      <c r="AS91" s="118">
        <v>2072</v>
      </c>
      <c r="AT91" s="132" t="s">
        <v>596</v>
      </c>
      <c r="AU91" s="132" t="s">
        <v>785</v>
      </c>
      <c r="AV91" s="120">
        <v>-2</v>
      </c>
      <c r="AW91" s="132" t="s">
        <v>596</v>
      </c>
      <c r="AX91" s="132" t="s">
        <v>748</v>
      </c>
      <c r="AY91" s="118">
        <v>2078</v>
      </c>
      <c r="AZ91" s="132" t="s">
        <v>596</v>
      </c>
      <c r="BA91" s="132" t="s">
        <v>785</v>
      </c>
      <c r="BB91" s="120">
        <v>-3</v>
      </c>
      <c r="BC91" s="132" t="s">
        <v>596</v>
      </c>
      <c r="BD91" s="131" t="s">
        <v>594</v>
      </c>
    </row>
    <row r="92" spans="1:56">
      <c r="A92" s="130" t="s">
        <v>746</v>
      </c>
      <c r="B92" s="130" t="s">
        <v>748</v>
      </c>
      <c r="C92" s="121">
        <f t="shared" si="2"/>
        <v>90</v>
      </c>
      <c r="D92" s="132" t="s">
        <v>596</v>
      </c>
      <c r="E92" s="132" t="s">
        <v>748</v>
      </c>
      <c r="F92" s="122">
        <f>HYPERLINK("http://ratings.ruchess.ru/people/3642",3642)</f>
        <v>3642</v>
      </c>
      <c r="G92" s="132" t="s">
        <v>596</v>
      </c>
      <c r="H92" s="132" t="s">
        <v>748</v>
      </c>
      <c r="I92" s="122">
        <f>HYPERLINK("https://ratings.fide.com/card.phtml?event=24132330",24132330)</f>
        <v>24132330</v>
      </c>
      <c r="J92" s="132" t="s">
        <v>596</v>
      </c>
      <c r="K92" s="132" t="s">
        <v>748</v>
      </c>
      <c r="L92" s="123" t="s">
        <v>735</v>
      </c>
      <c r="M92" s="132" t="s">
        <v>596</v>
      </c>
      <c r="N92" s="132" t="s">
        <v>748</v>
      </c>
      <c r="O92" s="124">
        <v>1961</v>
      </c>
      <c r="P92" s="132" t="s">
        <v>596</v>
      </c>
      <c r="Q92" s="132" t="s">
        <v>748</v>
      </c>
      <c r="R92" s="125" t="s">
        <v>641</v>
      </c>
      <c r="S92" s="132" t="s">
        <v>596</v>
      </c>
      <c r="T92" s="132" t="s">
        <v>748</v>
      </c>
      <c r="U92" s="124">
        <v>2000</v>
      </c>
      <c r="V92" s="132" t="s">
        <v>596</v>
      </c>
      <c r="W92" s="132" t="s">
        <v>785</v>
      </c>
      <c r="X92" s="126" t="s">
        <v>641</v>
      </c>
      <c r="Y92" s="132" t="s">
        <v>596</v>
      </c>
      <c r="Z92" s="132" t="s">
        <v>748</v>
      </c>
      <c r="AA92" s="124">
        <v>0</v>
      </c>
      <c r="AB92" s="132" t="s">
        <v>596</v>
      </c>
      <c r="AC92" s="132" t="s">
        <v>785</v>
      </c>
      <c r="AD92" s="126" t="s">
        <v>641</v>
      </c>
      <c r="AE92" s="132" t="s">
        <v>596</v>
      </c>
      <c r="AF92" s="132" t="s">
        <v>748</v>
      </c>
      <c r="AG92" s="124">
        <v>0</v>
      </c>
      <c r="AH92" s="132" t="s">
        <v>596</v>
      </c>
      <c r="AI92" s="132" t="s">
        <v>785</v>
      </c>
      <c r="AJ92" s="126" t="s">
        <v>641</v>
      </c>
      <c r="AK92" s="132" t="s">
        <v>596</v>
      </c>
      <c r="AL92" s="132" t="s">
        <v>748</v>
      </c>
      <c r="AM92" s="124">
        <v>2003</v>
      </c>
      <c r="AN92" s="132" t="s">
        <v>596</v>
      </c>
      <c r="AO92" s="132" t="s">
        <v>785</v>
      </c>
      <c r="AP92" s="126" t="s">
        <v>641</v>
      </c>
      <c r="AQ92" s="132" t="s">
        <v>596</v>
      </c>
      <c r="AR92" s="132" t="s">
        <v>748</v>
      </c>
      <c r="AS92" s="124">
        <v>0</v>
      </c>
      <c r="AT92" s="132" t="s">
        <v>596</v>
      </c>
      <c r="AU92" s="132" t="s">
        <v>785</v>
      </c>
      <c r="AV92" s="126" t="s">
        <v>641</v>
      </c>
      <c r="AW92" s="132" t="s">
        <v>596</v>
      </c>
      <c r="AX92" s="132" t="s">
        <v>748</v>
      </c>
      <c r="AY92" s="124">
        <v>0</v>
      </c>
      <c r="AZ92" s="132" t="s">
        <v>596</v>
      </c>
      <c r="BA92" s="132" t="s">
        <v>785</v>
      </c>
      <c r="BB92" s="126" t="s">
        <v>641</v>
      </c>
      <c r="BC92" s="132" t="s">
        <v>596</v>
      </c>
      <c r="BD92" s="131" t="s">
        <v>594</v>
      </c>
    </row>
    <row r="93" spans="1:56">
      <c r="A93" s="130" t="s">
        <v>746</v>
      </c>
      <c r="B93" s="130" t="s">
        <v>748</v>
      </c>
      <c r="C93" s="115">
        <f t="shared" si="2"/>
        <v>91</v>
      </c>
      <c r="D93" s="132" t="s">
        <v>596</v>
      </c>
      <c r="E93" s="132" t="s">
        <v>748</v>
      </c>
      <c r="F93" s="116">
        <f>HYPERLINK("http://ratings.ruchess.ru/people/16806",16806)</f>
        <v>16806</v>
      </c>
      <c r="G93" s="132" t="s">
        <v>596</v>
      </c>
      <c r="H93" s="132" t="s">
        <v>748</v>
      </c>
      <c r="I93" s="116">
        <f>HYPERLINK("https://ratings.fide.com/card.phtml?event=34128848",34128848)</f>
        <v>34128848</v>
      </c>
      <c r="J93" s="132" t="s">
        <v>596</v>
      </c>
      <c r="K93" s="132" t="s">
        <v>748</v>
      </c>
      <c r="L93" s="117" t="s">
        <v>736</v>
      </c>
      <c r="M93" s="132" t="s">
        <v>596</v>
      </c>
      <c r="N93" s="132" t="s">
        <v>748</v>
      </c>
      <c r="O93" s="118">
        <v>1978</v>
      </c>
      <c r="P93" s="132" t="s">
        <v>596</v>
      </c>
      <c r="Q93" s="132" t="s">
        <v>748</v>
      </c>
      <c r="R93" s="119" t="s">
        <v>641</v>
      </c>
      <c r="S93" s="132" t="s">
        <v>596</v>
      </c>
      <c r="T93" s="132" t="s">
        <v>748</v>
      </c>
      <c r="U93" s="118">
        <v>1999</v>
      </c>
      <c r="V93" s="132" t="s">
        <v>596</v>
      </c>
      <c r="W93" s="132" t="s">
        <v>785</v>
      </c>
      <c r="X93" s="120" t="s">
        <v>641</v>
      </c>
      <c r="Y93" s="132" t="s">
        <v>596</v>
      </c>
      <c r="Z93" s="132" t="s">
        <v>748</v>
      </c>
      <c r="AA93" s="118">
        <v>1855</v>
      </c>
      <c r="AB93" s="132" t="s">
        <v>596</v>
      </c>
      <c r="AC93" s="132" t="s">
        <v>785</v>
      </c>
      <c r="AD93" s="120" t="s">
        <v>641</v>
      </c>
      <c r="AE93" s="132" t="s">
        <v>596</v>
      </c>
      <c r="AF93" s="132" t="s">
        <v>748</v>
      </c>
      <c r="AG93" s="118">
        <v>1942</v>
      </c>
      <c r="AH93" s="132" t="s">
        <v>596</v>
      </c>
      <c r="AI93" s="132" t="s">
        <v>785</v>
      </c>
      <c r="AJ93" s="120" t="s">
        <v>641</v>
      </c>
      <c r="AK93" s="132" t="s">
        <v>596</v>
      </c>
      <c r="AL93" s="132" t="s">
        <v>748</v>
      </c>
      <c r="AM93" s="118">
        <v>1997</v>
      </c>
      <c r="AN93" s="132" t="s">
        <v>596</v>
      </c>
      <c r="AO93" s="132" t="s">
        <v>785</v>
      </c>
      <c r="AP93" s="120" t="s">
        <v>641</v>
      </c>
      <c r="AQ93" s="132" t="s">
        <v>596</v>
      </c>
      <c r="AR93" s="132" t="s">
        <v>748</v>
      </c>
      <c r="AS93" s="118">
        <v>1946</v>
      </c>
      <c r="AT93" s="132" t="s">
        <v>596</v>
      </c>
      <c r="AU93" s="132" t="s">
        <v>785</v>
      </c>
      <c r="AV93" s="120" t="s">
        <v>641</v>
      </c>
      <c r="AW93" s="132" t="s">
        <v>596</v>
      </c>
      <c r="AX93" s="132" t="s">
        <v>748</v>
      </c>
      <c r="AY93" s="118">
        <v>1958</v>
      </c>
      <c r="AZ93" s="132" t="s">
        <v>596</v>
      </c>
      <c r="BA93" s="132" t="s">
        <v>785</v>
      </c>
      <c r="BB93" s="120" t="s">
        <v>641</v>
      </c>
      <c r="BC93" s="132" t="s">
        <v>596</v>
      </c>
      <c r="BD93" s="131" t="s">
        <v>594</v>
      </c>
    </row>
    <row r="94" spans="1:56">
      <c r="A94" s="130" t="s">
        <v>746</v>
      </c>
      <c r="B94" s="130" t="s">
        <v>748</v>
      </c>
      <c r="C94" s="121">
        <f t="shared" si="2"/>
        <v>92</v>
      </c>
      <c r="D94" s="132" t="s">
        <v>596</v>
      </c>
      <c r="E94" s="132" t="s">
        <v>748</v>
      </c>
      <c r="F94" s="122">
        <f>HYPERLINK("http://ratings.ruchess.ru/people/10718",10718)</f>
        <v>10718</v>
      </c>
      <c r="G94" s="132" t="s">
        <v>596</v>
      </c>
      <c r="H94" s="132" t="s">
        <v>748</v>
      </c>
      <c r="I94" s="122">
        <f>HYPERLINK("https://ratings.fide.com/card.phtml?event=34101575",34101575)</f>
        <v>34101575</v>
      </c>
      <c r="J94" s="132" t="s">
        <v>596</v>
      </c>
      <c r="K94" s="132" t="s">
        <v>748</v>
      </c>
      <c r="L94" s="123" t="s">
        <v>737</v>
      </c>
      <c r="M94" s="132" t="s">
        <v>596</v>
      </c>
      <c r="N94" s="132" t="s">
        <v>748</v>
      </c>
      <c r="O94" s="124">
        <v>1985</v>
      </c>
      <c r="P94" s="132" t="s">
        <v>596</v>
      </c>
      <c r="Q94" s="132" t="s">
        <v>748</v>
      </c>
      <c r="R94" s="125" t="s">
        <v>641</v>
      </c>
      <c r="S94" s="132" t="s">
        <v>596</v>
      </c>
      <c r="T94" s="132" t="s">
        <v>748</v>
      </c>
      <c r="U94" s="124">
        <v>1997</v>
      </c>
      <c r="V94" s="132" t="s">
        <v>596</v>
      </c>
      <c r="W94" s="132" t="s">
        <v>785</v>
      </c>
      <c r="X94" s="126" t="s">
        <v>641</v>
      </c>
      <c r="Y94" s="132" t="s">
        <v>596</v>
      </c>
      <c r="Z94" s="132" t="s">
        <v>748</v>
      </c>
      <c r="AA94" s="124">
        <v>2030</v>
      </c>
      <c r="AB94" s="132" t="s">
        <v>596</v>
      </c>
      <c r="AC94" s="132" t="s">
        <v>785</v>
      </c>
      <c r="AD94" s="126" t="s">
        <v>641</v>
      </c>
      <c r="AE94" s="132" t="s">
        <v>596</v>
      </c>
      <c r="AF94" s="132" t="s">
        <v>748</v>
      </c>
      <c r="AG94" s="124">
        <v>1946</v>
      </c>
      <c r="AH94" s="132" t="s">
        <v>596</v>
      </c>
      <c r="AI94" s="132" t="s">
        <v>785</v>
      </c>
      <c r="AJ94" s="126" t="s">
        <v>641</v>
      </c>
      <c r="AK94" s="132" t="s">
        <v>596</v>
      </c>
      <c r="AL94" s="132" t="s">
        <v>748</v>
      </c>
      <c r="AM94" s="124">
        <v>1952</v>
      </c>
      <c r="AN94" s="132" t="s">
        <v>596</v>
      </c>
      <c r="AO94" s="132" t="s">
        <v>785</v>
      </c>
      <c r="AP94" s="126" t="s">
        <v>641</v>
      </c>
      <c r="AQ94" s="132" t="s">
        <v>596</v>
      </c>
      <c r="AR94" s="132" t="s">
        <v>748</v>
      </c>
      <c r="AS94" s="124">
        <v>2027</v>
      </c>
      <c r="AT94" s="132" t="s">
        <v>596</v>
      </c>
      <c r="AU94" s="132" t="s">
        <v>785</v>
      </c>
      <c r="AV94" s="126" t="s">
        <v>641</v>
      </c>
      <c r="AW94" s="132" t="s">
        <v>596</v>
      </c>
      <c r="AX94" s="132" t="s">
        <v>748</v>
      </c>
      <c r="AY94" s="124">
        <v>1990</v>
      </c>
      <c r="AZ94" s="132" t="s">
        <v>596</v>
      </c>
      <c r="BA94" s="132" t="s">
        <v>785</v>
      </c>
      <c r="BB94" s="126" t="s">
        <v>641</v>
      </c>
      <c r="BC94" s="132" t="s">
        <v>596</v>
      </c>
      <c r="BD94" s="131" t="s">
        <v>594</v>
      </c>
    </row>
    <row r="95" spans="1:56">
      <c r="A95" s="130" t="s">
        <v>746</v>
      </c>
      <c r="B95" s="130" t="s">
        <v>748</v>
      </c>
      <c r="C95" s="115">
        <f t="shared" si="2"/>
        <v>93</v>
      </c>
      <c r="D95" s="132" t="s">
        <v>596</v>
      </c>
      <c r="E95" s="132" t="s">
        <v>748</v>
      </c>
      <c r="F95" s="116">
        <f>HYPERLINK("http://ratings.ruchess.ru/people/3577",3577)</f>
        <v>3577</v>
      </c>
      <c r="G95" s="132" t="s">
        <v>596</v>
      </c>
      <c r="H95" s="132" t="s">
        <v>748</v>
      </c>
      <c r="I95" s="116">
        <f>HYPERLINK("https://ratings.fide.com/card.phtml?event=24175684",24175684)</f>
        <v>24175684</v>
      </c>
      <c r="J95" s="132" t="s">
        <v>596</v>
      </c>
      <c r="K95" s="132" t="s">
        <v>748</v>
      </c>
      <c r="L95" s="117" t="s">
        <v>738</v>
      </c>
      <c r="M95" s="132" t="s">
        <v>596</v>
      </c>
      <c r="N95" s="132" t="s">
        <v>748</v>
      </c>
      <c r="O95" s="118">
        <v>2001</v>
      </c>
      <c r="P95" s="132" t="s">
        <v>596</v>
      </c>
      <c r="Q95" s="132" t="s">
        <v>748</v>
      </c>
      <c r="R95" s="119" t="s">
        <v>641</v>
      </c>
      <c r="S95" s="132" t="s">
        <v>596</v>
      </c>
      <c r="T95" s="132" t="s">
        <v>748</v>
      </c>
      <c r="U95" s="118">
        <v>1994</v>
      </c>
      <c r="V95" s="132" t="s">
        <v>596</v>
      </c>
      <c r="W95" s="132" t="s">
        <v>785</v>
      </c>
      <c r="X95" s="120" t="s">
        <v>641</v>
      </c>
      <c r="Y95" s="132" t="s">
        <v>596</v>
      </c>
      <c r="Z95" s="132" t="s">
        <v>748</v>
      </c>
      <c r="AA95" s="118">
        <v>1816</v>
      </c>
      <c r="AB95" s="132" t="s">
        <v>596</v>
      </c>
      <c r="AC95" s="132" t="s">
        <v>785</v>
      </c>
      <c r="AD95" s="120" t="s">
        <v>641</v>
      </c>
      <c r="AE95" s="132" t="s">
        <v>596</v>
      </c>
      <c r="AF95" s="132" t="s">
        <v>748</v>
      </c>
      <c r="AG95" s="118">
        <v>1784</v>
      </c>
      <c r="AH95" s="132" t="s">
        <v>596</v>
      </c>
      <c r="AI95" s="132" t="s">
        <v>785</v>
      </c>
      <c r="AJ95" s="120" t="s">
        <v>641</v>
      </c>
      <c r="AK95" s="132" t="s">
        <v>596</v>
      </c>
      <c r="AL95" s="132" t="s">
        <v>748</v>
      </c>
      <c r="AM95" s="118">
        <v>1892</v>
      </c>
      <c r="AN95" s="132" t="s">
        <v>596</v>
      </c>
      <c r="AO95" s="132" t="s">
        <v>785</v>
      </c>
      <c r="AP95" s="120" t="s">
        <v>641</v>
      </c>
      <c r="AQ95" s="132" t="s">
        <v>596</v>
      </c>
      <c r="AR95" s="132" t="s">
        <v>748</v>
      </c>
      <c r="AS95" s="118">
        <v>1875</v>
      </c>
      <c r="AT95" s="132" t="s">
        <v>596</v>
      </c>
      <c r="AU95" s="132" t="s">
        <v>785</v>
      </c>
      <c r="AV95" s="120" t="s">
        <v>641</v>
      </c>
      <c r="AW95" s="132" t="s">
        <v>596</v>
      </c>
      <c r="AX95" s="132" t="s">
        <v>748</v>
      </c>
      <c r="AY95" s="118">
        <v>1794</v>
      </c>
      <c r="AZ95" s="132" t="s">
        <v>596</v>
      </c>
      <c r="BA95" s="132" t="s">
        <v>785</v>
      </c>
      <c r="BB95" s="120" t="s">
        <v>641</v>
      </c>
      <c r="BC95" s="132" t="s">
        <v>596</v>
      </c>
      <c r="BD95" s="131" t="s">
        <v>594</v>
      </c>
    </row>
    <row r="96" spans="1:56">
      <c r="A96" s="130" t="s">
        <v>746</v>
      </c>
      <c r="B96" s="130" t="s">
        <v>748</v>
      </c>
      <c r="C96" s="121">
        <f t="shared" si="2"/>
        <v>94</v>
      </c>
      <c r="D96" s="132" t="s">
        <v>596</v>
      </c>
      <c r="E96" s="132" t="s">
        <v>748</v>
      </c>
      <c r="F96" s="122">
        <f>HYPERLINK("http://ratings.ruchess.ru/people/3521",3521)</f>
        <v>3521</v>
      </c>
      <c r="G96" s="132" t="s">
        <v>596</v>
      </c>
      <c r="H96" s="132" t="s">
        <v>748</v>
      </c>
      <c r="I96" s="122">
        <f>HYPERLINK("https://ratings.fide.com/card.phtml?event=34128872",34128872)</f>
        <v>34128872</v>
      </c>
      <c r="J96" s="132" t="s">
        <v>596</v>
      </c>
      <c r="K96" s="132" t="s">
        <v>748</v>
      </c>
      <c r="L96" s="123" t="s">
        <v>739</v>
      </c>
      <c r="M96" s="132" t="s">
        <v>596</v>
      </c>
      <c r="N96" s="132" t="s">
        <v>748</v>
      </c>
      <c r="O96" s="124">
        <v>1950</v>
      </c>
      <c r="P96" s="132" t="s">
        <v>596</v>
      </c>
      <c r="Q96" s="132" t="s">
        <v>748</v>
      </c>
      <c r="R96" s="127" t="s">
        <v>226</v>
      </c>
      <c r="S96" s="132" t="s">
        <v>596</v>
      </c>
      <c r="T96" s="132" t="s">
        <v>748</v>
      </c>
      <c r="U96" s="124">
        <v>1993</v>
      </c>
      <c r="V96" s="132" t="s">
        <v>596</v>
      </c>
      <c r="W96" s="132" t="s">
        <v>785</v>
      </c>
      <c r="X96" s="126">
        <v>-13</v>
      </c>
      <c r="Y96" s="132" t="s">
        <v>596</v>
      </c>
      <c r="Z96" s="132" t="s">
        <v>748</v>
      </c>
      <c r="AA96" s="124">
        <v>1652</v>
      </c>
      <c r="AB96" s="132" t="s">
        <v>596</v>
      </c>
      <c r="AC96" s="132" t="s">
        <v>785</v>
      </c>
      <c r="AD96" s="126">
        <v>3</v>
      </c>
      <c r="AE96" s="132" t="s">
        <v>596</v>
      </c>
      <c r="AF96" s="132" t="s">
        <v>748</v>
      </c>
      <c r="AG96" s="124">
        <v>0</v>
      </c>
      <c r="AH96" s="132" t="s">
        <v>596</v>
      </c>
      <c r="AI96" s="132" t="s">
        <v>785</v>
      </c>
      <c r="AJ96" s="126" t="s">
        <v>641</v>
      </c>
      <c r="AK96" s="132" t="s">
        <v>596</v>
      </c>
      <c r="AL96" s="132" t="s">
        <v>748</v>
      </c>
      <c r="AM96" s="124">
        <v>1936</v>
      </c>
      <c r="AN96" s="132" t="s">
        <v>596</v>
      </c>
      <c r="AO96" s="132" t="s">
        <v>785</v>
      </c>
      <c r="AP96" s="126" t="s">
        <v>641</v>
      </c>
      <c r="AQ96" s="132" t="s">
        <v>596</v>
      </c>
      <c r="AR96" s="132" t="s">
        <v>748</v>
      </c>
      <c r="AS96" s="124">
        <v>1874</v>
      </c>
      <c r="AT96" s="132" t="s">
        <v>596</v>
      </c>
      <c r="AU96" s="132" t="s">
        <v>785</v>
      </c>
      <c r="AV96" s="126" t="s">
        <v>641</v>
      </c>
      <c r="AW96" s="132" t="s">
        <v>596</v>
      </c>
      <c r="AX96" s="132" t="s">
        <v>748</v>
      </c>
      <c r="AY96" s="124">
        <v>0</v>
      </c>
      <c r="AZ96" s="132" t="s">
        <v>596</v>
      </c>
      <c r="BA96" s="132" t="s">
        <v>785</v>
      </c>
      <c r="BB96" s="126" t="s">
        <v>641</v>
      </c>
      <c r="BC96" s="132" t="s">
        <v>596</v>
      </c>
      <c r="BD96" s="131" t="s">
        <v>594</v>
      </c>
    </row>
    <row r="97" spans="1:56">
      <c r="A97" s="130" t="s">
        <v>746</v>
      </c>
      <c r="B97" s="130" t="s">
        <v>748</v>
      </c>
      <c r="C97" s="115">
        <f t="shared" si="2"/>
        <v>95</v>
      </c>
      <c r="D97" s="132" t="s">
        <v>596</v>
      </c>
      <c r="E97" s="132" t="s">
        <v>748</v>
      </c>
      <c r="F97" s="116">
        <f>HYPERLINK("http://ratings.ruchess.ru/people/40002",40002)</f>
        <v>40002</v>
      </c>
      <c r="G97" s="132" t="s">
        <v>596</v>
      </c>
      <c r="H97" s="132" t="s">
        <v>748</v>
      </c>
      <c r="I97" s="116">
        <f>HYPERLINK("https://ratings.fide.com/card.phtml?event=34101613",34101613)</f>
        <v>34101613</v>
      </c>
      <c r="J97" s="132" t="s">
        <v>596</v>
      </c>
      <c r="K97" s="132" t="s">
        <v>748</v>
      </c>
      <c r="L97" s="117" t="s">
        <v>740</v>
      </c>
      <c r="M97" s="132" t="s">
        <v>596</v>
      </c>
      <c r="N97" s="132" t="s">
        <v>748</v>
      </c>
      <c r="O97" s="118">
        <v>1973</v>
      </c>
      <c r="P97" s="132" t="s">
        <v>596</v>
      </c>
      <c r="Q97" s="132" t="s">
        <v>748</v>
      </c>
      <c r="R97" s="128" t="s">
        <v>226</v>
      </c>
      <c r="S97" s="132" t="s">
        <v>596</v>
      </c>
      <c r="T97" s="132" t="s">
        <v>748</v>
      </c>
      <c r="U97" s="118">
        <v>1990</v>
      </c>
      <c r="V97" s="132" t="s">
        <v>596</v>
      </c>
      <c r="W97" s="132" t="s">
        <v>785</v>
      </c>
      <c r="X97" s="120" t="s">
        <v>641</v>
      </c>
      <c r="Y97" s="132" t="s">
        <v>596</v>
      </c>
      <c r="Z97" s="132" t="s">
        <v>748</v>
      </c>
      <c r="AA97" s="118">
        <v>1792</v>
      </c>
      <c r="AB97" s="132" t="s">
        <v>596</v>
      </c>
      <c r="AC97" s="132" t="s">
        <v>785</v>
      </c>
      <c r="AD97" s="120" t="s">
        <v>641</v>
      </c>
      <c r="AE97" s="132" t="s">
        <v>596</v>
      </c>
      <c r="AF97" s="132" t="s">
        <v>748</v>
      </c>
      <c r="AG97" s="118">
        <v>1780</v>
      </c>
      <c r="AH97" s="132" t="s">
        <v>596</v>
      </c>
      <c r="AI97" s="132" t="s">
        <v>785</v>
      </c>
      <c r="AJ97" s="120" t="s">
        <v>641</v>
      </c>
      <c r="AK97" s="132" t="s">
        <v>596</v>
      </c>
      <c r="AL97" s="132" t="s">
        <v>748</v>
      </c>
      <c r="AM97" s="118">
        <v>1991</v>
      </c>
      <c r="AN97" s="132" t="s">
        <v>596</v>
      </c>
      <c r="AO97" s="132" t="s">
        <v>785</v>
      </c>
      <c r="AP97" s="120" t="s">
        <v>641</v>
      </c>
      <c r="AQ97" s="132" t="s">
        <v>596</v>
      </c>
      <c r="AR97" s="132" t="s">
        <v>748</v>
      </c>
      <c r="AS97" s="118">
        <v>1943</v>
      </c>
      <c r="AT97" s="132" t="s">
        <v>596</v>
      </c>
      <c r="AU97" s="132" t="s">
        <v>785</v>
      </c>
      <c r="AV97" s="120" t="s">
        <v>641</v>
      </c>
      <c r="AW97" s="132" t="s">
        <v>596</v>
      </c>
      <c r="AX97" s="132" t="s">
        <v>748</v>
      </c>
      <c r="AY97" s="118">
        <v>1855</v>
      </c>
      <c r="AZ97" s="132" t="s">
        <v>596</v>
      </c>
      <c r="BA97" s="132" t="s">
        <v>785</v>
      </c>
      <c r="BB97" s="120" t="s">
        <v>641</v>
      </c>
      <c r="BC97" s="132" t="s">
        <v>596</v>
      </c>
      <c r="BD97" s="131" t="s">
        <v>594</v>
      </c>
    </row>
    <row r="98" spans="1:56">
      <c r="A98" s="130" t="s">
        <v>746</v>
      </c>
      <c r="B98" s="130" t="s">
        <v>748</v>
      </c>
      <c r="C98" s="121">
        <f t="shared" si="2"/>
        <v>96</v>
      </c>
      <c r="D98" s="132" t="s">
        <v>596</v>
      </c>
      <c r="E98" s="132" t="s">
        <v>748</v>
      </c>
      <c r="F98" s="122">
        <f>HYPERLINK("http://ratings.ruchess.ru/people/3502",3502)</f>
        <v>3502</v>
      </c>
      <c r="G98" s="132" t="s">
        <v>596</v>
      </c>
      <c r="H98" s="132" t="s">
        <v>748</v>
      </c>
      <c r="I98" s="122">
        <f>HYPERLINK("https://ratings.fide.com/card.phtml?event=34128686",34128686)</f>
        <v>34128686</v>
      </c>
      <c r="J98" s="132" t="s">
        <v>596</v>
      </c>
      <c r="K98" s="132" t="s">
        <v>748</v>
      </c>
      <c r="L98" s="123" t="s">
        <v>741</v>
      </c>
      <c r="M98" s="132" t="s">
        <v>596</v>
      </c>
      <c r="N98" s="132" t="s">
        <v>748</v>
      </c>
      <c r="O98" s="124">
        <v>1974</v>
      </c>
      <c r="P98" s="132" t="s">
        <v>596</v>
      </c>
      <c r="Q98" s="132" t="s">
        <v>748</v>
      </c>
      <c r="R98" s="125" t="s">
        <v>641</v>
      </c>
      <c r="S98" s="132" t="s">
        <v>596</v>
      </c>
      <c r="T98" s="132" t="s">
        <v>748</v>
      </c>
      <c r="U98" s="124">
        <v>1988</v>
      </c>
      <c r="V98" s="132" t="s">
        <v>596</v>
      </c>
      <c r="W98" s="132" t="s">
        <v>785</v>
      </c>
      <c r="X98" s="126" t="s">
        <v>641</v>
      </c>
      <c r="Y98" s="132" t="s">
        <v>596</v>
      </c>
      <c r="Z98" s="132" t="s">
        <v>748</v>
      </c>
      <c r="AA98" s="124">
        <v>0</v>
      </c>
      <c r="AB98" s="132" t="s">
        <v>596</v>
      </c>
      <c r="AC98" s="132" t="s">
        <v>785</v>
      </c>
      <c r="AD98" s="126" t="s">
        <v>641</v>
      </c>
      <c r="AE98" s="132" t="s">
        <v>596</v>
      </c>
      <c r="AF98" s="132" t="s">
        <v>748</v>
      </c>
      <c r="AG98" s="124">
        <v>1946</v>
      </c>
      <c r="AH98" s="132" t="s">
        <v>596</v>
      </c>
      <c r="AI98" s="132" t="s">
        <v>785</v>
      </c>
      <c r="AJ98" s="126" t="s">
        <v>641</v>
      </c>
      <c r="AK98" s="132" t="s">
        <v>596</v>
      </c>
      <c r="AL98" s="132" t="s">
        <v>748</v>
      </c>
      <c r="AM98" s="124">
        <v>0</v>
      </c>
      <c r="AN98" s="132" t="s">
        <v>596</v>
      </c>
      <c r="AO98" s="132" t="s">
        <v>785</v>
      </c>
      <c r="AP98" s="126" t="s">
        <v>641</v>
      </c>
      <c r="AQ98" s="132" t="s">
        <v>596</v>
      </c>
      <c r="AR98" s="132" t="s">
        <v>748</v>
      </c>
      <c r="AS98" s="124">
        <v>2058</v>
      </c>
      <c r="AT98" s="132" t="s">
        <v>596</v>
      </c>
      <c r="AU98" s="132" t="s">
        <v>785</v>
      </c>
      <c r="AV98" s="126" t="s">
        <v>641</v>
      </c>
      <c r="AW98" s="132" t="s">
        <v>596</v>
      </c>
      <c r="AX98" s="132" t="s">
        <v>748</v>
      </c>
      <c r="AY98" s="124">
        <v>1961</v>
      </c>
      <c r="AZ98" s="132" t="s">
        <v>596</v>
      </c>
      <c r="BA98" s="132" t="s">
        <v>785</v>
      </c>
      <c r="BB98" s="126" t="s">
        <v>641</v>
      </c>
      <c r="BC98" s="132" t="s">
        <v>596</v>
      </c>
      <c r="BD98" s="131" t="s">
        <v>594</v>
      </c>
    </row>
    <row r="99" spans="1:56">
      <c r="A99" s="130" t="s">
        <v>746</v>
      </c>
      <c r="B99" s="130" t="s">
        <v>748</v>
      </c>
      <c r="C99" s="115">
        <f t="shared" si="2"/>
        <v>97</v>
      </c>
      <c r="D99" s="132" t="s">
        <v>596</v>
      </c>
      <c r="E99" s="132" t="s">
        <v>748</v>
      </c>
      <c r="F99" s="116">
        <f>HYPERLINK("http://ratings.ruchess.ru/people/111597",111597)</f>
        <v>111597</v>
      </c>
      <c r="G99" s="132" t="s">
        <v>596</v>
      </c>
      <c r="H99" s="132" t="s">
        <v>748</v>
      </c>
      <c r="I99" s="116">
        <f>HYPERLINK("https://ratings.fide.com/card.phtml?event=24169480",24169480)</f>
        <v>24169480</v>
      </c>
      <c r="J99" s="132" t="s">
        <v>596</v>
      </c>
      <c r="K99" s="132" t="s">
        <v>748</v>
      </c>
      <c r="L99" s="117" t="s">
        <v>742</v>
      </c>
      <c r="M99" s="132" t="s">
        <v>596</v>
      </c>
      <c r="N99" s="132" t="s">
        <v>748</v>
      </c>
      <c r="O99" s="118">
        <v>1953</v>
      </c>
      <c r="P99" s="132" t="s">
        <v>596</v>
      </c>
      <c r="Q99" s="132" t="s">
        <v>748</v>
      </c>
      <c r="R99" s="128" t="s">
        <v>226</v>
      </c>
      <c r="S99" s="132" t="s">
        <v>596</v>
      </c>
      <c r="T99" s="132" t="s">
        <v>748</v>
      </c>
      <c r="U99" s="118">
        <v>1986</v>
      </c>
      <c r="V99" s="132" t="s">
        <v>596</v>
      </c>
      <c r="W99" s="132" t="s">
        <v>785</v>
      </c>
      <c r="X99" s="120" t="s">
        <v>641</v>
      </c>
      <c r="Y99" s="132" t="s">
        <v>596</v>
      </c>
      <c r="Z99" s="132" t="s">
        <v>748</v>
      </c>
      <c r="AA99" s="118">
        <v>0</v>
      </c>
      <c r="AB99" s="132" t="s">
        <v>596</v>
      </c>
      <c r="AC99" s="132" t="s">
        <v>785</v>
      </c>
      <c r="AD99" s="120" t="s">
        <v>641</v>
      </c>
      <c r="AE99" s="132" t="s">
        <v>596</v>
      </c>
      <c r="AF99" s="132" t="s">
        <v>748</v>
      </c>
      <c r="AG99" s="118">
        <v>0</v>
      </c>
      <c r="AH99" s="132" t="s">
        <v>596</v>
      </c>
      <c r="AI99" s="132" t="s">
        <v>785</v>
      </c>
      <c r="AJ99" s="120" t="s">
        <v>641</v>
      </c>
      <c r="AK99" s="132" t="s">
        <v>596</v>
      </c>
      <c r="AL99" s="132" t="s">
        <v>748</v>
      </c>
      <c r="AM99" s="118">
        <v>2010</v>
      </c>
      <c r="AN99" s="132" t="s">
        <v>596</v>
      </c>
      <c r="AO99" s="132" t="s">
        <v>785</v>
      </c>
      <c r="AP99" s="120" t="s">
        <v>641</v>
      </c>
      <c r="AQ99" s="132" t="s">
        <v>596</v>
      </c>
      <c r="AR99" s="132" t="s">
        <v>748</v>
      </c>
      <c r="AS99" s="118">
        <v>0</v>
      </c>
      <c r="AT99" s="132" t="s">
        <v>596</v>
      </c>
      <c r="AU99" s="132" t="s">
        <v>785</v>
      </c>
      <c r="AV99" s="120" t="s">
        <v>641</v>
      </c>
      <c r="AW99" s="132" t="s">
        <v>596</v>
      </c>
      <c r="AX99" s="132" t="s">
        <v>748</v>
      </c>
      <c r="AY99" s="118">
        <v>0</v>
      </c>
      <c r="AZ99" s="132" t="s">
        <v>596</v>
      </c>
      <c r="BA99" s="132" t="s">
        <v>785</v>
      </c>
      <c r="BB99" s="120" t="s">
        <v>641</v>
      </c>
      <c r="BC99" s="132" t="s">
        <v>596</v>
      </c>
      <c r="BD99" s="131" t="s">
        <v>594</v>
      </c>
    </row>
    <row r="100" spans="1:56">
      <c r="A100" s="130" t="s">
        <v>746</v>
      </c>
      <c r="B100" s="130" t="s">
        <v>748</v>
      </c>
      <c r="C100" s="121">
        <f t="shared" si="2"/>
        <v>98</v>
      </c>
      <c r="D100" s="132" t="s">
        <v>596</v>
      </c>
      <c r="E100" s="132" t="s">
        <v>748</v>
      </c>
      <c r="F100" s="122">
        <f>HYPERLINK("http://ratings.ruchess.ru/people/39993",39993)</f>
        <v>39993</v>
      </c>
      <c r="G100" s="132" t="s">
        <v>596</v>
      </c>
      <c r="H100" s="132" t="s">
        <v>748</v>
      </c>
      <c r="I100" s="122">
        <f>HYPERLINK("https://ratings.fide.com/card.phtml?event=44182511",44182511)</f>
        <v>44182511</v>
      </c>
      <c r="J100" s="132" t="s">
        <v>596</v>
      </c>
      <c r="K100" s="132" t="s">
        <v>748</v>
      </c>
      <c r="L100" s="123" t="s">
        <v>743</v>
      </c>
      <c r="M100" s="132" t="s">
        <v>596</v>
      </c>
      <c r="N100" s="132" t="s">
        <v>748</v>
      </c>
      <c r="O100" s="124">
        <v>1950</v>
      </c>
      <c r="P100" s="132" t="s">
        <v>596</v>
      </c>
      <c r="Q100" s="132" t="s">
        <v>748</v>
      </c>
      <c r="R100" s="127" t="s">
        <v>281</v>
      </c>
      <c r="S100" s="132" t="s">
        <v>596</v>
      </c>
      <c r="T100" s="132" t="s">
        <v>748</v>
      </c>
      <c r="U100" s="124">
        <v>1985</v>
      </c>
      <c r="V100" s="132" t="s">
        <v>596</v>
      </c>
      <c r="W100" s="132" t="s">
        <v>785</v>
      </c>
      <c r="X100" s="126" t="s">
        <v>641</v>
      </c>
      <c r="Y100" s="132" t="s">
        <v>596</v>
      </c>
      <c r="Z100" s="132" t="s">
        <v>748</v>
      </c>
      <c r="AA100" s="124">
        <v>1782</v>
      </c>
      <c r="AB100" s="132" t="s">
        <v>596</v>
      </c>
      <c r="AC100" s="132" t="s">
        <v>785</v>
      </c>
      <c r="AD100" s="126">
        <v>-5</v>
      </c>
      <c r="AE100" s="132" t="s">
        <v>596</v>
      </c>
      <c r="AF100" s="132" t="s">
        <v>748</v>
      </c>
      <c r="AG100" s="124">
        <v>1772</v>
      </c>
      <c r="AH100" s="132" t="s">
        <v>596</v>
      </c>
      <c r="AI100" s="132" t="s">
        <v>785</v>
      </c>
      <c r="AJ100" s="126" t="s">
        <v>641</v>
      </c>
      <c r="AK100" s="132" t="s">
        <v>596</v>
      </c>
      <c r="AL100" s="132" t="s">
        <v>748</v>
      </c>
      <c r="AM100" s="124">
        <v>0</v>
      </c>
      <c r="AN100" s="132" t="s">
        <v>596</v>
      </c>
      <c r="AO100" s="132" t="s">
        <v>785</v>
      </c>
      <c r="AP100" s="126" t="s">
        <v>641</v>
      </c>
      <c r="AQ100" s="132" t="s">
        <v>596</v>
      </c>
      <c r="AR100" s="132" t="s">
        <v>748</v>
      </c>
      <c r="AS100" s="124">
        <v>1900</v>
      </c>
      <c r="AT100" s="132" t="s">
        <v>596</v>
      </c>
      <c r="AU100" s="132" t="s">
        <v>785</v>
      </c>
      <c r="AV100" s="126" t="s">
        <v>641</v>
      </c>
      <c r="AW100" s="132" t="s">
        <v>596</v>
      </c>
      <c r="AX100" s="132" t="s">
        <v>748</v>
      </c>
      <c r="AY100" s="124">
        <v>0</v>
      </c>
      <c r="AZ100" s="132" t="s">
        <v>596</v>
      </c>
      <c r="BA100" s="132" t="s">
        <v>785</v>
      </c>
      <c r="BB100" s="126" t="s">
        <v>641</v>
      </c>
      <c r="BC100" s="132" t="s">
        <v>596</v>
      </c>
      <c r="BD100" s="131" t="s">
        <v>594</v>
      </c>
    </row>
    <row r="101" spans="1:56">
      <c r="A101" s="130" t="s">
        <v>746</v>
      </c>
      <c r="B101" s="130" t="s">
        <v>748</v>
      </c>
      <c r="C101" s="115">
        <f t="shared" si="2"/>
        <v>99</v>
      </c>
      <c r="D101" s="132" t="s">
        <v>596</v>
      </c>
      <c r="E101" s="132" t="s">
        <v>748</v>
      </c>
      <c r="F101" s="116">
        <f>HYPERLINK("http://ratings.ruchess.ru/people/111603",111603)</f>
        <v>111603</v>
      </c>
      <c r="G101" s="132" t="s">
        <v>596</v>
      </c>
      <c r="H101" s="132" t="s">
        <v>748</v>
      </c>
      <c r="I101" s="116">
        <f>HYPERLINK("https://ratings.fide.com/card.phtml?event=34103250",34103250)</f>
        <v>34103250</v>
      </c>
      <c r="J101" s="132" t="s">
        <v>596</v>
      </c>
      <c r="K101" s="132" t="s">
        <v>748</v>
      </c>
      <c r="L101" s="117" t="s">
        <v>744</v>
      </c>
      <c r="M101" s="132" t="s">
        <v>596</v>
      </c>
      <c r="N101" s="132" t="s">
        <v>748</v>
      </c>
      <c r="O101" s="118">
        <v>1995</v>
      </c>
      <c r="P101" s="132" t="s">
        <v>596</v>
      </c>
      <c r="Q101" s="132" t="s">
        <v>748</v>
      </c>
      <c r="R101" s="128" t="s">
        <v>226</v>
      </c>
      <c r="S101" s="132" t="s">
        <v>596</v>
      </c>
      <c r="T101" s="132" t="s">
        <v>748</v>
      </c>
      <c r="U101" s="118">
        <v>1981</v>
      </c>
      <c r="V101" s="132" t="s">
        <v>596</v>
      </c>
      <c r="W101" s="132" t="s">
        <v>785</v>
      </c>
      <c r="X101" s="120" t="s">
        <v>641</v>
      </c>
      <c r="Y101" s="132" t="s">
        <v>596</v>
      </c>
      <c r="Z101" s="132" t="s">
        <v>748</v>
      </c>
      <c r="AA101" s="118">
        <v>0</v>
      </c>
      <c r="AB101" s="132" t="s">
        <v>596</v>
      </c>
      <c r="AC101" s="132" t="s">
        <v>785</v>
      </c>
      <c r="AD101" s="120" t="s">
        <v>641</v>
      </c>
      <c r="AE101" s="132" t="s">
        <v>596</v>
      </c>
      <c r="AF101" s="132" t="s">
        <v>748</v>
      </c>
      <c r="AG101" s="118">
        <v>0</v>
      </c>
      <c r="AH101" s="132" t="s">
        <v>596</v>
      </c>
      <c r="AI101" s="132" t="s">
        <v>785</v>
      </c>
      <c r="AJ101" s="120" t="s">
        <v>641</v>
      </c>
      <c r="AK101" s="132" t="s">
        <v>596</v>
      </c>
      <c r="AL101" s="132" t="s">
        <v>748</v>
      </c>
      <c r="AM101" s="118">
        <v>1979</v>
      </c>
      <c r="AN101" s="132" t="s">
        <v>596</v>
      </c>
      <c r="AO101" s="132" t="s">
        <v>785</v>
      </c>
      <c r="AP101" s="120" t="s">
        <v>641</v>
      </c>
      <c r="AQ101" s="132" t="s">
        <v>596</v>
      </c>
      <c r="AR101" s="132" t="s">
        <v>748</v>
      </c>
      <c r="AS101" s="118">
        <v>1939</v>
      </c>
      <c r="AT101" s="132" t="s">
        <v>596</v>
      </c>
      <c r="AU101" s="132" t="s">
        <v>785</v>
      </c>
      <c r="AV101" s="120" t="s">
        <v>641</v>
      </c>
      <c r="AW101" s="132" t="s">
        <v>596</v>
      </c>
      <c r="AX101" s="132" t="s">
        <v>748</v>
      </c>
      <c r="AY101" s="118">
        <v>1989</v>
      </c>
      <c r="AZ101" s="132" t="s">
        <v>596</v>
      </c>
      <c r="BA101" s="132" t="s">
        <v>785</v>
      </c>
      <c r="BB101" s="120" t="s">
        <v>641</v>
      </c>
      <c r="BC101" s="132" t="s">
        <v>596</v>
      </c>
      <c r="BD101" s="131" t="s">
        <v>594</v>
      </c>
    </row>
    <row r="102" spans="1:56">
      <c r="A102" s="130" t="s">
        <v>746</v>
      </c>
      <c r="B102" s="130" t="s">
        <v>748</v>
      </c>
      <c r="C102" s="121">
        <f t="shared" si="2"/>
        <v>100</v>
      </c>
      <c r="D102" s="132" t="s">
        <v>596</v>
      </c>
      <c r="E102" s="132" t="s">
        <v>748</v>
      </c>
      <c r="F102" s="122">
        <f>HYPERLINK("http://ratings.ruchess.ru/people/11284",11284)</f>
        <v>11284</v>
      </c>
      <c r="G102" s="132" t="s">
        <v>596</v>
      </c>
      <c r="H102" s="132" t="s">
        <v>748</v>
      </c>
      <c r="I102" s="122">
        <f>HYPERLINK("https://ratings.fide.com/card.phtml?event=34148210",34148210)</f>
        <v>34148210</v>
      </c>
      <c r="J102" s="132" t="s">
        <v>596</v>
      </c>
      <c r="K102" s="132" t="s">
        <v>748</v>
      </c>
      <c r="L102" s="123" t="s">
        <v>745</v>
      </c>
      <c r="M102" s="132" t="s">
        <v>596</v>
      </c>
      <c r="N102" s="132" t="s">
        <v>748</v>
      </c>
      <c r="O102" s="124">
        <v>1947</v>
      </c>
      <c r="P102" s="132" t="s">
        <v>596</v>
      </c>
      <c r="Q102" s="132" t="s">
        <v>748</v>
      </c>
      <c r="R102" s="125" t="s">
        <v>641</v>
      </c>
      <c r="S102" s="132" t="s">
        <v>596</v>
      </c>
      <c r="T102" s="132" t="s">
        <v>748</v>
      </c>
      <c r="U102" s="124">
        <v>1979</v>
      </c>
      <c r="V102" s="132" t="s">
        <v>596</v>
      </c>
      <c r="W102" s="132" t="s">
        <v>785</v>
      </c>
      <c r="X102" s="126" t="s">
        <v>641</v>
      </c>
      <c r="Y102" s="132" t="s">
        <v>596</v>
      </c>
      <c r="Z102" s="132" t="s">
        <v>748</v>
      </c>
      <c r="AA102" s="124">
        <v>1890</v>
      </c>
      <c r="AB102" s="132" t="s">
        <v>596</v>
      </c>
      <c r="AC102" s="132" t="s">
        <v>785</v>
      </c>
      <c r="AD102" s="126" t="s">
        <v>641</v>
      </c>
      <c r="AE102" s="132" t="s">
        <v>596</v>
      </c>
      <c r="AF102" s="132" t="s">
        <v>748</v>
      </c>
      <c r="AG102" s="124">
        <v>0</v>
      </c>
      <c r="AH102" s="132" t="s">
        <v>596</v>
      </c>
      <c r="AI102" s="132" t="s">
        <v>785</v>
      </c>
      <c r="AJ102" s="126" t="s">
        <v>641</v>
      </c>
      <c r="AK102" s="132" t="s">
        <v>596</v>
      </c>
      <c r="AL102" s="132" t="s">
        <v>748</v>
      </c>
      <c r="AM102" s="124">
        <v>1957</v>
      </c>
      <c r="AN102" s="132" t="s">
        <v>596</v>
      </c>
      <c r="AO102" s="132" t="s">
        <v>785</v>
      </c>
      <c r="AP102" s="126" t="s">
        <v>641</v>
      </c>
      <c r="AQ102" s="132" t="s">
        <v>596</v>
      </c>
      <c r="AR102" s="132" t="s">
        <v>748</v>
      </c>
      <c r="AS102" s="124">
        <v>1912</v>
      </c>
      <c r="AT102" s="132" t="s">
        <v>596</v>
      </c>
      <c r="AU102" s="132" t="s">
        <v>785</v>
      </c>
      <c r="AV102" s="126" t="s">
        <v>641</v>
      </c>
      <c r="AW102" s="132" t="s">
        <v>596</v>
      </c>
      <c r="AX102" s="132" t="s">
        <v>748</v>
      </c>
      <c r="AY102" s="124">
        <v>0</v>
      </c>
      <c r="AZ102" s="132" t="s">
        <v>596</v>
      </c>
      <c r="BA102" s="132" t="s">
        <v>785</v>
      </c>
      <c r="BB102" s="126" t="s">
        <v>641</v>
      </c>
      <c r="BC102" s="132" t="s">
        <v>596</v>
      </c>
      <c r="BD102" s="131" t="s">
        <v>594</v>
      </c>
    </row>
  </sheetData>
  <conditionalFormatting sqref="AJ3:AJ102 AD3:AD102 AV3:AV102 AP3:AP102 BB3:BB102 X3:X102">
    <cfRule type="aboveAverage" dxfId="12" priority="7"/>
  </conditionalFormatting>
  <conditionalFormatting sqref="AJ3:AJ102 BB3:BB102 AD3:AD102 AV3:AV102 AP3:AP102 X3:X102">
    <cfRule type="cellIs" dxfId="11" priority="6" operator="greaterThan">
      <formula>0</formula>
    </cfRule>
  </conditionalFormatting>
  <conditionalFormatting sqref="AJ3:AJ102 BB3:BB102 AD3:AD102 AV3:AV102 AP3:AP102 X3:X102">
    <cfRule type="cellIs" dxfId="10" priority="5" operator="lessThan">
      <formula>0</formula>
    </cfRule>
  </conditionalFormatting>
  <conditionalFormatting sqref="BB3:BB102 AD3:AD102 AV3:AV102 AP3:AP102 AJ3:AJ102 X3:X102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X3:X102">
    <cfRule type="aboveAverage" dxfId="7" priority="2"/>
  </conditionalFormatting>
  <conditionalFormatting sqref="AJ3:AJ102 BB3:BB102 AD3:AD102 AV3:AV102 AP3:AP102 X3:X102">
    <cfRule type="aboveAverage" dxfId="6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52"/>
  <sheetViews>
    <sheetView workbookViewId="0">
      <selection activeCell="P3" sqref="P3"/>
    </sheetView>
  </sheetViews>
  <sheetFormatPr defaultRowHeight="15"/>
  <cols>
    <col min="2" max="2" width="24.28515625" customWidth="1"/>
    <col min="3" max="3" width="4.42578125" customWidth="1"/>
    <col min="4" max="4" width="5.42578125" customWidth="1"/>
    <col min="5" max="5" width="9.28515625" customWidth="1"/>
    <col min="6" max="6" width="9.85546875" customWidth="1"/>
    <col min="7" max="7" width="11.7109375" customWidth="1"/>
    <col min="8" max="8" width="8.140625" customWidth="1"/>
    <col min="10" max="10" width="4.5703125" style="175" customWidth="1"/>
  </cols>
  <sheetData>
    <row r="1" spans="1:39">
      <c r="A1">
        <f>+C1+I1+M1+P1+S1+V1+Y1+AB1+AE1+AH1+AK1</f>
        <v>100</v>
      </c>
      <c r="C1" s="177">
        <v>5</v>
      </c>
      <c r="I1" s="177">
        <v>15</v>
      </c>
      <c r="M1" s="177">
        <v>20</v>
      </c>
      <c r="P1" s="177">
        <v>8</v>
      </c>
      <c r="S1" s="177">
        <v>13</v>
      </c>
      <c r="V1" s="177">
        <v>8</v>
      </c>
      <c r="Y1" s="177">
        <v>5</v>
      </c>
      <c r="AB1" s="177">
        <v>8</v>
      </c>
      <c r="AE1" s="177">
        <v>5</v>
      </c>
      <c r="AH1" s="177">
        <v>8</v>
      </c>
      <c r="AK1" s="177">
        <v>5</v>
      </c>
    </row>
    <row r="2" spans="1:39" ht="25.5">
      <c r="A2" s="130" t="s">
        <v>746</v>
      </c>
      <c r="B2" s="130" t="s">
        <v>814</v>
      </c>
      <c r="C2" s="107" t="s">
        <v>347</v>
      </c>
      <c r="D2" s="130" t="s">
        <v>593</v>
      </c>
      <c r="E2" s="130" t="s">
        <v>816</v>
      </c>
      <c r="F2" s="172"/>
      <c r="G2" s="172"/>
      <c r="H2" s="172"/>
      <c r="I2" s="109" t="s">
        <v>632</v>
      </c>
      <c r="J2" s="174"/>
      <c r="K2" s="130" t="s">
        <v>593</v>
      </c>
      <c r="L2" s="130" t="s">
        <v>822</v>
      </c>
      <c r="M2" s="108" t="s">
        <v>633</v>
      </c>
      <c r="N2" s="130" t="s">
        <v>593</v>
      </c>
      <c r="O2" s="130" t="s">
        <v>749</v>
      </c>
      <c r="P2" s="108" t="s">
        <v>827</v>
      </c>
      <c r="Q2" s="130" t="s">
        <v>593</v>
      </c>
      <c r="R2" s="130" t="s">
        <v>824</v>
      </c>
      <c r="S2" s="110" t="s">
        <v>635</v>
      </c>
      <c r="T2" s="130" t="s">
        <v>593</v>
      </c>
      <c r="U2" s="130" t="s">
        <v>818</v>
      </c>
      <c r="V2" s="113" t="s">
        <v>637</v>
      </c>
      <c r="W2" s="130" t="s">
        <v>593</v>
      </c>
      <c r="X2" s="130" t="s">
        <v>821</v>
      </c>
      <c r="Y2" s="112" t="s">
        <v>636</v>
      </c>
      <c r="Z2" s="130" t="s">
        <v>593</v>
      </c>
      <c r="AA2" s="130" t="s">
        <v>818</v>
      </c>
      <c r="AB2" s="108" t="s">
        <v>638</v>
      </c>
      <c r="AC2" s="130" t="s">
        <v>593</v>
      </c>
      <c r="AD2" s="130" t="s">
        <v>821</v>
      </c>
      <c r="AE2" s="112" t="s">
        <v>636</v>
      </c>
      <c r="AF2" s="130" t="s">
        <v>593</v>
      </c>
      <c r="AG2" s="130" t="s">
        <v>818</v>
      </c>
      <c r="AH2" s="108" t="s">
        <v>639</v>
      </c>
      <c r="AI2" s="130" t="s">
        <v>593</v>
      </c>
      <c r="AJ2" s="130" t="s">
        <v>821</v>
      </c>
      <c r="AK2" s="114" t="s">
        <v>636</v>
      </c>
      <c r="AL2" s="130" t="s">
        <v>593</v>
      </c>
      <c r="AM2" s="131" t="s">
        <v>594</v>
      </c>
    </row>
    <row r="3" spans="1:39">
      <c r="A3" s="130" t="s">
        <v>746</v>
      </c>
      <c r="B3" s="130" t="s">
        <v>815</v>
      </c>
      <c r="C3" s="115">
        <f>+IFERROR(IF(SUBTOTAL(3,M3),C2+1,C2),1)</f>
        <v>1</v>
      </c>
      <c r="D3" s="132" t="s">
        <v>596</v>
      </c>
      <c r="E3" s="132" t="s">
        <v>817</v>
      </c>
      <c r="F3" s="173" t="s">
        <v>812</v>
      </c>
      <c r="G3" s="173" t="str">
        <f>"https://ratings.fide.com/card.phtml?event="&amp;I3</f>
        <v>https://ratings.fide.com/card.phtml?event=24176460</v>
      </c>
      <c r="H3" s="173" t="s">
        <v>813</v>
      </c>
      <c r="I3" s="116">
        <f>HYPERLINK("https://ratings.fide.com/card.phtml?event=24176460",24176460)</f>
        <v>24176460</v>
      </c>
      <c r="J3" s="176" t="s">
        <v>811</v>
      </c>
      <c r="K3" s="132" t="s">
        <v>596</v>
      </c>
      <c r="L3" s="132" t="s">
        <v>823</v>
      </c>
      <c r="M3" s="117" t="s">
        <v>640</v>
      </c>
      <c r="N3" s="132" t="s">
        <v>596</v>
      </c>
      <c r="O3" s="132" t="s">
        <v>826</v>
      </c>
      <c r="P3" s="118">
        <v>2000</v>
      </c>
      <c r="Q3" s="132" t="s">
        <v>596</v>
      </c>
      <c r="R3" s="132" t="s">
        <v>825</v>
      </c>
      <c r="S3" s="119" t="s">
        <v>641</v>
      </c>
      <c r="T3" s="132" t="s">
        <v>596</v>
      </c>
      <c r="U3" s="132" t="s">
        <v>819</v>
      </c>
      <c r="V3" s="118">
        <v>2521</v>
      </c>
      <c r="W3" s="132" t="s">
        <v>596</v>
      </c>
      <c r="X3" s="132" t="s">
        <v>820</v>
      </c>
      <c r="Y3" s="120">
        <v>1</v>
      </c>
      <c r="Z3" s="132" t="s">
        <v>596</v>
      </c>
      <c r="AA3" s="132" t="s">
        <v>819</v>
      </c>
      <c r="AB3" s="118">
        <v>2561</v>
      </c>
      <c r="AC3" s="132" t="s">
        <v>596</v>
      </c>
      <c r="AD3" s="132" t="s">
        <v>820</v>
      </c>
      <c r="AE3" s="120" t="s">
        <v>641</v>
      </c>
      <c r="AF3" s="132" t="s">
        <v>596</v>
      </c>
      <c r="AG3" s="132" t="s">
        <v>819</v>
      </c>
      <c r="AH3" s="118">
        <v>2476</v>
      </c>
      <c r="AI3" s="132" t="s">
        <v>596</v>
      </c>
      <c r="AJ3" s="132" t="s">
        <v>820</v>
      </c>
      <c r="AK3" s="120" t="s">
        <v>641</v>
      </c>
      <c r="AL3" s="132" t="s">
        <v>596</v>
      </c>
      <c r="AM3" s="131" t="s">
        <v>594</v>
      </c>
    </row>
    <row r="4" spans="1:39">
      <c r="A4" s="130" t="s">
        <v>746</v>
      </c>
      <c r="B4" s="130" t="s">
        <v>815</v>
      </c>
      <c r="C4" s="121">
        <f>+IFERROR(IF(SUBTOTAL(3,M4),C3+1,C3),1)</f>
        <v>2</v>
      </c>
      <c r="D4" s="132" t="s">
        <v>596</v>
      </c>
      <c r="E4" s="132" t="s">
        <v>817</v>
      </c>
      <c r="F4" s="173" t="s">
        <v>812</v>
      </c>
      <c r="G4" s="173" t="str">
        <f t="shared" ref="G4:G52" si="0">"https://ratings.fide.com/card.phtml?event="&amp;I4</f>
        <v>https://ratings.fide.com/card.phtml?event=24108138</v>
      </c>
      <c r="H4" s="173" t="s">
        <v>813</v>
      </c>
      <c r="I4" s="122">
        <f>HYPERLINK("https://ratings.fide.com/card.phtml?event=24108138",24108138)</f>
        <v>24108138</v>
      </c>
      <c r="J4" s="176" t="s">
        <v>811</v>
      </c>
      <c r="K4" s="132" t="s">
        <v>596</v>
      </c>
      <c r="L4" s="132" t="s">
        <v>823</v>
      </c>
      <c r="M4" s="123" t="s">
        <v>642</v>
      </c>
      <c r="N4" s="132" t="s">
        <v>596</v>
      </c>
      <c r="O4" s="132" t="s">
        <v>826</v>
      </c>
      <c r="P4" s="124">
        <v>1997</v>
      </c>
      <c r="Q4" s="132" t="s">
        <v>596</v>
      </c>
      <c r="R4" s="132" t="s">
        <v>825</v>
      </c>
      <c r="S4" s="125" t="s">
        <v>641</v>
      </c>
      <c r="T4" s="132" t="s">
        <v>596</v>
      </c>
      <c r="U4" s="132" t="s">
        <v>819</v>
      </c>
      <c r="V4" s="124">
        <v>2437</v>
      </c>
      <c r="W4" s="132" t="s">
        <v>596</v>
      </c>
      <c r="X4" s="132" t="s">
        <v>820</v>
      </c>
      <c r="Y4" s="126" t="s">
        <v>641</v>
      </c>
      <c r="Z4" s="132" t="s">
        <v>596</v>
      </c>
      <c r="AA4" s="132" t="s">
        <v>819</v>
      </c>
      <c r="AB4" s="124">
        <v>2442</v>
      </c>
      <c r="AC4" s="132" t="s">
        <v>596</v>
      </c>
      <c r="AD4" s="132" t="s">
        <v>820</v>
      </c>
      <c r="AE4" s="126">
        <v>33</v>
      </c>
      <c r="AF4" s="132" t="s">
        <v>596</v>
      </c>
      <c r="AG4" s="132" t="s">
        <v>819</v>
      </c>
      <c r="AH4" s="124">
        <v>2343</v>
      </c>
      <c r="AI4" s="132" t="s">
        <v>596</v>
      </c>
      <c r="AJ4" s="132" t="s">
        <v>820</v>
      </c>
      <c r="AK4" s="126" t="s">
        <v>641</v>
      </c>
      <c r="AL4" s="132" t="s">
        <v>596</v>
      </c>
      <c r="AM4" s="131" t="s">
        <v>594</v>
      </c>
    </row>
    <row r="5" spans="1:39">
      <c r="A5" s="130" t="s">
        <v>746</v>
      </c>
      <c r="B5" s="130" t="s">
        <v>815</v>
      </c>
      <c r="C5" s="115">
        <f>+IFERROR(IF(SUBTOTAL(3,M5),C4+1,C4),1)</f>
        <v>3</v>
      </c>
      <c r="D5" s="132" t="s">
        <v>596</v>
      </c>
      <c r="E5" s="132" t="s">
        <v>817</v>
      </c>
      <c r="F5" s="173" t="s">
        <v>812</v>
      </c>
      <c r="G5" s="173" t="str">
        <f t="shared" si="0"/>
        <v>https://ratings.fide.com/card.phtml?event=24145076</v>
      </c>
      <c r="H5" s="173" t="s">
        <v>813</v>
      </c>
      <c r="I5" s="116">
        <f>HYPERLINK("https://ratings.fide.com/card.phtml?event=24145076",24145076)</f>
        <v>24145076</v>
      </c>
      <c r="J5" s="176" t="s">
        <v>811</v>
      </c>
      <c r="K5" s="132" t="s">
        <v>596</v>
      </c>
      <c r="L5" s="132" t="s">
        <v>823</v>
      </c>
      <c r="M5" s="117" t="s">
        <v>643</v>
      </c>
      <c r="N5" s="132" t="s">
        <v>596</v>
      </c>
      <c r="O5" s="132" t="s">
        <v>826</v>
      </c>
      <c r="P5" s="118">
        <v>1995</v>
      </c>
      <c r="Q5" s="132" t="s">
        <v>596</v>
      </c>
      <c r="R5" s="132" t="s">
        <v>825</v>
      </c>
      <c r="S5" s="119" t="s">
        <v>641</v>
      </c>
      <c r="T5" s="132" t="s">
        <v>596</v>
      </c>
      <c r="U5" s="132" t="s">
        <v>819</v>
      </c>
      <c r="V5" s="118">
        <v>2409</v>
      </c>
      <c r="W5" s="132" t="s">
        <v>596</v>
      </c>
      <c r="X5" s="132" t="s">
        <v>820</v>
      </c>
      <c r="Y5" s="120" t="s">
        <v>641</v>
      </c>
      <c r="Z5" s="132" t="s">
        <v>596</v>
      </c>
      <c r="AA5" s="132" t="s">
        <v>819</v>
      </c>
      <c r="AB5" s="118">
        <v>2382</v>
      </c>
      <c r="AC5" s="132" t="s">
        <v>596</v>
      </c>
      <c r="AD5" s="132" t="s">
        <v>820</v>
      </c>
      <c r="AE5" s="120" t="s">
        <v>641</v>
      </c>
      <c r="AF5" s="132" t="s">
        <v>596</v>
      </c>
      <c r="AG5" s="132" t="s">
        <v>819</v>
      </c>
      <c r="AH5" s="118">
        <v>2382</v>
      </c>
      <c r="AI5" s="132" t="s">
        <v>596</v>
      </c>
      <c r="AJ5" s="132" t="s">
        <v>820</v>
      </c>
      <c r="AK5" s="120" t="s">
        <v>641</v>
      </c>
      <c r="AL5" s="132" t="s">
        <v>596</v>
      </c>
      <c r="AM5" s="131" t="s">
        <v>594</v>
      </c>
    </row>
    <row r="6" spans="1:39">
      <c r="A6" s="130" t="s">
        <v>746</v>
      </c>
      <c r="B6" s="130" t="s">
        <v>815</v>
      </c>
      <c r="C6" s="121">
        <f>+IFERROR(IF(SUBTOTAL(3,M6),C5+1,C5),1)</f>
        <v>4</v>
      </c>
      <c r="D6" s="132" t="s">
        <v>596</v>
      </c>
      <c r="E6" s="132" t="s">
        <v>817</v>
      </c>
      <c r="F6" s="173" t="s">
        <v>812</v>
      </c>
      <c r="G6" s="173" t="str">
        <f t="shared" si="0"/>
        <v>https://ratings.fide.com/card.phtml?event=24180211</v>
      </c>
      <c r="H6" s="173" t="s">
        <v>813</v>
      </c>
      <c r="I6" s="122">
        <f>HYPERLINK("https://ratings.fide.com/card.phtml?event=24180211",24180211)</f>
        <v>24180211</v>
      </c>
      <c r="J6" s="176" t="s">
        <v>811</v>
      </c>
      <c r="K6" s="132" t="s">
        <v>596</v>
      </c>
      <c r="L6" s="132" t="s">
        <v>823</v>
      </c>
      <c r="M6" s="123" t="s">
        <v>644</v>
      </c>
      <c r="N6" s="132" t="s">
        <v>596</v>
      </c>
      <c r="O6" s="132" t="s">
        <v>826</v>
      </c>
      <c r="P6" s="124">
        <v>1972</v>
      </c>
      <c r="Q6" s="132" t="s">
        <v>596</v>
      </c>
      <c r="R6" s="132" t="s">
        <v>825</v>
      </c>
      <c r="S6" s="127" t="s">
        <v>281</v>
      </c>
      <c r="T6" s="132" t="s">
        <v>596</v>
      </c>
      <c r="U6" s="132" t="s">
        <v>819</v>
      </c>
      <c r="V6" s="124">
        <v>2337</v>
      </c>
      <c r="W6" s="132" t="s">
        <v>596</v>
      </c>
      <c r="X6" s="132" t="s">
        <v>820</v>
      </c>
      <c r="Y6" s="126" t="s">
        <v>641</v>
      </c>
      <c r="Z6" s="132" t="s">
        <v>596</v>
      </c>
      <c r="AA6" s="132" t="s">
        <v>819</v>
      </c>
      <c r="AB6" s="124">
        <v>2190</v>
      </c>
      <c r="AC6" s="132" t="s">
        <v>596</v>
      </c>
      <c r="AD6" s="132" t="s">
        <v>820</v>
      </c>
      <c r="AE6" s="126">
        <v>16</v>
      </c>
      <c r="AF6" s="132" t="s">
        <v>596</v>
      </c>
      <c r="AG6" s="132" t="s">
        <v>819</v>
      </c>
      <c r="AH6" s="124">
        <v>2180</v>
      </c>
      <c r="AI6" s="132" t="s">
        <v>596</v>
      </c>
      <c r="AJ6" s="132" t="s">
        <v>820</v>
      </c>
      <c r="AK6" s="126">
        <v>16</v>
      </c>
      <c r="AL6" s="132" t="s">
        <v>596</v>
      </c>
      <c r="AM6" s="131" t="s">
        <v>594</v>
      </c>
    </row>
    <row r="7" spans="1:39">
      <c r="A7" s="130" t="s">
        <v>746</v>
      </c>
      <c r="B7" s="130" t="s">
        <v>815</v>
      </c>
      <c r="C7" s="115">
        <f>+IFERROR(IF(SUBTOTAL(3,M7),C6+1,C6),1)</f>
        <v>5</v>
      </c>
      <c r="D7" s="132" t="s">
        <v>596</v>
      </c>
      <c r="E7" s="132" t="s">
        <v>817</v>
      </c>
      <c r="F7" s="173" t="s">
        <v>812</v>
      </c>
      <c r="G7" s="173" t="str">
        <f t="shared" si="0"/>
        <v>https://ratings.fide.com/card.phtml?event=24132918</v>
      </c>
      <c r="H7" s="173" t="s">
        <v>813</v>
      </c>
      <c r="I7" s="116">
        <f>HYPERLINK("https://ratings.fide.com/card.phtml?event=24132918",24132918)</f>
        <v>24132918</v>
      </c>
      <c r="J7" s="176" t="s">
        <v>811</v>
      </c>
      <c r="K7" s="132" t="s">
        <v>596</v>
      </c>
      <c r="L7" s="132" t="s">
        <v>823</v>
      </c>
      <c r="M7" s="117" t="s">
        <v>645</v>
      </c>
      <c r="N7" s="132" t="s">
        <v>596</v>
      </c>
      <c r="O7" s="132" t="s">
        <v>826</v>
      </c>
      <c r="P7" s="118">
        <v>1961</v>
      </c>
      <c r="Q7" s="132" t="s">
        <v>596</v>
      </c>
      <c r="R7" s="132" t="s">
        <v>825</v>
      </c>
      <c r="S7" s="119" t="s">
        <v>641</v>
      </c>
      <c r="T7" s="132" t="s">
        <v>596</v>
      </c>
      <c r="U7" s="132" t="s">
        <v>819</v>
      </c>
      <c r="V7" s="118">
        <v>2320</v>
      </c>
      <c r="W7" s="132" t="s">
        <v>596</v>
      </c>
      <c r="X7" s="132" t="s">
        <v>820</v>
      </c>
      <c r="Y7" s="120" t="s">
        <v>641</v>
      </c>
      <c r="Z7" s="132" t="s">
        <v>596</v>
      </c>
      <c r="AA7" s="132" t="s">
        <v>819</v>
      </c>
      <c r="AB7" s="118">
        <v>2250</v>
      </c>
      <c r="AC7" s="132" t="s">
        <v>596</v>
      </c>
      <c r="AD7" s="132" t="s">
        <v>820</v>
      </c>
      <c r="AE7" s="120" t="s">
        <v>641</v>
      </c>
      <c r="AF7" s="132" t="s">
        <v>596</v>
      </c>
      <c r="AG7" s="132" t="s">
        <v>819</v>
      </c>
      <c r="AH7" s="118">
        <v>2355</v>
      </c>
      <c r="AI7" s="132" t="s">
        <v>596</v>
      </c>
      <c r="AJ7" s="132" t="s">
        <v>820</v>
      </c>
      <c r="AK7" s="120" t="s">
        <v>641</v>
      </c>
      <c r="AL7" s="132" t="s">
        <v>596</v>
      </c>
      <c r="AM7" s="131" t="s">
        <v>594</v>
      </c>
    </row>
    <row r="8" spans="1:39">
      <c r="A8" s="130" t="s">
        <v>746</v>
      </c>
      <c r="B8" s="130" t="s">
        <v>815</v>
      </c>
      <c r="C8" s="121">
        <f>+IFERROR(IF(SUBTOTAL(3,M8),C7+1,C7),1)</f>
        <v>6</v>
      </c>
      <c r="D8" s="132" t="s">
        <v>596</v>
      </c>
      <c r="E8" s="132" t="s">
        <v>817</v>
      </c>
      <c r="F8" s="173" t="s">
        <v>812</v>
      </c>
      <c r="G8" s="173" t="str">
        <f t="shared" si="0"/>
        <v>https://ratings.fide.com/card.phtml?event=34128384</v>
      </c>
      <c r="H8" s="173" t="s">
        <v>813</v>
      </c>
      <c r="I8" s="122">
        <f>HYPERLINK("https://ratings.fide.com/card.phtml?event=34128384",34128384)</f>
        <v>34128384</v>
      </c>
      <c r="J8" s="176" t="s">
        <v>811</v>
      </c>
      <c r="K8" s="132" t="s">
        <v>596</v>
      </c>
      <c r="L8" s="132" t="s">
        <v>823</v>
      </c>
      <c r="M8" s="123" t="s">
        <v>646</v>
      </c>
      <c r="N8" s="132" t="s">
        <v>596</v>
      </c>
      <c r="O8" s="132" t="s">
        <v>826</v>
      </c>
      <c r="P8" s="124">
        <v>1982</v>
      </c>
      <c r="Q8" s="132" t="s">
        <v>596</v>
      </c>
      <c r="R8" s="132" t="s">
        <v>825</v>
      </c>
      <c r="S8" s="127" t="s">
        <v>226</v>
      </c>
      <c r="T8" s="132" t="s">
        <v>596</v>
      </c>
      <c r="U8" s="132" t="s">
        <v>819</v>
      </c>
      <c r="V8" s="124">
        <v>2301</v>
      </c>
      <c r="W8" s="132" t="s">
        <v>596</v>
      </c>
      <c r="X8" s="132" t="s">
        <v>820</v>
      </c>
      <c r="Y8" s="126" t="s">
        <v>641</v>
      </c>
      <c r="Z8" s="132" t="s">
        <v>596</v>
      </c>
      <c r="AA8" s="132" t="s">
        <v>819</v>
      </c>
      <c r="AB8" s="124">
        <v>2401</v>
      </c>
      <c r="AC8" s="132" t="s">
        <v>596</v>
      </c>
      <c r="AD8" s="132" t="s">
        <v>820</v>
      </c>
      <c r="AE8" s="126">
        <v>25</v>
      </c>
      <c r="AF8" s="132" t="s">
        <v>596</v>
      </c>
      <c r="AG8" s="132" t="s">
        <v>819</v>
      </c>
      <c r="AH8" s="124">
        <v>2348</v>
      </c>
      <c r="AI8" s="132" t="s">
        <v>596</v>
      </c>
      <c r="AJ8" s="132" t="s">
        <v>820</v>
      </c>
      <c r="AK8" s="126">
        <v>-1</v>
      </c>
      <c r="AL8" s="132" t="s">
        <v>596</v>
      </c>
      <c r="AM8" s="131" t="s">
        <v>594</v>
      </c>
    </row>
    <row r="9" spans="1:39">
      <c r="A9" s="130" t="s">
        <v>746</v>
      </c>
      <c r="B9" s="130" t="s">
        <v>815</v>
      </c>
      <c r="C9" s="115">
        <f>+IFERROR(IF(SUBTOTAL(3,M9),C8+1,C8),1)</f>
        <v>7</v>
      </c>
      <c r="D9" s="132" t="s">
        <v>596</v>
      </c>
      <c r="E9" s="132" t="s">
        <v>817</v>
      </c>
      <c r="F9" s="173" t="s">
        <v>812</v>
      </c>
      <c r="G9" s="173" t="str">
        <f t="shared" si="0"/>
        <v>https://ratings.fide.com/card.phtml?event=4153820</v>
      </c>
      <c r="H9" s="173" t="s">
        <v>813</v>
      </c>
      <c r="I9" s="116">
        <f>HYPERLINK("https://ratings.fide.com/card.phtml?event=4153820",4153820)</f>
        <v>4153820</v>
      </c>
      <c r="J9" s="176" t="s">
        <v>811</v>
      </c>
      <c r="K9" s="132" t="s">
        <v>596</v>
      </c>
      <c r="L9" s="132" t="s">
        <v>823</v>
      </c>
      <c r="M9" s="117" t="s">
        <v>647</v>
      </c>
      <c r="N9" s="132" t="s">
        <v>596</v>
      </c>
      <c r="O9" s="132" t="s">
        <v>826</v>
      </c>
      <c r="P9" s="118">
        <v>1970</v>
      </c>
      <c r="Q9" s="132" t="s">
        <v>596</v>
      </c>
      <c r="R9" s="132" t="s">
        <v>825</v>
      </c>
      <c r="S9" s="119" t="s">
        <v>641</v>
      </c>
      <c r="T9" s="132" t="s">
        <v>596</v>
      </c>
      <c r="U9" s="132" t="s">
        <v>819</v>
      </c>
      <c r="V9" s="118">
        <v>2295</v>
      </c>
      <c r="W9" s="132" t="s">
        <v>596</v>
      </c>
      <c r="X9" s="132" t="s">
        <v>820</v>
      </c>
      <c r="Y9" s="120" t="s">
        <v>641</v>
      </c>
      <c r="Z9" s="132" t="s">
        <v>596</v>
      </c>
      <c r="AA9" s="132" t="s">
        <v>819</v>
      </c>
      <c r="AB9" s="118">
        <v>2289</v>
      </c>
      <c r="AC9" s="132" t="s">
        <v>596</v>
      </c>
      <c r="AD9" s="132" t="s">
        <v>820</v>
      </c>
      <c r="AE9" s="120" t="s">
        <v>641</v>
      </c>
      <c r="AF9" s="132" t="s">
        <v>596</v>
      </c>
      <c r="AG9" s="132" t="s">
        <v>819</v>
      </c>
      <c r="AH9" s="118">
        <v>2238</v>
      </c>
      <c r="AI9" s="132" t="s">
        <v>596</v>
      </c>
      <c r="AJ9" s="132" t="s">
        <v>820</v>
      </c>
      <c r="AK9" s="120" t="s">
        <v>641</v>
      </c>
      <c r="AL9" s="132" t="s">
        <v>596</v>
      </c>
      <c r="AM9" s="131" t="s">
        <v>594</v>
      </c>
    </row>
    <row r="10" spans="1:39">
      <c r="A10" s="130" t="s">
        <v>746</v>
      </c>
      <c r="B10" s="130" t="s">
        <v>815</v>
      </c>
      <c r="C10" s="121">
        <f>+IFERROR(IF(SUBTOTAL(3,M10),C9+1,C9),1)</f>
        <v>8</v>
      </c>
      <c r="D10" s="132" t="s">
        <v>596</v>
      </c>
      <c r="E10" s="132" t="s">
        <v>817</v>
      </c>
      <c r="F10" s="173" t="s">
        <v>812</v>
      </c>
      <c r="G10" s="173" t="str">
        <f t="shared" si="0"/>
        <v>https://ratings.fide.com/card.phtml?event=34101516</v>
      </c>
      <c r="H10" s="173" t="s">
        <v>813</v>
      </c>
      <c r="I10" s="122">
        <f>HYPERLINK("https://ratings.fide.com/card.phtml?event=34101516",34101516)</f>
        <v>34101516</v>
      </c>
      <c r="J10" s="176" t="s">
        <v>811</v>
      </c>
      <c r="K10" s="132" t="s">
        <v>596</v>
      </c>
      <c r="L10" s="132" t="s">
        <v>823</v>
      </c>
      <c r="M10" s="123" t="s">
        <v>648</v>
      </c>
      <c r="N10" s="132" t="s">
        <v>596</v>
      </c>
      <c r="O10" s="132" t="s">
        <v>826</v>
      </c>
      <c r="P10" s="124">
        <v>1978</v>
      </c>
      <c r="Q10" s="132" t="s">
        <v>596</v>
      </c>
      <c r="R10" s="132" t="s">
        <v>825</v>
      </c>
      <c r="S10" s="127" t="s">
        <v>226</v>
      </c>
      <c r="T10" s="132" t="s">
        <v>596</v>
      </c>
      <c r="U10" s="132" t="s">
        <v>819</v>
      </c>
      <c r="V10" s="124">
        <v>2298</v>
      </c>
      <c r="W10" s="132" t="s">
        <v>596</v>
      </c>
      <c r="X10" s="132" t="s">
        <v>820</v>
      </c>
      <c r="Y10" s="126" t="s">
        <v>641</v>
      </c>
      <c r="Z10" s="132" t="s">
        <v>596</v>
      </c>
      <c r="AA10" s="132" t="s">
        <v>819</v>
      </c>
      <c r="AB10" s="124">
        <v>2213</v>
      </c>
      <c r="AC10" s="132" t="s">
        <v>596</v>
      </c>
      <c r="AD10" s="132" t="s">
        <v>820</v>
      </c>
      <c r="AE10" s="126" t="s">
        <v>641</v>
      </c>
      <c r="AF10" s="132" t="s">
        <v>596</v>
      </c>
      <c r="AG10" s="132" t="s">
        <v>819</v>
      </c>
      <c r="AH10" s="124">
        <v>2130</v>
      </c>
      <c r="AI10" s="132" t="s">
        <v>596</v>
      </c>
      <c r="AJ10" s="132" t="s">
        <v>820</v>
      </c>
      <c r="AK10" s="126">
        <v>4</v>
      </c>
      <c r="AL10" s="132" t="s">
        <v>596</v>
      </c>
      <c r="AM10" s="131" t="s">
        <v>594</v>
      </c>
    </row>
    <row r="11" spans="1:39">
      <c r="A11" s="130" t="s">
        <v>746</v>
      </c>
      <c r="B11" s="130" t="s">
        <v>815</v>
      </c>
      <c r="C11" s="115">
        <f>+IFERROR(IF(SUBTOTAL(3,M11),C10+1,C10),1)</f>
        <v>9</v>
      </c>
      <c r="D11" s="132" t="s">
        <v>596</v>
      </c>
      <c r="E11" s="132" t="s">
        <v>817</v>
      </c>
      <c r="F11" s="173" t="s">
        <v>812</v>
      </c>
      <c r="G11" s="173" t="str">
        <f t="shared" si="0"/>
        <v>https://ratings.fide.com/card.phtml?event=24132853</v>
      </c>
      <c r="H11" s="173" t="s">
        <v>813</v>
      </c>
      <c r="I11" s="116">
        <f>HYPERLINK("https://ratings.fide.com/card.phtml?event=24132853",24132853)</f>
        <v>24132853</v>
      </c>
      <c r="J11" s="176" t="s">
        <v>811</v>
      </c>
      <c r="K11" s="132" t="s">
        <v>596</v>
      </c>
      <c r="L11" s="132" t="s">
        <v>823</v>
      </c>
      <c r="M11" s="117" t="s">
        <v>649</v>
      </c>
      <c r="N11" s="132" t="s">
        <v>596</v>
      </c>
      <c r="O11" s="132" t="s">
        <v>826</v>
      </c>
      <c r="P11" s="118">
        <v>1986</v>
      </c>
      <c r="Q11" s="132" t="s">
        <v>596</v>
      </c>
      <c r="R11" s="132" t="s">
        <v>825</v>
      </c>
      <c r="S11" s="119" t="s">
        <v>291</v>
      </c>
      <c r="T11" s="132" t="s">
        <v>596</v>
      </c>
      <c r="U11" s="132" t="s">
        <v>819</v>
      </c>
      <c r="V11" s="118">
        <v>2269</v>
      </c>
      <c r="W11" s="132" t="s">
        <v>596</v>
      </c>
      <c r="X11" s="132" t="s">
        <v>820</v>
      </c>
      <c r="Y11" s="120" t="s">
        <v>641</v>
      </c>
      <c r="Z11" s="132" t="s">
        <v>596</v>
      </c>
      <c r="AA11" s="132" t="s">
        <v>819</v>
      </c>
      <c r="AB11" s="118">
        <v>2302</v>
      </c>
      <c r="AC11" s="132" t="s">
        <v>596</v>
      </c>
      <c r="AD11" s="132" t="s">
        <v>820</v>
      </c>
      <c r="AE11" s="120" t="s">
        <v>641</v>
      </c>
      <c r="AF11" s="132" t="s">
        <v>596</v>
      </c>
      <c r="AG11" s="132" t="s">
        <v>819</v>
      </c>
      <c r="AH11" s="118">
        <v>0</v>
      </c>
      <c r="AI11" s="132" t="s">
        <v>596</v>
      </c>
      <c r="AJ11" s="132" t="s">
        <v>820</v>
      </c>
      <c r="AK11" s="120" t="s">
        <v>641</v>
      </c>
      <c r="AL11" s="132" t="s">
        <v>596</v>
      </c>
      <c r="AM11" s="131" t="s">
        <v>594</v>
      </c>
    </row>
    <row r="12" spans="1:39">
      <c r="A12" s="130" t="s">
        <v>746</v>
      </c>
      <c r="B12" s="130" t="s">
        <v>815</v>
      </c>
      <c r="C12" s="121">
        <f>+IFERROR(IF(SUBTOTAL(3,M12),C11+1,C11),1)</f>
        <v>10</v>
      </c>
      <c r="D12" s="132" t="s">
        <v>596</v>
      </c>
      <c r="E12" s="132" t="s">
        <v>817</v>
      </c>
      <c r="F12" s="173" t="s">
        <v>812</v>
      </c>
      <c r="G12" s="173" t="str">
        <f t="shared" si="0"/>
        <v>https://ratings.fide.com/card.phtml?event=34185949</v>
      </c>
      <c r="H12" s="173" t="s">
        <v>813</v>
      </c>
      <c r="I12" s="122">
        <f>HYPERLINK("https://ratings.fide.com/card.phtml?event=34185949",34185949)</f>
        <v>34185949</v>
      </c>
      <c r="J12" s="176" t="s">
        <v>811</v>
      </c>
      <c r="K12" s="132" t="s">
        <v>596</v>
      </c>
      <c r="L12" s="132" t="s">
        <v>823</v>
      </c>
      <c r="M12" s="123" t="s">
        <v>650</v>
      </c>
      <c r="N12" s="132" t="s">
        <v>596</v>
      </c>
      <c r="O12" s="132" t="s">
        <v>826</v>
      </c>
      <c r="P12" s="124">
        <v>1998</v>
      </c>
      <c r="Q12" s="132" t="s">
        <v>596</v>
      </c>
      <c r="R12" s="132" t="s">
        <v>825</v>
      </c>
      <c r="S12" s="125" t="s">
        <v>786</v>
      </c>
      <c r="T12" s="132" t="s">
        <v>596</v>
      </c>
      <c r="U12" s="132" t="s">
        <v>819</v>
      </c>
      <c r="V12" s="124">
        <v>2165</v>
      </c>
      <c r="W12" s="132" t="s">
        <v>596</v>
      </c>
      <c r="X12" s="132" t="s">
        <v>820</v>
      </c>
      <c r="Y12" s="126" t="s">
        <v>641</v>
      </c>
      <c r="Z12" s="132" t="s">
        <v>596</v>
      </c>
      <c r="AA12" s="132" t="s">
        <v>819</v>
      </c>
      <c r="AB12" s="124">
        <v>2179</v>
      </c>
      <c r="AC12" s="132" t="s">
        <v>596</v>
      </c>
      <c r="AD12" s="132" t="s">
        <v>820</v>
      </c>
      <c r="AE12" s="126" t="s">
        <v>641</v>
      </c>
      <c r="AF12" s="132" t="s">
        <v>596</v>
      </c>
      <c r="AG12" s="132" t="s">
        <v>819</v>
      </c>
      <c r="AH12" s="124">
        <v>2169</v>
      </c>
      <c r="AI12" s="132" t="s">
        <v>596</v>
      </c>
      <c r="AJ12" s="132" t="s">
        <v>820</v>
      </c>
      <c r="AK12" s="126">
        <v>-46</v>
      </c>
      <c r="AL12" s="132" t="s">
        <v>596</v>
      </c>
      <c r="AM12" s="131" t="s">
        <v>594</v>
      </c>
    </row>
    <row r="13" spans="1:39">
      <c r="A13" s="130" t="s">
        <v>746</v>
      </c>
      <c r="B13" s="130" t="s">
        <v>815</v>
      </c>
      <c r="C13" s="115">
        <f>+IFERROR(IF(SUBTOTAL(3,M13),C12+1,C12),1)</f>
        <v>11</v>
      </c>
      <c r="D13" s="132" t="s">
        <v>596</v>
      </c>
      <c r="E13" s="132" t="s">
        <v>817</v>
      </c>
      <c r="F13" s="173" t="s">
        <v>812</v>
      </c>
      <c r="G13" s="173" t="str">
        <f t="shared" si="0"/>
        <v>https://ratings.fide.com/card.phtml?event=4152492</v>
      </c>
      <c r="H13" s="173" t="s">
        <v>813</v>
      </c>
      <c r="I13" s="116">
        <f>HYPERLINK("https://ratings.fide.com/card.phtml?event=4152492",4152492)</f>
        <v>4152492</v>
      </c>
      <c r="J13" s="176" t="s">
        <v>811</v>
      </c>
      <c r="K13" s="132" t="s">
        <v>596</v>
      </c>
      <c r="L13" s="132" t="s">
        <v>823</v>
      </c>
      <c r="M13" s="117" t="s">
        <v>651</v>
      </c>
      <c r="N13" s="132" t="s">
        <v>596</v>
      </c>
      <c r="O13" s="132" t="s">
        <v>826</v>
      </c>
      <c r="P13" s="118">
        <v>1958</v>
      </c>
      <c r="Q13" s="132" t="s">
        <v>596</v>
      </c>
      <c r="R13" s="132" t="s">
        <v>825</v>
      </c>
      <c r="S13" s="128" t="s">
        <v>226</v>
      </c>
      <c r="T13" s="132" t="s">
        <v>596</v>
      </c>
      <c r="U13" s="132" t="s">
        <v>819</v>
      </c>
      <c r="V13" s="118">
        <v>2314</v>
      </c>
      <c r="W13" s="132" t="s">
        <v>596</v>
      </c>
      <c r="X13" s="132" t="s">
        <v>820</v>
      </c>
      <c r="Y13" s="120" t="s">
        <v>641</v>
      </c>
      <c r="Z13" s="132" t="s">
        <v>596</v>
      </c>
      <c r="AA13" s="132" t="s">
        <v>819</v>
      </c>
      <c r="AB13" s="118">
        <v>2000</v>
      </c>
      <c r="AC13" s="132" t="s">
        <v>596</v>
      </c>
      <c r="AD13" s="132" t="s">
        <v>820</v>
      </c>
      <c r="AE13" s="120">
        <v>-13</v>
      </c>
      <c r="AF13" s="132" t="s">
        <v>596</v>
      </c>
      <c r="AG13" s="132" t="s">
        <v>819</v>
      </c>
      <c r="AH13" s="118">
        <v>2037</v>
      </c>
      <c r="AI13" s="132" t="s">
        <v>596</v>
      </c>
      <c r="AJ13" s="132" t="s">
        <v>820</v>
      </c>
      <c r="AK13" s="120">
        <v>85</v>
      </c>
      <c r="AL13" s="132" t="s">
        <v>596</v>
      </c>
      <c r="AM13" s="131" t="s">
        <v>594</v>
      </c>
    </row>
    <row r="14" spans="1:39">
      <c r="A14" s="130" t="s">
        <v>746</v>
      </c>
      <c r="B14" s="130" t="s">
        <v>815</v>
      </c>
      <c r="C14" s="121">
        <f>+IFERROR(IF(SUBTOTAL(3,M14),C13+1,C13),1)</f>
        <v>12</v>
      </c>
      <c r="D14" s="132" t="s">
        <v>596</v>
      </c>
      <c r="E14" s="132" t="s">
        <v>817</v>
      </c>
      <c r="F14" s="173" t="s">
        <v>812</v>
      </c>
      <c r="G14" s="173" t="str">
        <f t="shared" si="0"/>
        <v>https://ratings.fide.com/card.phtml?event=4136551</v>
      </c>
      <c r="H14" s="173" t="s">
        <v>813</v>
      </c>
      <c r="I14" s="122">
        <f>HYPERLINK("https://ratings.fide.com/card.phtml?event=4136551",4136551)</f>
        <v>4136551</v>
      </c>
      <c r="J14" s="176" t="s">
        <v>811</v>
      </c>
      <c r="K14" s="132" t="s">
        <v>596</v>
      </c>
      <c r="L14" s="132" t="s">
        <v>823</v>
      </c>
      <c r="M14" s="123" t="s">
        <v>652</v>
      </c>
      <c r="N14" s="132" t="s">
        <v>596</v>
      </c>
      <c r="O14" s="132" t="s">
        <v>826</v>
      </c>
      <c r="P14" s="124">
        <v>1962</v>
      </c>
      <c r="Q14" s="132" t="s">
        <v>596</v>
      </c>
      <c r="R14" s="132" t="s">
        <v>825</v>
      </c>
      <c r="S14" s="127" t="s">
        <v>281</v>
      </c>
      <c r="T14" s="132" t="s">
        <v>596</v>
      </c>
      <c r="U14" s="132" t="s">
        <v>819</v>
      </c>
      <c r="V14" s="124">
        <v>2229</v>
      </c>
      <c r="W14" s="132" t="s">
        <v>596</v>
      </c>
      <c r="X14" s="132" t="s">
        <v>820</v>
      </c>
      <c r="Y14" s="126" t="s">
        <v>641</v>
      </c>
      <c r="Z14" s="132" t="s">
        <v>596</v>
      </c>
      <c r="AA14" s="132" t="s">
        <v>819</v>
      </c>
      <c r="AB14" s="124">
        <v>0</v>
      </c>
      <c r="AC14" s="132" t="s">
        <v>596</v>
      </c>
      <c r="AD14" s="132" t="s">
        <v>820</v>
      </c>
      <c r="AE14" s="126" t="s">
        <v>641</v>
      </c>
      <c r="AF14" s="132" t="s">
        <v>596</v>
      </c>
      <c r="AG14" s="132" t="s">
        <v>819</v>
      </c>
      <c r="AH14" s="124">
        <v>2244</v>
      </c>
      <c r="AI14" s="132" t="s">
        <v>596</v>
      </c>
      <c r="AJ14" s="132" t="s">
        <v>820</v>
      </c>
      <c r="AK14" s="126" t="s">
        <v>641</v>
      </c>
      <c r="AL14" s="132" t="s">
        <v>596</v>
      </c>
      <c r="AM14" s="131" t="s">
        <v>594</v>
      </c>
    </row>
    <row r="15" spans="1:39">
      <c r="A15" s="130" t="s">
        <v>746</v>
      </c>
      <c r="B15" s="130" t="s">
        <v>815</v>
      </c>
      <c r="C15" s="115">
        <f>+IFERROR(IF(SUBTOTAL(3,M15),C14+1,C14),1)</f>
        <v>13</v>
      </c>
      <c r="D15" s="132" t="s">
        <v>596</v>
      </c>
      <c r="E15" s="132" t="s">
        <v>817</v>
      </c>
      <c r="F15" s="173" t="s">
        <v>812</v>
      </c>
      <c r="G15" s="173" t="str">
        <f t="shared" si="0"/>
        <v>https://ratings.fide.com/card.phtml?event=24126829</v>
      </c>
      <c r="H15" s="173" t="s">
        <v>813</v>
      </c>
      <c r="I15" s="116">
        <f>HYPERLINK("https://ratings.fide.com/card.phtml?event=24126829",24126829)</f>
        <v>24126829</v>
      </c>
      <c r="J15" s="176" t="s">
        <v>811</v>
      </c>
      <c r="K15" s="132" t="s">
        <v>596</v>
      </c>
      <c r="L15" s="132" t="s">
        <v>823</v>
      </c>
      <c r="M15" s="117" t="s">
        <v>653</v>
      </c>
      <c r="N15" s="132" t="s">
        <v>596</v>
      </c>
      <c r="O15" s="132" t="s">
        <v>826</v>
      </c>
      <c r="P15" s="118">
        <v>1968</v>
      </c>
      <c r="Q15" s="132" t="s">
        <v>596</v>
      </c>
      <c r="R15" s="132" t="s">
        <v>825</v>
      </c>
      <c r="S15" s="119" t="s">
        <v>226</v>
      </c>
      <c r="T15" s="132" t="s">
        <v>596</v>
      </c>
      <c r="U15" s="132" t="s">
        <v>819</v>
      </c>
      <c r="V15" s="118">
        <v>2187</v>
      </c>
      <c r="W15" s="132" t="s">
        <v>596</v>
      </c>
      <c r="X15" s="132" t="s">
        <v>820</v>
      </c>
      <c r="Y15" s="120" t="s">
        <v>641</v>
      </c>
      <c r="Z15" s="132" t="s">
        <v>596</v>
      </c>
      <c r="AA15" s="132" t="s">
        <v>819</v>
      </c>
      <c r="AB15" s="118">
        <v>2091</v>
      </c>
      <c r="AC15" s="132" t="s">
        <v>596</v>
      </c>
      <c r="AD15" s="132" t="s">
        <v>820</v>
      </c>
      <c r="AE15" s="120" t="s">
        <v>641</v>
      </c>
      <c r="AF15" s="132" t="s">
        <v>596</v>
      </c>
      <c r="AG15" s="132" t="s">
        <v>819</v>
      </c>
      <c r="AH15" s="118">
        <v>2091</v>
      </c>
      <c r="AI15" s="132" t="s">
        <v>596</v>
      </c>
      <c r="AJ15" s="132" t="s">
        <v>820</v>
      </c>
      <c r="AK15" s="120" t="s">
        <v>641</v>
      </c>
      <c r="AL15" s="132" t="s">
        <v>596</v>
      </c>
      <c r="AM15" s="131" t="s">
        <v>594</v>
      </c>
    </row>
    <row r="16" spans="1:39">
      <c r="A16" s="130" t="s">
        <v>746</v>
      </c>
      <c r="B16" s="130" t="s">
        <v>815</v>
      </c>
      <c r="C16" s="121">
        <f>+IFERROR(IF(SUBTOTAL(3,M16),C15+1,C15),1)</f>
        <v>14</v>
      </c>
      <c r="D16" s="132" t="s">
        <v>596</v>
      </c>
      <c r="E16" s="132" t="s">
        <v>817</v>
      </c>
      <c r="F16" s="173" t="s">
        <v>812</v>
      </c>
      <c r="G16" s="173" t="str">
        <f t="shared" si="0"/>
        <v>https://ratings.fide.com/card.phtml?event=4179617</v>
      </c>
      <c r="H16" s="173" t="s">
        <v>813</v>
      </c>
      <c r="I16" s="122">
        <f>HYPERLINK("https://ratings.fide.com/card.phtml?event=4179617",4179617)</f>
        <v>4179617</v>
      </c>
      <c r="J16" s="176" t="s">
        <v>811</v>
      </c>
      <c r="K16" s="132" t="s">
        <v>596</v>
      </c>
      <c r="L16" s="132" t="s">
        <v>823</v>
      </c>
      <c r="M16" s="123" t="s">
        <v>654</v>
      </c>
      <c r="N16" s="132" t="s">
        <v>596</v>
      </c>
      <c r="O16" s="132" t="s">
        <v>826</v>
      </c>
      <c r="P16" s="124">
        <v>1967</v>
      </c>
      <c r="Q16" s="132" t="s">
        <v>596</v>
      </c>
      <c r="R16" s="132" t="s">
        <v>825</v>
      </c>
      <c r="S16" s="127" t="s">
        <v>226</v>
      </c>
      <c r="T16" s="132" t="s">
        <v>596</v>
      </c>
      <c r="U16" s="132" t="s">
        <v>819</v>
      </c>
      <c r="V16" s="124">
        <v>2321</v>
      </c>
      <c r="W16" s="132" t="s">
        <v>596</v>
      </c>
      <c r="X16" s="132" t="s">
        <v>820</v>
      </c>
      <c r="Y16" s="126" t="s">
        <v>641</v>
      </c>
      <c r="Z16" s="132" t="s">
        <v>596</v>
      </c>
      <c r="AA16" s="132" t="s">
        <v>819</v>
      </c>
      <c r="AB16" s="124">
        <v>2258</v>
      </c>
      <c r="AC16" s="132" t="s">
        <v>596</v>
      </c>
      <c r="AD16" s="132" t="s">
        <v>820</v>
      </c>
      <c r="AE16" s="126" t="s">
        <v>641</v>
      </c>
      <c r="AF16" s="132" t="s">
        <v>596</v>
      </c>
      <c r="AG16" s="132" t="s">
        <v>819</v>
      </c>
      <c r="AH16" s="124">
        <v>2203</v>
      </c>
      <c r="AI16" s="132" t="s">
        <v>596</v>
      </c>
      <c r="AJ16" s="132" t="s">
        <v>820</v>
      </c>
      <c r="AK16" s="126" t="s">
        <v>641</v>
      </c>
      <c r="AL16" s="132" t="s">
        <v>596</v>
      </c>
      <c r="AM16" s="131" t="s">
        <v>594</v>
      </c>
    </row>
    <row r="17" spans="1:39">
      <c r="A17" s="130" t="s">
        <v>746</v>
      </c>
      <c r="B17" s="130" t="s">
        <v>815</v>
      </c>
      <c r="C17" s="115">
        <f>+IFERROR(IF(SUBTOTAL(3,M17),C16+1,C16),1)</f>
        <v>15</v>
      </c>
      <c r="D17" s="132" t="s">
        <v>596</v>
      </c>
      <c r="E17" s="132" t="s">
        <v>817</v>
      </c>
      <c r="F17" s="173" t="s">
        <v>812</v>
      </c>
      <c r="G17" s="173" t="str">
        <f t="shared" si="0"/>
        <v>https://ratings.fide.com/card.phtml?event=24141739</v>
      </c>
      <c r="H17" s="173" t="s">
        <v>813</v>
      </c>
      <c r="I17" s="116">
        <f>HYPERLINK("https://ratings.fide.com/card.phtml?event=24141739",24141739)</f>
        <v>24141739</v>
      </c>
      <c r="J17" s="176" t="s">
        <v>811</v>
      </c>
      <c r="K17" s="132" t="s">
        <v>596</v>
      </c>
      <c r="L17" s="132" t="s">
        <v>823</v>
      </c>
      <c r="M17" s="117" t="s">
        <v>655</v>
      </c>
      <c r="N17" s="132" t="s">
        <v>596</v>
      </c>
      <c r="O17" s="132" t="s">
        <v>826</v>
      </c>
      <c r="P17" s="118">
        <v>1969</v>
      </c>
      <c r="Q17" s="132" t="s">
        <v>596</v>
      </c>
      <c r="R17" s="132" t="s">
        <v>825</v>
      </c>
      <c r="S17" s="119" t="s">
        <v>641</v>
      </c>
      <c r="T17" s="132" t="s">
        <v>596</v>
      </c>
      <c r="U17" s="132" t="s">
        <v>819</v>
      </c>
      <c r="V17" s="118">
        <v>2174</v>
      </c>
      <c r="W17" s="132" t="s">
        <v>596</v>
      </c>
      <c r="X17" s="132" t="s">
        <v>820</v>
      </c>
      <c r="Y17" s="120" t="s">
        <v>641</v>
      </c>
      <c r="Z17" s="132" t="s">
        <v>596</v>
      </c>
      <c r="AA17" s="132" t="s">
        <v>819</v>
      </c>
      <c r="AB17" s="118">
        <v>2162</v>
      </c>
      <c r="AC17" s="132" t="s">
        <v>596</v>
      </c>
      <c r="AD17" s="132" t="s">
        <v>820</v>
      </c>
      <c r="AE17" s="120" t="s">
        <v>641</v>
      </c>
      <c r="AF17" s="132" t="s">
        <v>596</v>
      </c>
      <c r="AG17" s="132" t="s">
        <v>819</v>
      </c>
      <c r="AH17" s="118">
        <v>2205</v>
      </c>
      <c r="AI17" s="132" t="s">
        <v>596</v>
      </c>
      <c r="AJ17" s="132" t="s">
        <v>820</v>
      </c>
      <c r="AK17" s="120" t="s">
        <v>641</v>
      </c>
      <c r="AL17" s="132" t="s">
        <v>596</v>
      </c>
      <c r="AM17" s="131" t="s">
        <v>594</v>
      </c>
    </row>
    <row r="18" spans="1:39">
      <c r="A18" s="130" t="s">
        <v>746</v>
      </c>
      <c r="B18" s="130" t="s">
        <v>815</v>
      </c>
      <c r="C18" s="121">
        <f>+IFERROR(IF(SUBTOTAL(3,M18),C17+1,C17),1)</f>
        <v>16</v>
      </c>
      <c r="D18" s="132" t="s">
        <v>596</v>
      </c>
      <c r="E18" s="132" t="s">
        <v>817</v>
      </c>
      <c r="F18" s="173" t="s">
        <v>812</v>
      </c>
      <c r="G18" s="173" t="str">
        <f t="shared" si="0"/>
        <v>https://ratings.fide.com/card.phtml?event=24159620</v>
      </c>
      <c r="H18" s="173" t="s">
        <v>813</v>
      </c>
      <c r="I18" s="122">
        <f>HYPERLINK("https://ratings.fide.com/card.phtml?event=24159620",24159620)</f>
        <v>24159620</v>
      </c>
      <c r="J18" s="176" t="s">
        <v>811</v>
      </c>
      <c r="K18" s="132" t="s">
        <v>596</v>
      </c>
      <c r="L18" s="132" t="s">
        <v>823</v>
      </c>
      <c r="M18" s="123" t="s">
        <v>656</v>
      </c>
      <c r="N18" s="132" t="s">
        <v>596</v>
      </c>
      <c r="O18" s="132" t="s">
        <v>826</v>
      </c>
      <c r="P18" s="124">
        <v>1997</v>
      </c>
      <c r="Q18" s="132" t="s">
        <v>596</v>
      </c>
      <c r="R18" s="132" t="s">
        <v>825</v>
      </c>
      <c r="S18" s="125" t="s">
        <v>226</v>
      </c>
      <c r="T18" s="132" t="s">
        <v>596</v>
      </c>
      <c r="U18" s="132" t="s">
        <v>819</v>
      </c>
      <c r="V18" s="124">
        <v>2159</v>
      </c>
      <c r="W18" s="132" t="s">
        <v>596</v>
      </c>
      <c r="X18" s="132" t="s">
        <v>820</v>
      </c>
      <c r="Y18" s="126" t="s">
        <v>641</v>
      </c>
      <c r="Z18" s="132" t="s">
        <v>596</v>
      </c>
      <c r="AA18" s="132" t="s">
        <v>819</v>
      </c>
      <c r="AB18" s="124">
        <v>2066</v>
      </c>
      <c r="AC18" s="132" t="s">
        <v>596</v>
      </c>
      <c r="AD18" s="132" t="s">
        <v>820</v>
      </c>
      <c r="AE18" s="126" t="s">
        <v>641</v>
      </c>
      <c r="AF18" s="132" t="s">
        <v>596</v>
      </c>
      <c r="AG18" s="132" t="s">
        <v>819</v>
      </c>
      <c r="AH18" s="124">
        <v>2014</v>
      </c>
      <c r="AI18" s="132" t="s">
        <v>596</v>
      </c>
      <c r="AJ18" s="132" t="s">
        <v>820</v>
      </c>
      <c r="AK18" s="126" t="s">
        <v>641</v>
      </c>
      <c r="AL18" s="132" t="s">
        <v>596</v>
      </c>
      <c r="AM18" s="131" t="s">
        <v>594</v>
      </c>
    </row>
    <row r="19" spans="1:39">
      <c r="A19" s="130" t="s">
        <v>746</v>
      </c>
      <c r="B19" s="130" t="s">
        <v>815</v>
      </c>
      <c r="C19" s="115">
        <f>+IFERROR(IF(SUBTOTAL(3,M19),C18+1,C18),1)</f>
        <v>17</v>
      </c>
      <c r="D19" s="132" t="s">
        <v>596</v>
      </c>
      <c r="E19" s="132" t="s">
        <v>817</v>
      </c>
      <c r="F19" s="173" t="s">
        <v>812</v>
      </c>
      <c r="G19" s="173" t="str">
        <f t="shared" si="0"/>
        <v>https://ratings.fide.com/card.phtml?event=4124073</v>
      </c>
      <c r="H19" s="173" t="s">
        <v>813</v>
      </c>
      <c r="I19" s="116">
        <f>HYPERLINK("https://ratings.fide.com/card.phtml?event=4124073",4124073)</f>
        <v>4124073</v>
      </c>
      <c r="J19" s="176" t="s">
        <v>811</v>
      </c>
      <c r="K19" s="132" t="s">
        <v>596</v>
      </c>
      <c r="L19" s="132" t="s">
        <v>823</v>
      </c>
      <c r="M19" s="117" t="s">
        <v>657</v>
      </c>
      <c r="N19" s="132" t="s">
        <v>596</v>
      </c>
      <c r="O19" s="132" t="s">
        <v>826</v>
      </c>
      <c r="P19" s="118">
        <v>1974</v>
      </c>
      <c r="Q19" s="132" t="s">
        <v>596</v>
      </c>
      <c r="R19" s="132" t="s">
        <v>825</v>
      </c>
      <c r="S19" s="128" t="s">
        <v>226</v>
      </c>
      <c r="T19" s="132" t="s">
        <v>596</v>
      </c>
      <c r="U19" s="132" t="s">
        <v>819</v>
      </c>
      <c r="V19" s="118">
        <v>2285</v>
      </c>
      <c r="W19" s="132" t="s">
        <v>596</v>
      </c>
      <c r="X19" s="132" t="s">
        <v>820</v>
      </c>
      <c r="Y19" s="120" t="s">
        <v>641</v>
      </c>
      <c r="Z19" s="132" t="s">
        <v>596</v>
      </c>
      <c r="AA19" s="132" t="s">
        <v>819</v>
      </c>
      <c r="AB19" s="118">
        <v>2257</v>
      </c>
      <c r="AC19" s="132" t="s">
        <v>596</v>
      </c>
      <c r="AD19" s="132" t="s">
        <v>820</v>
      </c>
      <c r="AE19" s="120" t="s">
        <v>641</v>
      </c>
      <c r="AF19" s="132" t="s">
        <v>596</v>
      </c>
      <c r="AG19" s="132" t="s">
        <v>819</v>
      </c>
      <c r="AH19" s="118">
        <v>2254</v>
      </c>
      <c r="AI19" s="132" t="s">
        <v>596</v>
      </c>
      <c r="AJ19" s="132" t="s">
        <v>820</v>
      </c>
      <c r="AK19" s="120" t="s">
        <v>641</v>
      </c>
      <c r="AL19" s="132" t="s">
        <v>596</v>
      </c>
      <c r="AM19" s="131" t="s">
        <v>594</v>
      </c>
    </row>
    <row r="20" spans="1:39">
      <c r="A20" s="130" t="s">
        <v>746</v>
      </c>
      <c r="B20" s="130" t="s">
        <v>815</v>
      </c>
      <c r="C20" s="121">
        <f>+IFERROR(IF(SUBTOTAL(3,M20),C19+1,C19),1)</f>
        <v>18</v>
      </c>
      <c r="D20" s="132" t="s">
        <v>596</v>
      </c>
      <c r="E20" s="132" t="s">
        <v>817</v>
      </c>
      <c r="F20" s="173" t="s">
        <v>812</v>
      </c>
      <c r="G20" s="173" t="str">
        <f t="shared" si="0"/>
        <v>https://ratings.fide.com/card.phtml?event=24160903</v>
      </c>
      <c r="H20" s="173" t="s">
        <v>813</v>
      </c>
      <c r="I20" s="122">
        <f>HYPERLINK("https://ratings.fide.com/card.phtml?event=24160903",24160903)</f>
        <v>24160903</v>
      </c>
      <c r="J20" s="176" t="s">
        <v>811</v>
      </c>
      <c r="K20" s="132" t="s">
        <v>596</v>
      </c>
      <c r="L20" s="132" t="s">
        <v>823</v>
      </c>
      <c r="M20" s="123" t="s">
        <v>658</v>
      </c>
      <c r="N20" s="132" t="s">
        <v>596</v>
      </c>
      <c r="O20" s="132" t="s">
        <v>826</v>
      </c>
      <c r="P20" s="124">
        <v>1998</v>
      </c>
      <c r="Q20" s="132" t="s">
        <v>596</v>
      </c>
      <c r="R20" s="132" t="s">
        <v>825</v>
      </c>
      <c r="S20" s="125" t="s">
        <v>226</v>
      </c>
      <c r="T20" s="132" t="s">
        <v>596</v>
      </c>
      <c r="U20" s="132" t="s">
        <v>819</v>
      </c>
      <c r="V20" s="124">
        <v>2163</v>
      </c>
      <c r="W20" s="132" t="s">
        <v>596</v>
      </c>
      <c r="X20" s="132" t="s">
        <v>820</v>
      </c>
      <c r="Y20" s="126" t="s">
        <v>641</v>
      </c>
      <c r="Z20" s="132" t="s">
        <v>596</v>
      </c>
      <c r="AA20" s="132" t="s">
        <v>819</v>
      </c>
      <c r="AB20" s="124">
        <v>2059</v>
      </c>
      <c r="AC20" s="132" t="s">
        <v>596</v>
      </c>
      <c r="AD20" s="132" t="s">
        <v>820</v>
      </c>
      <c r="AE20" s="126" t="s">
        <v>641</v>
      </c>
      <c r="AF20" s="132" t="s">
        <v>596</v>
      </c>
      <c r="AG20" s="132" t="s">
        <v>819</v>
      </c>
      <c r="AH20" s="124">
        <v>2085</v>
      </c>
      <c r="AI20" s="132" t="s">
        <v>596</v>
      </c>
      <c r="AJ20" s="132" t="s">
        <v>820</v>
      </c>
      <c r="AK20" s="126" t="s">
        <v>641</v>
      </c>
      <c r="AL20" s="132" t="s">
        <v>596</v>
      </c>
      <c r="AM20" s="131" t="s">
        <v>594</v>
      </c>
    </row>
    <row r="21" spans="1:39">
      <c r="A21" s="130" t="s">
        <v>746</v>
      </c>
      <c r="B21" s="130" t="s">
        <v>815</v>
      </c>
      <c r="C21" s="115">
        <f>+IFERROR(IF(SUBTOTAL(3,M21),C20+1,C20),1)</f>
        <v>19</v>
      </c>
      <c r="D21" s="132" t="s">
        <v>596</v>
      </c>
      <c r="E21" s="132" t="s">
        <v>817</v>
      </c>
      <c r="F21" s="173" t="s">
        <v>812</v>
      </c>
      <c r="G21" s="173" t="str">
        <f t="shared" si="0"/>
        <v>https://ratings.fide.com/card.phtml?event=44130295</v>
      </c>
      <c r="H21" s="173" t="s">
        <v>813</v>
      </c>
      <c r="I21" s="116">
        <f>HYPERLINK("https://ratings.fide.com/card.phtml?event=44130295",44130295)</f>
        <v>44130295</v>
      </c>
      <c r="J21" s="176" t="s">
        <v>811</v>
      </c>
      <c r="K21" s="132" t="s">
        <v>596</v>
      </c>
      <c r="L21" s="132" t="s">
        <v>823</v>
      </c>
      <c r="M21" s="117" t="s">
        <v>659</v>
      </c>
      <c r="N21" s="132" t="s">
        <v>596</v>
      </c>
      <c r="O21" s="132" t="s">
        <v>826</v>
      </c>
      <c r="P21" s="118">
        <v>2004</v>
      </c>
      <c r="Q21" s="132" t="s">
        <v>596</v>
      </c>
      <c r="R21" s="132" t="s">
        <v>825</v>
      </c>
      <c r="S21" s="128" t="s">
        <v>281</v>
      </c>
      <c r="T21" s="132" t="s">
        <v>596</v>
      </c>
      <c r="U21" s="132" t="s">
        <v>819</v>
      </c>
      <c r="V21" s="118">
        <v>2097</v>
      </c>
      <c r="W21" s="132" t="s">
        <v>596</v>
      </c>
      <c r="X21" s="132" t="s">
        <v>820</v>
      </c>
      <c r="Y21" s="120" t="s">
        <v>641</v>
      </c>
      <c r="Z21" s="132" t="s">
        <v>596</v>
      </c>
      <c r="AA21" s="132" t="s">
        <v>819</v>
      </c>
      <c r="AB21" s="118">
        <v>2145</v>
      </c>
      <c r="AC21" s="132" t="s">
        <v>596</v>
      </c>
      <c r="AD21" s="132" t="s">
        <v>820</v>
      </c>
      <c r="AE21" s="120">
        <v>-40</v>
      </c>
      <c r="AF21" s="132" t="s">
        <v>596</v>
      </c>
      <c r="AG21" s="132" t="s">
        <v>819</v>
      </c>
      <c r="AH21" s="118">
        <v>2094</v>
      </c>
      <c r="AI21" s="132" t="s">
        <v>596</v>
      </c>
      <c r="AJ21" s="132" t="s">
        <v>820</v>
      </c>
      <c r="AK21" s="120">
        <v>-28</v>
      </c>
      <c r="AL21" s="132" t="s">
        <v>596</v>
      </c>
      <c r="AM21" s="131" t="s">
        <v>594</v>
      </c>
    </row>
    <row r="22" spans="1:39">
      <c r="A22" s="130" t="s">
        <v>746</v>
      </c>
      <c r="B22" s="130" t="s">
        <v>815</v>
      </c>
      <c r="C22" s="121">
        <f>+IFERROR(IF(SUBTOTAL(3,M22),C21+1,C21),1)</f>
        <v>20</v>
      </c>
      <c r="D22" s="132" t="s">
        <v>596</v>
      </c>
      <c r="E22" s="132" t="s">
        <v>817</v>
      </c>
      <c r="F22" s="173" t="s">
        <v>812</v>
      </c>
      <c r="G22" s="173" t="str">
        <f t="shared" si="0"/>
        <v>https://ratings.fide.com/card.phtml?event=</v>
      </c>
      <c r="H22" s="173" t="s">
        <v>813</v>
      </c>
      <c r="I22" s="122" t="s">
        <v>641</v>
      </c>
      <c r="J22" s="176" t="s">
        <v>811</v>
      </c>
      <c r="K22" s="132" t="s">
        <v>596</v>
      </c>
      <c r="L22" s="132" t="s">
        <v>823</v>
      </c>
      <c r="M22" s="123" t="s">
        <v>660</v>
      </c>
      <c r="N22" s="132" t="s">
        <v>596</v>
      </c>
      <c r="O22" s="132" t="s">
        <v>826</v>
      </c>
      <c r="P22" s="124">
        <v>1953</v>
      </c>
      <c r="Q22" s="132" t="s">
        <v>596</v>
      </c>
      <c r="R22" s="132" t="s">
        <v>825</v>
      </c>
      <c r="S22" s="127" t="s">
        <v>226</v>
      </c>
      <c r="T22" s="132" t="s">
        <v>596</v>
      </c>
      <c r="U22" s="132" t="s">
        <v>819</v>
      </c>
      <c r="V22" s="124">
        <v>0</v>
      </c>
      <c r="W22" s="132" t="s">
        <v>596</v>
      </c>
      <c r="X22" s="132" t="s">
        <v>820</v>
      </c>
      <c r="Y22" s="126" t="s">
        <v>641</v>
      </c>
      <c r="Z22" s="132" t="s">
        <v>596</v>
      </c>
      <c r="AA22" s="132" t="s">
        <v>819</v>
      </c>
      <c r="AB22" s="124">
        <v>0</v>
      </c>
      <c r="AC22" s="132" t="s">
        <v>596</v>
      </c>
      <c r="AD22" s="132" t="s">
        <v>820</v>
      </c>
      <c r="AE22" s="126" t="s">
        <v>641</v>
      </c>
      <c r="AF22" s="132" t="s">
        <v>596</v>
      </c>
      <c r="AG22" s="132" t="s">
        <v>819</v>
      </c>
      <c r="AH22" s="124">
        <v>0</v>
      </c>
      <c r="AI22" s="132" t="s">
        <v>596</v>
      </c>
      <c r="AJ22" s="132" t="s">
        <v>820</v>
      </c>
      <c r="AK22" s="126" t="s">
        <v>641</v>
      </c>
      <c r="AL22" s="132" t="s">
        <v>596</v>
      </c>
      <c r="AM22" s="131" t="s">
        <v>594</v>
      </c>
    </row>
    <row r="23" spans="1:39">
      <c r="A23" s="130" t="s">
        <v>746</v>
      </c>
      <c r="B23" s="130" t="s">
        <v>815</v>
      </c>
      <c r="C23" s="115">
        <f>+IFERROR(IF(SUBTOTAL(3,M23),C22+1,C22),1)</f>
        <v>21</v>
      </c>
      <c r="D23" s="132" t="s">
        <v>596</v>
      </c>
      <c r="E23" s="132" t="s">
        <v>817</v>
      </c>
      <c r="F23" s="173" t="s">
        <v>812</v>
      </c>
      <c r="G23" s="173" t="str">
        <f t="shared" si="0"/>
        <v>https://ratings.fide.com/card.phtml?event=34148237</v>
      </c>
      <c r="H23" s="173" t="s">
        <v>813</v>
      </c>
      <c r="I23" s="116">
        <f>HYPERLINK("https://ratings.fide.com/card.phtml?event=34148237",34148237)</f>
        <v>34148237</v>
      </c>
      <c r="J23" s="176" t="s">
        <v>811</v>
      </c>
      <c r="K23" s="132" t="s">
        <v>596</v>
      </c>
      <c r="L23" s="132" t="s">
        <v>823</v>
      </c>
      <c r="M23" s="117" t="s">
        <v>661</v>
      </c>
      <c r="N23" s="132" t="s">
        <v>596</v>
      </c>
      <c r="O23" s="132" t="s">
        <v>826</v>
      </c>
      <c r="P23" s="118">
        <v>1960</v>
      </c>
      <c r="Q23" s="132" t="s">
        <v>596</v>
      </c>
      <c r="R23" s="132" t="s">
        <v>825</v>
      </c>
      <c r="S23" s="128" t="s">
        <v>281</v>
      </c>
      <c r="T23" s="132" t="s">
        <v>596</v>
      </c>
      <c r="U23" s="132" t="s">
        <v>819</v>
      </c>
      <c r="V23" s="118">
        <v>0</v>
      </c>
      <c r="W23" s="132" t="s">
        <v>596</v>
      </c>
      <c r="X23" s="132" t="s">
        <v>820</v>
      </c>
      <c r="Y23" s="120" t="s">
        <v>641</v>
      </c>
      <c r="Z23" s="132" t="s">
        <v>596</v>
      </c>
      <c r="AA23" s="132" t="s">
        <v>819</v>
      </c>
      <c r="AB23" s="118">
        <v>0</v>
      </c>
      <c r="AC23" s="132" t="s">
        <v>596</v>
      </c>
      <c r="AD23" s="132" t="s">
        <v>820</v>
      </c>
      <c r="AE23" s="120" t="s">
        <v>641</v>
      </c>
      <c r="AF23" s="132" t="s">
        <v>596</v>
      </c>
      <c r="AG23" s="132" t="s">
        <v>819</v>
      </c>
      <c r="AH23" s="118">
        <v>2157</v>
      </c>
      <c r="AI23" s="132" t="s">
        <v>596</v>
      </c>
      <c r="AJ23" s="132" t="s">
        <v>820</v>
      </c>
      <c r="AK23" s="120" t="s">
        <v>641</v>
      </c>
      <c r="AL23" s="132" t="s">
        <v>596</v>
      </c>
      <c r="AM23" s="131" t="s">
        <v>594</v>
      </c>
    </row>
    <row r="24" spans="1:39">
      <c r="A24" s="130" t="s">
        <v>746</v>
      </c>
      <c r="B24" s="130" t="s">
        <v>815</v>
      </c>
      <c r="C24" s="121">
        <f>+IFERROR(IF(SUBTOTAL(3,M24),C23+1,C23),1)</f>
        <v>22</v>
      </c>
      <c r="D24" s="132" t="s">
        <v>596</v>
      </c>
      <c r="E24" s="132" t="s">
        <v>817</v>
      </c>
      <c r="F24" s="173" t="s">
        <v>812</v>
      </c>
      <c r="G24" s="173" t="str">
        <f t="shared" si="0"/>
        <v>https://ratings.fide.com/card.phtml?event=24150789</v>
      </c>
      <c r="H24" s="173" t="s">
        <v>813</v>
      </c>
      <c r="I24" s="122">
        <f>HYPERLINK("https://ratings.fide.com/card.phtml?event=24150789",24150789)</f>
        <v>24150789</v>
      </c>
      <c r="J24" s="176" t="s">
        <v>811</v>
      </c>
      <c r="K24" s="132" t="s">
        <v>596</v>
      </c>
      <c r="L24" s="132" t="s">
        <v>823</v>
      </c>
      <c r="M24" s="129" t="s">
        <v>662</v>
      </c>
      <c r="N24" s="132" t="s">
        <v>596</v>
      </c>
      <c r="O24" s="132" t="s">
        <v>826</v>
      </c>
      <c r="P24" s="124">
        <v>1956</v>
      </c>
      <c r="Q24" s="132" t="s">
        <v>596</v>
      </c>
      <c r="R24" s="132" t="s">
        <v>825</v>
      </c>
      <c r="S24" s="125" t="s">
        <v>226</v>
      </c>
      <c r="T24" s="132" t="s">
        <v>596</v>
      </c>
      <c r="U24" s="132" t="s">
        <v>819</v>
      </c>
      <c r="V24" s="124">
        <v>2148</v>
      </c>
      <c r="W24" s="132" t="s">
        <v>596</v>
      </c>
      <c r="X24" s="132" t="s">
        <v>820</v>
      </c>
      <c r="Y24" s="126" t="s">
        <v>641</v>
      </c>
      <c r="Z24" s="132" t="s">
        <v>596</v>
      </c>
      <c r="AA24" s="132" t="s">
        <v>819</v>
      </c>
      <c r="AB24" s="124">
        <v>2050</v>
      </c>
      <c r="AC24" s="132" t="s">
        <v>596</v>
      </c>
      <c r="AD24" s="132" t="s">
        <v>820</v>
      </c>
      <c r="AE24" s="126" t="s">
        <v>641</v>
      </c>
      <c r="AF24" s="132" t="s">
        <v>596</v>
      </c>
      <c r="AG24" s="132" t="s">
        <v>819</v>
      </c>
      <c r="AH24" s="124">
        <v>2055</v>
      </c>
      <c r="AI24" s="132" t="s">
        <v>596</v>
      </c>
      <c r="AJ24" s="132" t="s">
        <v>820</v>
      </c>
      <c r="AK24" s="126" t="s">
        <v>641</v>
      </c>
      <c r="AL24" s="132" t="s">
        <v>596</v>
      </c>
      <c r="AM24" s="131" t="s">
        <v>594</v>
      </c>
    </row>
    <row r="25" spans="1:39">
      <c r="A25" s="130" t="s">
        <v>746</v>
      </c>
      <c r="B25" s="130" t="s">
        <v>815</v>
      </c>
      <c r="C25" s="115">
        <f>+IFERROR(IF(SUBTOTAL(3,M25),C24+1,C24),1)</f>
        <v>23</v>
      </c>
      <c r="D25" s="132" t="s">
        <v>596</v>
      </c>
      <c r="E25" s="132" t="s">
        <v>817</v>
      </c>
      <c r="F25" s="173" t="s">
        <v>812</v>
      </c>
      <c r="G25" s="173" t="str">
        <f t="shared" si="0"/>
        <v>https://ratings.fide.com/card.phtml?event=4170784</v>
      </c>
      <c r="H25" s="173" t="s">
        <v>813</v>
      </c>
      <c r="I25" s="116">
        <f>HYPERLINK("https://ratings.fide.com/card.phtml?event=4170784",4170784)</f>
        <v>4170784</v>
      </c>
      <c r="J25" s="176" t="s">
        <v>811</v>
      </c>
      <c r="K25" s="132" t="s">
        <v>596</v>
      </c>
      <c r="L25" s="132" t="s">
        <v>823</v>
      </c>
      <c r="M25" s="117" t="s">
        <v>663</v>
      </c>
      <c r="N25" s="132" t="s">
        <v>596</v>
      </c>
      <c r="O25" s="132" t="s">
        <v>826</v>
      </c>
      <c r="P25" s="118">
        <v>1984</v>
      </c>
      <c r="Q25" s="132" t="s">
        <v>596</v>
      </c>
      <c r="R25" s="132" t="s">
        <v>825</v>
      </c>
      <c r="S25" s="128" t="s">
        <v>226</v>
      </c>
      <c r="T25" s="132" t="s">
        <v>596</v>
      </c>
      <c r="U25" s="132" t="s">
        <v>819</v>
      </c>
      <c r="V25" s="118">
        <v>2182</v>
      </c>
      <c r="W25" s="132" t="s">
        <v>596</v>
      </c>
      <c r="X25" s="132" t="s">
        <v>820</v>
      </c>
      <c r="Y25" s="120" t="s">
        <v>641</v>
      </c>
      <c r="Z25" s="132" t="s">
        <v>596</v>
      </c>
      <c r="AA25" s="132" t="s">
        <v>819</v>
      </c>
      <c r="AB25" s="118">
        <v>0</v>
      </c>
      <c r="AC25" s="132" t="s">
        <v>596</v>
      </c>
      <c r="AD25" s="132" t="s">
        <v>820</v>
      </c>
      <c r="AE25" s="120" t="s">
        <v>641</v>
      </c>
      <c r="AF25" s="132" t="s">
        <v>596</v>
      </c>
      <c r="AG25" s="132" t="s">
        <v>819</v>
      </c>
      <c r="AH25" s="118">
        <v>0</v>
      </c>
      <c r="AI25" s="132" t="s">
        <v>596</v>
      </c>
      <c r="AJ25" s="132" t="s">
        <v>820</v>
      </c>
      <c r="AK25" s="120" t="s">
        <v>641</v>
      </c>
      <c r="AL25" s="132" t="s">
        <v>596</v>
      </c>
      <c r="AM25" s="131" t="s">
        <v>594</v>
      </c>
    </row>
    <row r="26" spans="1:39">
      <c r="A26" s="130" t="s">
        <v>746</v>
      </c>
      <c r="B26" s="130" t="s">
        <v>815</v>
      </c>
      <c r="C26" s="121">
        <f>+IFERROR(IF(SUBTOTAL(3,M26),C25+1,C25),1)</f>
        <v>24</v>
      </c>
      <c r="D26" s="132" t="s">
        <v>596</v>
      </c>
      <c r="E26" s="132" t="s">
        <v>817</v>
      </c>
      <c r="F26" s="173" t="s">
        <v>812</v>
      </c>
      <c r="G26" s="173" t="str">
        <f t="shared" si="0"/>
        <v>https://ratings.fide.com/card.phtml?event=4148509</v>
      </c>
      <c r="H26" s="173" t="s">
        <v>813</v>
      </c>
      <c r="I26" s="122">
        <f>HYPERLINK("https://ratings.fide.com/card.phtml?event=4148509",4148509)</f>
        <v>4148509</v>
      </c>
      <c r="J26" s="176" t="s">
        <v>811</v>
      </c>
      <c r="K26" s="132" t="s">
        <v>596</v>
      </c>
      <c r="L26" s="132" t="s">
        <v>823</v>
      </c>
      <c r="M26" s="123" t="s">
        <v>664</v>
      </c>
      <c r="N26" s="132" t="s">
        <v>596</v>
      </c>
      <c r="O26" s="132" t="s">
        <v>826</v>
      </c>
      <c r="P26" s="124">
        <v>1958</v>
      </c>
      <c r="Q26" s="132" t="s">
        <v>596</v>
      </c>
      <c r="R26" s="132" t="s">
        <v>825</v>
      </c>
      <c r="S26" s="127" t="s">
        <v>226</v>
      </c>
      <c r="T26" s="132" t="s">
        <v>596</v>
      </c>
      <c r="U26" s="132" t="s">
        <v>819</v>
      </c>
      <c r="V26" s="124">
        <v>2115</v>
      </c>
      <c r="W26" s="132" t="s">
        <v>596</v>
      </c>
      <c r="X26" s="132" t="s">
        <v>820</v>
      </c>
      <c r="Y26" s="126" t="s">
        <v>641</v>
      </c>
      <c r="Z26" s="132" t="s">
        <v>596</v>
      </c>
      <c r="AA26" s="132" t="s">
        <v>819</v>
      </c>
      <c r="AB26" s="124">
        <v>2086</v>
      </c>
      <c r="AC26" s="132" t="s">
        <v>596</v>
      </c>
      <c r="AD26" s="132" t="s">
        <v>820</v>
      </c>
      <c r="AE26" s="126">
        <v>-18</v>
      </c>
      <c r="AF26" s="132" t="s">
        <v>596</v>
      </c>
      <c r="AG26" s="132" t="s">
        <v>819</v>
      </c>
      <c r="AH26" s="124">
        <v>2030</v>
      </c>
      <c r="AI26" s="132" t="s">
        <v>596</v>
      </c>
      <c r="AJ26" s="132" t="s">
        <v>820</v>
      </c>
      <c r="AK26" s="126">
        <v>-5</v>
      </c>
      <c r="AL26" s="132" t="s">
        <v>596</v>
      </c>
      <c r="AM26" s="131" t="s">
        <v>594</v>
      </c>
    </row>
    <row r="27" spans="1:39">
      <c r="A27" s="130" t="s">
        <v>746</v>
      </c>
      <c r="B27" s="130" t="s">
        <v>815</v>
      </c>
      <c r="C27" s="115">
        <f>+IFERROR(IF(SUBTOTAL(3,M27),C26+1,C26),1)</f>
        <v>25</v>
      </c>
      <c r="D27" s="132" t="s">
        <v>596</v>
      </c>
      <c r="E27" s="132" t="s">
        <v>817</v>
      </c>
      <c r="F27" s="173" t="s">
        <v>812</v>
      </c>
      <c r="G27" s="173" t="str">
        <f t="shared" si="0"/>
        <v>https://ratings.fide.com/card.phtml?event=4167180</v>
      </c>
      <c r="H27" s="173" t="s">
        <v>813</v>
      </c>
      <c r="I27" s="116">
        <f>HYPERLINK("https://ratings.fide.com/card.phtml?event=4167180",4167180)</f>
        <v>4167180</v>
      </c>
      <c r="J27" s="176" t="s">
        <v>811</v>
      </c>
      <c r="K27" s="132" t="s">
        <v>596</v>
      </c>
      <c r="L27" s="132" t="s">
        <v>823</v>
      </c>
      <c r="M27" s="117" t="s">
        <v>665</v>
      </c>
      <c r="N27" s="132" t="s">
        <v>596</v>
      </c>
      <c r="O27" s="132" t="s">
        <v>826</v>
      </c>
      <c r="P27" s="118">
        <v>1960</v>
      </c>
      <c r="Q27" s="132" t="s">
        <v>596</v>
      </c>
      <c r="R27" s="132" t="s">
        <v>825</v>
      </c>
      <c r="S27" s="119" t="s">
        <v>641</v>
      </c>
      <c r="T27" s="132" t="s">
        <v>596</v>
      </c>
      <c r="U27" s="132" t="s">
        <v>819</v>
      </c>
      <c r="V27" s="118">
        <v>2145</v>
      </c>
      <c r="W27" s="132" t="s">
        <v>596</v>
      </c>
      <c r="X27" s="132" t="s">
        <v>820</v>
      </c>
      <c r="Y27" s="120" t="s">
        <v>641</v>
      </c>
      <c r="Z27" s="132" t="s">
        <v>596</v>
      </c>
      <c r="AA27" s="132" t="s">
        <v>819</v>
      </c>
      <c r="AB27" s="118">
        <v>2221</v>
      </c>
      <c r="AC27" s="132" t="s">
        <v>596</v>
      </c>
      <c r="AD27" s="132" t="s">
        <v>820</v>
      </c>
      <c r="AE27" s="120" t="s">
        <v>641</v>
      </c>
      <c r="AF27" s="132" t="s">
        <v>596</v>
      </c>
      <c r="AG27" s="132" t="s">
        <v>819</v>
      </c>
      <c r="AH27" s="118">
        <v>2114</v>
      </c>
      <c r="AI27" s="132" t="s">
        <v>596</v>
      </c>
      <c r="AJ27" s="132" t="s">
        <v>820</v>
      </c>
      <c r="AK27" s="120" t="s">
        <v>641</v>
      </c>
      <c r="AL27" s="132" t="s">
        <v>596</v>
      </c>
      <c r="AM27" s="131" t="s">
        <v>594</v>
      </c>
    </row>
    <row r="28" spans="1:39">
      <c r="A28" s="130" t="s">
        <v>746</v>
      </c>
      <c r="B28" s="130" t="s">
        <v>815</v>
      </c>
      <c r="C28" s="121">
        <f>+IFERROR(IF(SUBTOTAL(3,M28),C27+1,C27),1)</f>
        <v>26</v>
      </c>
      <c r="D28" s="132" t="s">
        <v>596</v>
      </c>
      <c r="E28" s="132" t="s">
        <v>817</v>
      </c>
      <c r="F28" s="173" t="s">
        <v>812</v>
      </c>
      <c r="G28" s="173" t="str">
        <f t="shared" si="0"/>
        <v>https://ratings.fide.com/card.phtml?event=4163656</v>
      </c>
      <c r="H28" s="173" t="s">
        <v>813</v>
      </c>
      <c r="I28" s="122">
        <f>HYPERLINK("https://ratings.fide.com/card.phtml?event=4163656",4163656)</f>
        <v>4163656</v>
      </c>
      <c r="J28" s="176" t="s">
        <v>811</v>
      </c>
      <c r="K28" s="132" t="s">
        <v>596</v>
      </c>
      <c r="L28" s="132" t="s">
        <v>823</v>
      </c>
      <c r="M28" s="123" t="s">
        <v>666</v>
      </c>
      <c r="N28" s="132" t="s">
        <v>596</v>
      </c>
      <c r="O28" s="132" t="s">
        <v>826</v>
      </c>
      <c r="P28" s="124">
        <v>1958</v>
      </c>
      <c r="Q28" s="132" t="s">
        <v>596</v>
      </c>
      <c r="R28" s="132" t="s">
        <v>825</v>
      </c>
      <c r="S28" s="127" t="s">
        <v>226</v>
      </c>
      <c r="T28" s="132" t="s">
        <v>596</v>
      </c>
      <c r="U28" s="132" t="s">
        <v>819</v>
      </c>
      <c r="V28" s="124">
        <v>2137</v>
      </c>
      <c r="W28" s="132" t="s">
        <v>596</v>
      </c>
      <c r="X28" s="132" t="s">
        <v>820</v>
      </c>
      <c r="Y28" s="126" t="s">
        <v>641</v>
      </c>
      <c r="Z28" s="132" t="s">
        <v>596</v>
      </c>
      <c r="AA28" s="132" t="s">
        <v>819</v>
      </c>
      <c r="AB28" s="124">
        <v>2100</v>
      </c>
      <c r="AC28" s="132" t="s">
        <v>596</v>
      </c>
      <c r="AD28" s="132" t="s">
        <v>820</v>
      </c>
      <c r="AE28" s="126" t="s">
        <v>641</v>
      </c>
      <c r="AF28" s="132" t="s">
        <v>596</v>
      </c>
      <c r="AG28" s="132" t="s">
        <v>819</v>
      </c>
      <c r="AH28" s="124">
        <v>0</v>
      </c>
      <c r="AI28" s="132" t="s">
        <v>596</v>
      </c>
      <c r="AJ28" s="132" t="s">
        <v>820</v>
      </c>
      <c r="AK28" s="126" t="s">
        <v>641</v>
      </c>
      <c r="AL28" s="132" t="s">
        <v>596</v>
      </c>
      <c r="AM28" s="131" t="s">
        <v>594</v>
      </c>
    </row>
    <row r="29" spans="1:39">
      <c r="A29" s="130" t="s">
        <v>746</v>
      </c>
      <c r="B29" s="130" t="s">
        <v>815</v>
      </c>
      <c r="C29" s="115">
        <f>+IFERROR(IF(SUBTOTAL(3,M29),C28+1,C28),1)</f>
        <v>27</v>
      </c>
      <c r="D29" s="132" t="s">
        <v>596</v>
      </c>
      <c r="E29" s="132" t="s">
        <v>817</v>
      </c>
      <c r="F29" s="173" t="s">
        <v>812</v>
      </c>
      <c r="G29" s="173" t="str">
        <f t="shared" si="0"/>
        <v>https://ratings.fide.com/card.phtml?event=24160890</v>
      </c>
      <c r="H29" s="173" t="s">
        <v>813</v>
      </c>
      <c r="I29" s="116">
        <f>HYPERLINK("https://ratings.fide.com/card.phtml?event=24160890",24160890)</f>
        <v>24160890</v>
      </c>
      <c r="J29" s="176" t="s">
        <v>811</v>
      </c>
      <c r="K29" s="132" t="s">
        <v>596</v>
      </c>
      <c r="L29" s="132" t="s">
        <v>823</v>
      </c>
      <c r="M29" s="117" t="s">
        <v>667</v>
      </c>
      <c r="N29" s="132" t="s">
        <v>596</v>
      </c>
      <c r="O29" s="132" t="s">
        <v>826</v>
      </c>
      <c r="P29" s="118">
        <v>1987</v>
      </c>
      <c r="Q29" s="132" t="s">
        <v>596</v>
      </c>
      <c r="R29" s="132" t="s">
        <v>825</v>
      </c>
      <c r="S29" s="128" t="s">
        <v>226</v>
      </c>
      <c r="T29" s="132" t="s">
        <v>596</v>
      </c>
      <c r="U29" s="132" t="s">
        <v>819</v>
      </c>
      <c r="V29" s="118">
        <v>2143</v>
      </c>
      <c r="W29" s="132" t="s">
        <v>596</v>
      </c>
      <c r="X29" s="132" t="s">
        <v>820</v>
      </c>
      <c r="Y29" s="120" t="s">
        <v>641</v>
      </c>
      <c r="Z29" s="132" t="s">
        <v>596</v>
      </c>
      <c r="AA29" s="132" t="s">
        <v>819</v>
      </c>
      <c r="AB29" s="118">
        <v>2173</v>
      </c>
      <c r="AC29" s="132" t="s">
        <v>596</v>
      </c>
      <c r="AD29" s="132" t="s">
        <v>820</v>
      </c>
      <c r="AE29" s="120" t="s">
        <v>641</v>
      </c>
      <c r="AF29" s="132" t="s">
        <v>596</v>
      </c>
      <c r="AG29" s="132" t="s">
        <v>819</v>
      </c>
      <c r="AH29" s="118">
        <v>2187</v>
      </c>
      <c r="AI29" s="132" t="s">
        <v>596</v>
      </c>
      <c r="AJ29" s="132" t="s">
        <v>820</v>
      </c>
      <c r="AK29" s="120" t="s">
        <v>641</v>
      </c>
      <c r="AL29" s="132" t="s">
        <v>596</v>
      </c>
      <c r="AM29" s="131" t="s">
        <v>594</v>
      </c>
    </row>
    <row r="30" spans="1:39">
      <c r="A30" s="130" t="s">
        <v>746</v>
      </c>
      <c r="B30" s="130" t="s">
        <v>815</v>
      </c>
      <c r="C30" s="121">
        <f>+IFERROR(IF(SUBTOTAL(3,M30),C29+1,C29),1)</f>
        <v>28</v>
      </c>
      <c r="D30" s="132" t="s">
        <v>596</v>
      </c>
      <c r="E30" s="132" t="s">
        <v>817</v>
      </c>
      <c r="F30" s="173" t="s">
        <v>812</v>
      </c>
      <c r="G30" s="173" t="str">
        <f t="shared" si="0"/>
        <v>https://ratings.fide.com/card.phtml?event=34128341</v>
      </c>
      <c r="H30" s="173" t="s">
        <v>813</v>
      </c>
      <c r="I30" s="122">
        <f>HYPERLINK("https://ratings.fide.com/card.phtml?event=34128341",34128341)</f>
        <v>34128341</v>
      </c>
      <c r="J30" s="176" t="s">
        <v>811</v>
      </c>
      <c r="K30" s="132" t="s">
        <v>596</v>
      </c>
      <c r="L30" s="132" t="s">
        <v>823</v>
      </c>
      <c r="M30" s="123" t="s">
        <v>668</v>
      </c>
      <c r="N30" s="132" t="s">
        <v>596</v>
      </c>
      <c r="O30" s="132" t="s">
        <v>826</v>
      </c>
      <c r="P30" s="124">
        <v>1974</v>
      </c>
      <c r="Q30" s="132" t="s">
        <v>596</v>
      </c>
      <c r="R30" s="132" t="s">
        <v>825</v>
      </c>
      <c r="S30" s="127" t="s">
        <v>281</v>
      </c>
      <c r="T30" s="132" t="s">
        <v>596</v>
      </c>
      <c r="U30" s="132" t="s">
        <v>819</v>
      </c>
      <c r="V30" s="124">
        <v>0</v>
      </c>
      <c r="W30" s="132" t="s">
        <v>596</v>
      </c>
      <c r="X30" s="132" t="s">
        <v>820</v>
      </c>
      <c r="Y30" s="126" t="s">
        <v>641</v>
      </c>
      <c r="Z30" s="132" t="s">
        <v>596</v>
      </c>
      <c r="AA30" s="132" t="s">
        <v>819</v>
      </c>
      <c r="AB30" s="124">
        <v>2127</v>
      </c>
      <c r="AC30" s="132" t="s">
        <v>596</v>
      </c>
      <c r="AD30" s="132" t="s">
        <v>820</v>
      </c>
      <c r="AE30" s="126" t="s">
        <v>641</v>
      </c>
      <c r="AF30" s="132" t="s">
        <v>596</v>
      </c>
      <c r="AG30" s="132" t="s">
        <v>819</v>
      </c>
      <c r="AH30" s="124">
        <v>2150</v>
      </c>
      <c r="AI30" s="132" t="s">
        <v>596</v>
      </c>
      <c r="AJ30" s="132" t="s">
        <v>820</v>
      </c>
      <c r="AK30" s="126" t="s">
        <v>641</v>
      </c>
      <c r="AL30" s="132" t="s">
        <v>596</v>
      </c>
      <c r="AM30" s="131" t="s">
        <v>594</v>
      </c>
    </row>
    <row r="31" spans="1:39">
      <c r="A31" s="130" t="s">
        <v>746</v>
      </c>
      <c r="B31" s="130" t="s">
        <v>815</v>
      </c>
      <c r="C31" s="115">
        <f>+IFERROR(IF(SUBTOTAL(3,M31),C30+1,C30),1)</f>
        <v>29</v>
      </c>
      <c r="D31" s="132" t="s">
        <v>596</v>
      </c>
      <c r="E31" s="132" t="s">
        <v>817</v>
      </c>
      <c r="F31" s="173" t="s">
        <v>812</v>
      </c>
      <c r="G31" s="173" t="str">
        <f t="shared" si="0"/>
        <v>https://ratings.fide.com/card.phtml?event=34128422</v>
      </c>
      <c r="H31" s="173" t="s">
        <v>813</v>
      </c>
      <c r="I31" s="116">
        <f>HYPERLINK("https://ratings.fide.com/card.phtml?event=34128422",34128422)</f>
        <v>34128422</v>
      </c>
      <c r="J31" s="176" t="s">
        <v>811</v>
      </c>
      <c r="K31" s="132" t="s">
        <v>596</v>
      </c>
      <c r="L31" s="132" t="s">
        <v>823</v>
      </c>
      <c r="M31" s="117" t="s">
        <v>669</v>
      </c>
      <c r="N31" s="132" t="s">
        <v>596</v>
      </c>
      <c r="O31" s="132" t="s">
        <v>826</v>
      </c>
      <c r="P31" s="118">
        <v>1951</v>
      </c>
      <c r="Q31" s="132" t="s">
        <v>596</v>
      </c>
      <c r="R31" s="132" t="s">
        <v>825</v>
      </c>
      <c r="S31" s="128" t="s">
        <v>670</v>
      </c>
      <c r="T31" s="132" t="s">
        <v>596</v>
      </c>
      <c r="U31" s="132" t="s">
        <v>819</v>
      </c>
      <c r="V31" s="118">
        <v>0</v>
      </c>
      <c r="W31" s="132" t="s">
        <v>596</v>
      </c>
      <c r="X31" s="132" t="s">
        <v>820</v>
      </c>
      <c r="Y31" s="120" t="s">
        <v>641</v>
      </c>
      <c r="Z31" s="132" t="s">
        <v>596</v>
      </c>
      <c r="AA31" s="132" t="s">
        <v>819</v>
      </c>
      <c r="AB31" s="118">
        <v>2057</v>
      </c>
      <c r="AC31" s="132" t="s">
        <v>596</v>
      </c>
      <c r="AD31" s="132" t="s">
        <v>820</v>
      </c>
      <c r="AE31" s="120" t="s">
        <v>641</v>
      </c>
      <c r="AF31" s="132" t="s">
        <v>596</v>
      </c>
      <c r="AG31" s="132" t="s">
        <v>819</v>
      </c>
      <c r="AH31" s="118">
        <v>2117</v>
      </c>
      <c r="AI31" s="132" t="s">
        <v>596</v>
      </c>
      <c r="AJ31" s="132" t="s">
        <v>820</v>
      </c>
      <c r="AK31" s="120" t="s">
        <v>641</v>
      </c>
      <c r="AL31" s="132" t="s">
        <v>596</v>
      </c>
      <c r="AM31" s="131" t="s">
        <v>594</v>
      </c>
    </row>
    <row r="32" spans="1:39">
      <c r="A32" s="130" t="s">
        <v>746</v>
      </c>
      <c r="B32" s="130" t="s">
        <v>815</v>
      </c>
      <c r="C32" s="121">
        <f>+IFERROR(IF(SUBTOTAL(3,M32),C31+1,C31),1)</f>
        <v>30</v>
      </c>
      <c r="D32" s="132" t="s">
        <v>596</v>
      </c>
      <c r="E32" s="132" t="s">
        <v>817</v>
      </c>
      <c r="F32" s="173" t="s">
        <v>812</v>
      </c>
      <c r="G32" s="173" t="str">
        <f t="shared" si="0"/>
        <v>https://ratings.fide.com/card.phtml?event=4182693</v>
      </c>
      <c r="H32" s="173" t="s">
        <v>813</v>
      </c>
      <c r="I32" s="122">
        <f>HYPERLINK("https://ratings.fide.com/card.phtml?event=4182693",4182693)</f>
        <v>4182693</v>
      </c>
      <c r="J32" s="176" t="s">
        <v>811</v>
      </c>
      <c r="K32" s="132" t="s">
        <v>596</v>
      </c>
      <c r="L32" s="132" t="s">
        <v>823</v>
      </c>
      <c r="M32" s="123" t="s">
        <v>671</v>
      </c>
      <c r="N32" s="132" t="s">
        <v>596</v>
      </c>
      <c r="O32" s="132" t="s">
        <v>826</v>
      </c>
      <c r="P32" s="124">
        <v>1989</v>
      </c>
      <c r="Q32" s="132" t="s">
        <v>596</v>
      </c>
      <c r="R32" s="132" t="s">
        <v>825</v>
      </c>
      <c r="S32" s="125" t="s">
        <v>641</v>
      </c>
      <c r="T32" s="132" t="s">
        <v>596</v>
      </c>
      <c r="U32" s="132" t="s">
        <v>819</v>
      </c>
      <c r="V32" s="124">
        <v>2214</v>
      </c>
      <c r="W32" s="132" t="s">
        <v>596</v>
      </c>
      <c r="X32" s="132" t="s">
        <v>820</v>
      </c>
      <c r="Y32" s="126" t="s">
        <v>641</v>
      </c>
      <c r="Z32" s="132" t="s">
        <v>596</v>
      </c>
      <c r="AA32" s="132" t="s">
        <v>819</v>
      </c>
      <c r="AB32" s="124">
        <v>2152</v>
      </c>
      <c r="AC32" s="132" t="s">
        <v>596</v>
      </c>
      <c r="AD32" s="132" t="s">
        <v>820</v>
      </c>
      <c r="AE32" s="126" t="s">
        <v>641</v>
      </c>
      <c r="AF32" s="132" t="s">
        <v>596</v>
      </c>
      <c r="AG32" s="132" t="s">
        <v>819</v>
      </c>
      <c r="AH32" s="124">
        <v>2145</v>
      </c>
      <c r="AI32" s="132" t="s">
        <v>596</v>
      </c>
      <c r="AJ32" s="132" t="s">
        <v>820</v>
      </c>
      <c r="AK32" s="126" t="s">
        <v>641</v>
      </c>
      <c r="AL32" s="132" t="s">
        <v>596</v>
      </c>
      <c r="AM32" s="131" t="s">
        <v>594</v>
      </c>
    </row>
    <row r="33" spans="1:39">
      <c r="A33" s="130" t="s">
        <v>746</v>
      </c>
      <c r="B33" s="130" t="s">
        <v>815</v>
      </c>
      <c r="C33" s="115">
        <f>+IFERROR(IF(SUBTOTAL(3,M33),C32+1,C32),1)</f>
        <v>31</v>
      </c>
      <c r="D33" s="132" t="s">
        <v>596</v>
      </c>
      <c r="E33" s="132" t="s">
        <v>817</v>
      </c>
      <c r="F33" s="173" t="s">
        <v>812</v>
      </c>
      <c r="G33" s="173" t="str">
        <f t="shared" si="0"/>
        <v>https://ratings.fide.com/card.phtml?event=4135164</v>
      </c>
      <c r="H33" s="173" t="s">
        <v>813</v>
      </c>
      <c r="I33" s="116">
        <f>HYPERLINK("https://ratings.fide.com/card.phtml?event=4135164",4135164)</f>
        <v>4135164</v>
      </c>
      <c r="J33" s="176" t="s">
        <v>811</v>
      </c>
      <c r="K33" s="132" t="s">
        <v>596</v>
      </c>
      <c r="L33" s="132" t="s">
        <v>823</v>
      </c>
      <c r="M33" s="117" t="s">
        <v>672</v>
      </c>
      <c r="N33" s="132" t="s">
        <v>596</v>
      </c>
      <c r="O33" s="132" t="s">
        <v>826</v>
      </c>
      <c r="P33" s="118">
        <v>1956</v>
      </c>
      <c r="Q33" s="132" t="s">
        <v>596</v>
      </c>
      <c r="R33" s="132" t="s">
        <v>825</v>
      </c>
      <c r="S33" s="128" t="s">
        <v>226</v>
      </c>
      <c r="T33" s="132" t="s">
        <v>596</v>
      </c>
      <c r="U33" s="132" t="s">
        <v>819</v>
      </c>
      <c r="V33" s="118">
        <v>2141</v>
      </c>
      <c r="W33" s="132" t="s">
        <v>596</v>
      </c>
      <c r="X33" s="132" t="s">
        <v>820</v>
      </c>
      <c r="Y33" s="120" t="s">
        <v>641</v>
      </c>
      <c r="Z33" s="132" t="s">
        <v>596</v>
      </c>
      <c r="AA33" s="132" t="s">
        <v>819</v>
      </c>
      <c r="AB33" s="118">
        <v>0</v>
      </c>
      <c r="AC33" s="132" t="s">
        <v>596</v>
      </c>
      <c r="AD33" s="132" t="s">
        <v>820</v>
      </c>
      <c r="AE33" s="120" t="s">
        <v>641</v>
      </c>
      <c r="AF33" s="132" t="s">
        <v>596</v>
      </c>
      <c r="AG33" s="132" t="s">
        <v>819</v>
      </c>
      <c r="AH33" s="118">
        <v>0</v>
      </c>
      <c r="AI33" s="132" t="s">
        <v>596</v>
      </c>
      <c r="AJ33" s="132" t="s">
        <v>820</v>
      </c>
      <c r="AK33" s="120" t="s">
        <v>641</v>
      </c>
      <c r="AL33" s="132" t="s">
        <v>596</v>
      </c>
      <c r="AM33" s="131" t="s">
        <v>594</v>
      </c>
    </row>
    <row r="34" spans="1:39">
      <c r="A34" s="130" t="s">
        <v>746</v>
      </c>
      <c r="B34" s="130" t="s">
        <v>815</v>
      </c>
      <c r="C34" s="121">
        <f>+IFERROR(IF(SUBTOTAL(3,M34),C33+1,C33),1)</f>
        <v>32</v>
      </c>
      <c r="D34" s="132" t="s">
        <v>596</v>
      </c>
      <c r="E34" s="132" t="s">
        <v>817</v>
      </c>
      <c r="F34" s="173" t="s">
        <v>812</v>
      </c>
      <c r="G34" s="173" t="str">
        <f t="shared" si="0"/>
        <v>https://ratings.fide.com/card.phtml?event=34126195</v>
      </c>
      <c r="H34" s="173" t="s">
        <v>813</v>
      </c>
      <c r="I34" s="122">
        <f>HYPERLINK("https://ratings.fide.com/card.phtml?event=34126195",34126195)</f>
        <v>34126195</v>
      </c>
      <c r="J34" s="176" t="s">
        <v>811</v>
      </c>
      <c r="K34" s="132" t="s">
        <v>596</v>
      </c>
      <c r="L34" s="132" t="s">
        <v>823</v>
      </c>
      <c r="M34" s="123" t="s">
        <v>673</v>
      </c>
      <c r="N34" s="132" t="s">
        <v>596</v>
      </c>
      <c r="O34" s="132" t="s">
        <v>826</v>
      </c>
      <c r="P34" s="124">
        <v>2002</v>
      </c>
      <c r="Q34" s="132" t="s">
        <v>596</v>
      </c>
      <c r="R34" s="132" t="s">
        <v>825</v>
      </c>
      <c r="S34" s="125" t="s">
        <v>641</v>
      </c>
      <c r="T34" s="132" t="s">
        <v>596</v>
      </c>
      <c r="U34" s="132" t="s">
        <v>819</v>
      </c>
      <c r="V34" s="124">
        <v>2117</v>
      </c>
      <c r="W34" s="132" t="s">
        <v>596</v>
      </c>
      <c r="X34" s="132" t="s">
        <v>820</v>
      </c>
      <c r="Y34" s="126" t="s">
        <v>641</v>
      </c>
      <c r="Z34" s="132" t="s">
        <v>596</v>
      </c>
      <c r="AA34" s="132" t="s">
        <v>819</v>
      </c>
      <c r="AB34" s="124">
        <v>2266</v>
      </c>
      <c r="AC34" s="132" t="s">
        <v>596</v>
      </c>
      <c r="AD34" s="132" t="s">
        <v>820</v>
      </c>
      <c r="AE34" s="126" t="s">
        <v>641</v>
      </c>
      <c r="AF34" s="132" t="s">
        <v>596</v>
      </c>
      <c r="AG34" s="132" t="s">
        <v>819</v>
      </c>
      <c r="AH34" s="124">
        <v>2158</v>
      </c>
      <c r="AI34" s="132" t="s">
        <v>596</v>
      </c>
      <c r="AJ34" s="132" t="s">
        <v>820</v>
      </c>
      <c r="AK34" s="126" t="s">
        <v>641</v>
      </c>
      <c r="AL34" s="132" t="s">
        <v>596</v>
      </c>
      <c r="AM34" s="131" t="s">
        <v>594</v>
      </c>
    </row>
    <row r="35" spans="1:39">
      <c r="A35" s="130" t="s">
        <v>746</v>
      </c>
      <c r="B35" s="130" t="s">
        <v>815</v>
      </c>
      <c r="C35" s="115">
        <f>+IFERROR(IF(SUBTOTAL(3,M35),C34+1,C34),1)</f>
        <v>33</v>
      </c>
      <c r="D35" s="132" t="s">
        <v>596</v>
      </c>
      <c r="E35" s="132" t="s">
        <v>817</v>
      </c>
      <c r="F35" s="173" t="s">
        <v>812</v>
      </c>
      <c r="G35" s="173" t="str">
        <f t="shared" si="0"/>
        <v>https://ratings.fide.com/card.phtml?event=24145068</v>
      </c>
      <c r="H35" s="173" t="s">
        <v>813</v>
      </c>
      <c r="I35" s="116">
        <f>HYPERLINK("https://ratings.fide.com/card.phtml?event=24145068",24145068)</f>
        <v>24145068</v>
      </c>
      <c r="J35" s="176" t="s">
        <v>811</v>
      </c>
      <c r="K35" s="132" t="s">
        <v>596</v>
      </c>
      <c r="L35" s="132" t="s">
        <v>823</v>
      </c>
      <c r="M35" s="117" t="s">
        <v>674</v>
      </c>
      <c r="N35" s="132" t="s">
        <v>596</v>
      </c>
      <c r="O35" s="132" t="s">
        <v>826</v>
      </c>
      <c r="P35" s="118">
        <v>1993</v>
      </c>
      <c r="Q35" s="132" t="s">
        <v>596</v>
      </c>
      <c r="R35" s="132" t="s">
        <v>825</v>
      </c>
      <c r="S35" s="128" t="s">
        <v>226</v>
      </c>
      <c r="T35" s="132" t="s">
        <v>596</v>
      </c>
      <c r="U35" s="132" t="s">
        <v>819</v>
      </c>
      <c r="V35" s="118">
        <v>2011</v>
      </c>
      <c r="W35" s="132" t="s">
        <v>596</v>
      </c>
      <c r="X35" s="132" t="s">
        <v>820</v>
      </c>
      <c r="Y35" s="120" t="s">
        <v>641</v>
      </c>
      <c r="Z35" s="132" t="s">
        <v>596</v>
      </c>
      <c r="AA35" s="132" t="s">
        <v>819</v>
      </c>
      <c r="AB35" s="118">
        <v>2099</v>
      </c>
      <c r="AC35" s="132" t="s">
        <v>596</v>
      </c>
      <c r="AD35" s="132" t="s">
        <v>820</v>
      </c>
      <c r="AE35" s="120" t="s">
        <v>641</v>
      </c>
      <c r="AF35" s="132" t="s">
        <v>596</v>
      </c>
      <c r="AG35" s="132" t="s">
        <v>819</v>
      </c>
      <c r="AH35" s="118">
        <v>2024</v>
      </c>
      <c r="AI35" s="132" t="s">
        <v>596</v>
      </c>
      <c r="AJ35" s="132" t="s">
        <v>820</v>
      </c>
      <c r="AK35" s="120" t="s">
        <v>641</v>
      </c>
      <c r="AL35" s="132" t="s">
        <v>596</v>
      </c>
      <c r="AM35" s="131" t="s">
        <v>594</v>
      </c>
    </row>
    <row r="36" spans="1:39">
      <c r="A36" s="130" t="s">
        <v>746</v>
      </c>
      <c r="B36" s="130" t="s">
        <v>815</v>
      </c>
      <c r="C36" s="121">
        <f>+IFERROR(IF(SUBTOTAL(3,M36),C35+1,C35),1)</f>
        <v>34</v>
      </c>
      <c r="D36" s="132" t="s">
        <v>596</v>
      </c>
      <c r="E36" s="132" t="s">
        <v>817</v>
      </c>
      <c r="F36" s="173" t="s">
        <v>812</v>
      </c>
      <c r="G36" s="173" t="str">
        <f t="shared" si="0"/>
        <v>https://ratings.fide.com/card.phtml?event=4155440</v>
      </c>
      <c r="H36" s="173" t="s">
        <v>813</v>
      </c>
      <c r="I36" s="122">
        <f>HYPERLINK("https://ratings.fide.com/card.phtml?event=4155440",4155440)</f>
        <v>4155440</v>
      </c>
      <c r="J36" s="176" t="s">
        <v>811</v>
      </c>
      <c r="K36" s="132" t="s">
        <v>596</v>
      </c>
      <c r="L36" s="132" t="s">
        <v>823</v>
      </c>
      <c r="M36" s="123" t="s">
        <v>675</v>
      </c>
      <c r="N36" s="132" t="s">
        <v>596</v>
      </c>
      <c r="O36" s="132" t="s">
        <v>826</v>
      </c>
      <c r="P36" s="124">
        <v>1966</v>
      </c>
      <c r="Q36" s="132" t="s">
        <v>596</v>
      </c>
      <c r="R36" s="132" t="s">
        <v>825</v>
      </c>
      <c r="S36" s="125" t="s">
        <v>641</v>
      </c>
      <c r="T36" s="132" t="s">
        <v>596</v>
      </c>
      <c r="U36" s="132" t="s">
        <v>819</v>
      </c>
      <c r="V36" s="124">
        <v>2113</v>
      </c>
      <c r="W36" s="132" t="s">
        <v>596</v>
      </c>
      <c r="X36" s="132" t="s">
        <v>820</v>
      </c>
      <c r="Y36" s="126" t="s">
        <v>641</v>
      </c>
      <c r="Z36" s="132" t="s">
        <v>596</v>
      </c>
      <c r="AA36" s="132" t="s">
        <v>819</v>
      </c>
      <c r="AB36" s="124">
        <v>2078</v>
      </c>
      <c r="AC36" s="132" t="s">
        <v>596</v>
      </c>
      <c r="AD36" s="132" t="s">
        <v>820</v>
      </c>
      <c r="AE36" s="126" t="s">
        <v>641</v>
      </c>
      <c r="AF36" s="132" t="s">
        <v>596</v>
      </c>
      <c r="AG36" s="132" t="s">
        <v>819</v>
      </c>
      <c r="AH36" s="124">
        <v>2138</v>
      </c>
      <c r="AI36" s="132" t="s">
        <v>596</v>
      </c>
      <c r="AJ36" s="132" t="s">
        <v>820</v>
      </c>
      <c r="AK36" s="126" t="s">
        <v>641</v>
      </c>
      <c r="AL36" s="132" t="s">
        <v>596</v>
      </c>
      <c r="AM36" s="131" t="s">
        <v>594</v>
      </c>
    </row>
    <row r="37" spans="1:39">
      <c r="A37" s="130" t="s">
        <v>746</v>
      </c>
      <c r="B37" s="130" t="s">
        <v>815</v>
      </c>
      <c r="C37" s="115">
        <f>+IFERROR(IF(SUBTOTAL(3,M37),C36+1,C36),1)</f>
        <v>35</v>
      </c>
      <c r="D37" s="132" t="s">
        <v>596</v>
      </c>
      <c r="E37" s="132" t="s">
        <v>817</v>
      </c>
      <c r="F37" s="173" t="s">
        <v>812</v>
      </c>
      <c r="G37" s="173" t="str">
        <f t="shared" si="0"/>
        <v>https://ratings.fide.com/card.phtml?event=34128554</v>
      </c>
      <c r="H37" s="173" t="s">
        <v>813</v>
      </c>
      <c r="I37" s="116">
        <f>HYPERLINK("https://ratings.fide.com/card.phtml?event=34128554",34128554)</f>
        <v>34128554</v>
      </c>
      <c r="J37" s="176" t="s">
        <v>811</v>
      </c>
      <c r="K37" s="132" t="s">
        <v>596</v>
      </c>
      <c r="L37" s="132" t="s">
        <v>823</v>
      </c>
      <c r="M37" s="117" t="s">
        <v>676</v>
      </c>
      <c r="N37" s="132" t="s">
        <v>596</v>
      </c>
      <c r="O37" s="132" t="s">
        <v>826</v>
      </c>
      <c r="P37" s="118">
        <v>1980</v>
      </c>
      <c r="Q37" s="132" t="s">
        <v>596</v>
      </c>
      <c r="R37" s="132" t="s">
        <v>825</v>
      </c>
      <c r="S37" s="128" t="s">
        <v>226</v>
      </c>
      <c r="T37" s="132" t="s">
        <v>596</v>
      </c>
      <c r="U37" s="132" t="s">
        <v>819</v>
      </c>
      <c r="V37" s="118">
        <v>0</v>
      </c>
      <c r="W37" s="132" t="s">
        <v>596</v>
      </c>
      <c r="X37" s="132" t="s">
        <v>820</v>
      </c>
      <c r="Y37" s="120" t="s">
        <v>641</v>
      </c>
      <c r="Z37" s="132" t="s">
        <v>596</v>
      </c>
      <c r="AA37" s="132" t="s">
        <v>819</v>
      </c>
      <c r="AB37" s="118">
        <v>2110</v>
      </c>
      <c r="AC37" s="132" t="s">
        <v>596</v>
      </c>
      <c r="AD37" s="132" t="s">
        <v>820</v>
      </c>
      <c r="AE37" s="120" t="s">
        <v>641</v>
      </c>
      <c r="AF37" s="132" t="s">
        <v>596</v>
      </c>
      <c r="AG37" s="132" t="s">
        <v>819</v>
      </c>
      <c r="AH37" s="118">
        <v>2181</v>
      </c>
      <c r="AI37" s="132" t="s">
        <v>596</v>
      </c>
      <c r="AJ37" s="132" t="s">
        <v>820</v>
      </c>
      <c r="AK37" s="120">
        <v>15</v>
      </c>
      <c r="AL37" s="132" t="s">
        <v>596</v>
      </c>
      <c r="AM37" s="131" t="s">
        <v>594</v>
      </c>
    </row>
    <row r="38" spans="1:39">
      <c r="A38" s="130" t="s">
        <v>746</v>
      </c>
      <c r="B38" s="130" t="s">
        <v>815</v>
      </c>
      <c r="C38" s="121">
        <f>+IFERROR(IF(SUBTOTAL(3,M38),C37+1,C37),1)</f>
        <v>36</v>
      </c>
      <c r="D38" s="132" t="s">
        <v>596</v>
      </c>
      <c r="E38" s="132" t="s">
        <v>817</v>
      </c>
      <c r="F38" s="173" t="s">
        <v>812</v>
      </c>
      <c r="G38" s="173" t="str">
        <f t="shared" si="0"/>
        <v>https://ratings.fide.com/card.phtml?event=4126971</v>
      </c>
      <c r="H38" s="173" t="s">
        <v>813</v>
      </c>
      <c r="I38" s="122">
        <f>HYPERLINK("https://ratings.fide.com/card.phtml?event=4126971",4126971)</f>
        <v>4126971</v>
      </c>
      <c r="J38" s="176" t="s">
        <v>811</v>
      </c>
      <c r="K38" s="132" t="s">
        <v>596</v>
      </c>
      <c r="L38" s="132" t="s">
        <v>823</v>
      </c>
      <c r="M38" s="123" t="s">
        <v>677</v>
      </c>
      <c r="N38" s="132" t="s">
        <v>596</v>
      </c>
      <c r="O38" s="132" t="s">
        <v>826</v>
      </c>
      <c r="P38" s="124">
        <v>1994</v>
      </c>
      <c r="Q38" s="132" t="s">
        <v>596</v>
      </c>
      <c r="R38" s="132" t="s">
        <v>825</v>
      </c>
      <c r="S38" s="125" t="s">
        <v>641</v>
      </c>
      <c r="T38" s="132" t="s">
        <v>596</v>
      </c>
      <c r="U38" s="132" t="s">
        <v>819</v>
      </c>
      <c r="V38" s="124">
        <v>2122</v>
      </c>
      <c r="W38" s="132" t="s">
        <v>596</v>
      </c>
      <c r="X38" s="132" t="s">
        <v>820</v>
      </c>
      <c r="Y38" s="126" t="s">
        <v>641</v>
      </c>
      <c r="Z38" s="132" t="s">
        <v>596</v>
      </c>
      <c r="AA38" s="132" t="s">
        <v>819</v>
      </c>
      <c r="AB38" s="124">
        <v>2157</v>
      </c>
      <c r="AC38" s="132" t="s">
        <v>596</v>
      </c>
      <c r="AD38" s="132" t="s">
        <v>820</v>
      </c>
      <c r="AE38" s="126">
        <v>15</v>
      </c>
      <c r="AF38" s="132" t="s">
        <v>596</v>
      </c>
      <c r="AG38" s="132" t="s">
        <v>819</v>
      </c>
      <c r="AH38" s="124">
        <v>2183</v>
      </c>
      <c r="AI38" s="132" t="s">
        <v>596</v>
      </c>
      <c r="AJ38" s="132" t="s">
        <v>820</v>
      </c>
      <c r="AK38" s="126" t="s">
        <v>641</v>
      </c>
      <c r="AL38" s="132" t="s">
        <v>596</v>
      </c>
      <c r="AM38" s="131" t="s">
        <v>594</v>
      </c>
    </row>
    <row r="39" spans="1:39">
      <c r="A39" s="130" t="s">
        <v>746</v>
      </c>
      <c r="B39" s="130" t="s">
        <v>815</v>
      </c>
      <c r="C39" s="115">
        <f>+IFERROR(IF(SUBTOTAL(3,M39),C38+1,C38),1)</f>
        <v>37</v>
      </c>
      <c r="D39" s="132" t="s">
        <v>596</v>
      </c>
      <c r="E39" s="132" t="s">
        <v>817</v>
      </c>
      <c r="F39" s="173" t="s">
        <v>812</v>
      </c>
      <c r="G39" s="173" t="str">
        <f t="shared" si="0"/>
        <v>https://ratings.fide.com/card.phtml?event=34128651</v>
      </c>
      <c r="H39" s="173" t="s">
        <v>813</v>
      </c>
      <c r="I39" s="116">
        <f>HYPERLINK("https://ratings.fide.com/card.phtml?event=34128651",34128651)</f>
        <v>34128651</v>
      </c>
      <c r="J39" s="176" t="s">
        <v>811</v>
      </c>
      <c r="K39" s="132" t="s">
        <v>596</v>
      </c>
      <c r="L39" s="132" t="s">
        <v>823</v>
      </c>
      <c r="M39" s="117" t="s">
        <v>678</v>
      </c>
      <c r="N39" s="132" t="s">
        <v>596</v>
      </c>
      <c r="O39" s="132" t="s">
        <v>826</v>
      </c>
      <c r="P39" s="118">
        <v>1977</v>
      </c>
      <c r="Q39" s="132" t="s">
        <v>596</v>
      </c>
      <c r="R39" s="132" t="s">
        <v>825</v>
      </c>
      <c r="S39" s="128" t="s">
        <v>226</v>
      </c>
      <c r="T39" s="132" t="s">
        <v>596</v>
      </c>
      <c r="U39" s="132" t="s">
        <v>819</v>
      </c>
      <c r="V39" s="118">
        <v>0</v>
      </c>
      <c r="W39" s="132" t="s">
        <v>596</v>
      </c>
      <c r="X39" s="132" t="s">
        <v>820</v>
      </c>
      <c r="Y39" s="120" t="s">
        <v>641</v>
      </c>
      <c r="Z39" s="132" t="s">
        <v>596</v>
      </c>
      <c r="AA39" s="132" t="s">
        <v>819</v>
      </c>
      <c r="AB39" s="118">
        <v>0</v>
      </c>
      <c r="AC39" s="132" t="s">
        <v>596</v>
      </c>
      <c r="AD39" s="132" t="s">
        <v>820</v>
      </c>
      <c r="AE39" s="120" t="s">
        <v>641</v>
      </c>
      <c r="AF39" s="132" t="s">
        <v>596</v>
      </c>
      <c r="AG39" s="132" t="s">
        <v>819</v>
      </c>
      <c r="AH39" s="118">
        <v>2236</v>
      </c>
      <c r="AI39" s="132" t="s">
        <v>596</v>
      </c>
      <c r="AJ39" s="132" t="s">
        <v>820</v>
      </c>
      <c r="AK39" s="120" t="s">
        <v>641</v>
      </c>
      <c r="AL39" s="132" t="s">
        <v>596</v>
      </c>
      <c r="AM39" s="131" t="s">
        <v>594</v>
      </c>
    </row>
    <row r="40" spans="1:39">
      <c r="A40" s="130" t="s">
        <v>746</v>
      </c>
      <c r="B40" s="130" t="s">
        <v>815</v>
      </c>
      <c r="C40" s="121">
        <f>+IFERROR(IF(SUBTOTAL(3,M40),C39+1,C39),1)</f>
        <v>38</v>
      </c>
      <c r="D40" s="132" t="s">
        <v>596</v>
      </c>
      <c r="E40" s="132" t="s">
        <v>817</v>
      </c>
      <c r="F40" s="173" t="s">
        <v>812</v>
      </c>
      <c r="G40" s="173" t="str">
        <f t="shared" si="0"/>
        <v>https://ratings.fide.com/card.phtml?event=4187288</v>
      </c>
      <c r="H40" s="173" t="s">
        <v>813</v>
      </c>
      <c r="I40" s="122">
        <f>HYPERLINK("https://ratings.fide.com/card.phtml?event=4187288",4187288)</f>
        <v>4187288</v>
      </c>
      <c r="J40" s="176" t="s">
        <v>811</v>
      </c>
      <c r="K40" s="132" t="s">
        <v>596</v>
      </c>
      <c r="L40" s="132" t="s">
        <v>823</v>
      </c>
      <c r="M40" s="123" t="s">
        <v>679</v>
      </c>
      <c r="N40" s="132" t="s">
        <v>596</v>
      </c>
      <c r="O40" s="132" t="s">
        <v>826</v>
      </c>
      <c r="P40" s="124">
        <v>1984</v>
      </c>
      <c r="Q40" s="132" t="s">
        <v>596</v>
      </c>
      <c r="R40" s="132" t="s">
        <v>825</v>
      </c>
      <c r="S40" s="125" t="s">
        <v>641</v>
      </c>
      <c r="T40" s="132" t="s">
        <v>596</v>
      </c>
      <c r="U40" s="132" t="s">
        <v>819</v>
      </c>
      <c r="V40" s="124">
        <v>2115</v>
      </c>
      <c r="W40" s="132" t="s">
        <v>596</v>
      </c>
      <c r="X40" s="132" t="s">
        <v>820</v>
      </c>
      <c r="Y40" s="126" t="s">
        <v>641</v>
      </c>
      <c r="Z40" s="132" t="s">
        <v>596</v>
      </c>
      <c r="AA40" s="132" t="s">
        <v>819</v>
      </c>
      <c r="AB40" s="124">
        <v>2124</v>
      </c>
      <c r="AC40" s="132" t="s">
        <v>596</v>
      </c>
      <c r="AD40" s="132" t="s">
        <v>820</v>
      </c>
      <c r="AE40" s="126" t="s">
        <v>641</v>
      </c>
      <c r="AF40" s="132" t="s">
        <v>596</v>
      </c>
      <c r="AG40" s="132" t="s">
        <v>819</v>
      </c>
      <c r="AH40" s="124">
        <v>2060</v>
      </c>
      <c r="AI40" s="132" t="s">
        <v>596</v>
      </c>
      <c r="AJ40" s="132" t="s">
        <v>820</v>
      </c>
      <c r="AK40" s="126" t="s">
        <v>641</v>
      </c>
      <c r="AL40" s="132" t="s">
        <v>596</v>
      </c>
      <c r="AM40" s="131" t="s">
        <v>594</v>
      </c>
    </row>
    <row r="41" spans="1:39">
      <c r="A41" s="130" t="s">
        <v>746</v>
      </c>
      <c r="B41" s="130" t="s">
        <v>815</v>
      </c>
      <c r="C41" s="115">
        <f>+IFERROR(IF(SUBTOTAL(3,M41),C40+1,C40),1)</f>
        <v>39</v>
      </c>
      <c r="D41" s="132" t="s">
        <v>596</v>
      </c>
      <c r="E41" s="132" t="s">
        <v>817</v>
      </c>
      <c r="F41" s="173" t="s">
        <v>812</v>
      </c>
      <c r="G41" s="173" t="str">
        <f t="shared" si="0"/>
        <v>https://ratings.fide.com/card.phtml?event=4137779</v>
      </c>
      <c r="H41" s="173" t="s">
        <v>813</v>
      </c>
      <c r="I41" s="116">
        <f>HYPERLINK("https://ratings.fide.com/card.phtml?event=4137779",4137779)</f>
        <v>4137779</v>
      </c>
      <c r="J41" s="176" t="s">
        <v>811</v>
      </c>
      <c r="K41" s="132" t="s">
        <v>596</v>
      </c>
      <c r="L41" s="132" t="s">
        <v>823</v>
      </c>
      <c r="M41" s="117" t="s">
        <v>680</v>
      </c>
      <c r="N41" s="132" t="s">
        <v>596</v>
      </c>
      <c r="O41" s="132" t="s">
        <v>826</v>
      </c>
      <c r="P41" s="118">
        <v>1958</v>
      </c>
      <c r="Q41" s="132" t="s">
        <v>596</v>
      </c>
      <c r="R41" s="132" t="s">
        <v>825</v>
      </c>
      <c r="S41" s="128" t="s">
        <v>281</v>
      </c>
      <c r="T41" s="132" t="s">
        <v>596</v>
      </c>
      <c r="U41" s="132" t="s">
        <v>819</v>
      </c>
      <c r="V41" s="118">
        <v>2082</v>
      </c>
      <c r="W41" s="132" t="s">
        <v>596</v>
      </c>
      <c r="X41" s="132" t="s">
        <v>820</v>
      </c>
      <c r="Y41" s="120" t="s">
        <v>641</v>
      </c>
      <c r="Z41" s="132" t="s">
        <v>596</v>
      </c>
      <c r="AA41" s="132" t="s">
        <v>819</v>
      </c>
      <c r="AB41" s="118">
        <v>2041</v>
      </c>
      <c r="AC41" s="132" t="s">
        <v>596</v>
      </c>
      <c r="AD41" s="132" t="s">
        <v>820</v>
      </c>
      <c r="AE41" s="120" t="s">
        <v>641</v>
      </c>
      <c r="AF41" s="132" t="s">
        <v>596</v>
      </c>
      <c r="AG41" s="132" t="s">
        <v>819</v>
      </c>
      <c r="AH41" s="118">
        <v>2037</v>
      </c>
      <c r="AI41" s="132" t="s">
        <v>596</v>
      </c>
      <c r="AJ41" s="132" t="s">
        <v>820</v>
      </c>
      <c r="AK41" s="120" t="s">
        <v>641</v>
      </c>
      <c r="AL41" s="132" t="s">
        <v>596</v>
      </c>
      <c r="AM41" s="131" t="s">
        <v>594</v>
      </c>
    </row>
    <row r="42" spans="1:39">
      <c r="A42" s="130" t="s">
        <v>746</v>
      </c>
      <c r="B42" s="130" t="s">
        <v>815</v>
      </c>
      <c r="C42" s="121">
        <f>+IFERROR(IF(SUBTOTAL(3,M42),C41+1,C41),1)</f>
        <v>40</v>
      </c>
      <c r="D42" s="132" t="s">
        <v>596</v>
      </c>
      <c r="E42" s="132" t="s">
        <v>817</v>
      </c>
      <c r="F42" s="173" t="s">
        <v>812</v>
      </c>
      <c r="G42" s="173" t="str">
        <f t="shared" si="0"/>
        <v>https://ratings.fide.com/card.phtml?event=4150864</v>
      </c>
      <c r="H42" s="173" t="s">
        <v>813</v>
      </c>
      <c r="I42" s="122">
        <f>HYPERLINK("https://ratings.fide.com/card.phtml?event=4150864",4150864)</f>
        <v>4150864</v>
      </c>
      <c r="J42" s="176" t="s">
        <v>811</v>
      </c>
      <c r="K42" s="132" t="s">
        <v>596</v>
      </c>
      <c r="L42" s="132" t="s">
        <v>823</v>
      </c>
      <c r="M42" s="123" t="s">
        <v>681</v>
      </c>
      <c r="N42" s="132" t="s">
        <v>596</v>
      </c>
      <c r="O42" s="132" t="s">
        <v>826</v>
      </c>
      <c r="P42" s="124">
        <v>1984</v>
      </c>
      <c r="Q42" s="132" t="s">
        <v>596</v>
      </c>
      <c r="R42" s="132" t="s">
        <v>825</v>
      </c>
      <c r="S42" s="127" t="s">
        <v>294</v>
      </c>
      <c r="T42" s="132" t="s">
        <v>596</v>
      </c>
      <c r="U42" s="132" t="s">
        <v>819</v>
      </c>
      <c r="V42" s="124">
        <v>2162</v>
      </c>
      <c r="W42" s="132" t="s">
        <v>596</v>
      </c>
      <c r="X42" s="132" t="s">
        <v>820</v>
      </c>
      <c r="Y42" s="126" t="s">
        <v>641</v>
      </c>
      <c r="Z42" s="132" t="s">
        <v>596</v>
      </c>
      <c r="AA42" s="132" t="s">
        <v>819</v>
      </c>
      <c r="AB42" s="124">
        <v>0</v>
      </c>
      <c r="AC42" s="132" t="s">
        <v>596</v>
      </c>
      <c r="AD42" s="132" t="s">
        <v>820</v>
      </c>
      <c r="AE42" s="126" t="s">
        <v>641</v>
      </c>
      <c r="AF42" s="132" t="s">
        <v>596</v>
      </c>
      <c r="AG42" s="132" t="s">
        <v>819</v>
      </c>
      <c r="AH42" s="124">
        <v>0</v>
      </c>
      <c r="AI42" s="132" t="s">
        <v>596</v>
      </c>
      <c r="AJ42" s="132" t="s">
        <v>820</v>
      </c>
      <c r="AK42" s="126" t="s">
        <v>641</v>
      </c>
      <c r="AL42" s="132" t="s">
        <v>596</v>
      </c>
      <c r="AM42" s="131" t="s">
        <v>594</v>
      </c>
    </row>
    <row r="43" spans="1:39">
      <c r="A43" s="130" t="s">
        <v>746</v>
      </c>
      <c r="B43" s="130" t="s">
        <v>815</v>
      </c>
      <c r="C43" s="115">
        <f>+IFERROR(IF(SUBTOTAL(3,M43),C42+1,C42),1)</f>
        <v>41</v>
      </c>
      <c r="D43" s="132" t="s">
        <v>596</v>
      </c>
      <c r="E43" s="132" t="s">
        <v>817</v>
      </c>
      <c r="F43" s="173" t="s">
        <v>812</v>
      </c>
      <c r="G43" s="173" t="str">
        <f t="shared" si="0"/>
        <v>https://ratings.fide.com/card.phtml?event=34166278</v>
      </c>
      <c r="H43" s="173" t="s">
        <v>813</v>
      </c>
      <c r="I43" s="116">
        <f>HYPERLINK("https://ratings.fide.com/card.phtml?event=34166278",34166278)</f>
        <v>34166278</v>
      </c>
      <c r="J43" s="176" t="s">
        <v>811</v>
      </c>
      <c r="K43" s="132" t="s">
        <v>596</v>
      </c>
      <c r="L43" s="132" t="s">
        <v>823</v>
      </c>
      <c r="M43" s="117" t="s">
        <v>682</v>
      </c>
      <c r="N43" s="132" t="s">
        <v>596</v>
      </c>
      <c r="O43" s="132" t="s">
        <v>826</v>
      </c>
      <c r="P43" s="118">
        <v>2004</v>
      </c>
      <c r="Q43" s="132" t="s">
        <v>596</v>
      </c>
      <c r="R43" s="132" t="s">
        <v>825</v>
      </c>
      <c r="S43" s="119" t="s">
        <v>641</v>
      </c>
      <c r="T43" s="132" t="s">
        <v>596</v>
      </c>
      <c r="U43" s="132" t="s">
        <v>819</v>
      </c>
      <c r="V43" s="118">
        <v>2117</v>
      </c>
      <c r="W43" s="132" t="s">
        <v>596</v>
      </c>
      <c r="X43" s="132" t="s">
        <v>820</v>
      </c>
      <c r="Y43" s="120" t="s">
        <v>641</v>
      </c>
      <c r="Z43" s="132" t="s">
        <v>596</v>
      </c>
      <c r="AA43" s="132" t="s">
        <v>819</v>
      </c>
      <c r="AB43" s="118">
        <v>2064</v>
      </c>
      <c r="AC43" s="132" t="s">
        <v>596</v>
      </c>
      <c r="AD43" s="132" t="s">
        <v>820</v>
      </c>
      <c r="AE43" s="120">
        <v>19</v>
      </c>
      <c r="AF43" s="132" t="s">
        <v>596</v>
      </c>
      <c r="AG43" s="132" t="s">
        <v>819</v>
      </c>
      <c r="AH43" s="118">
        <v>1954</v>
      </c>
      <c r="AI43" s="132" t="s">
        <v>596</v>
      </c>
      <c r="AJ43" s="132" t="s">
        <v>820</v>
      </c>
      <c r="AK43" s="120">
        <v>-18</v>
      </c>
      <c r="AL43" s="132" t="s">
        <v>596</v>
      </c>
      <c r="AM43" s="131" t="s">
        <v>594</v>
      </c>
    </row>
    <row r="44" spans="1:39">
      <c r="A44" s="130" t="s">
        <v>746</v>
      </c>
      <c r="B44" s="130" t="s">
        <v>815</v>
      </c>
      <c r="C44" s="121">
        <f>+IFERROR(IF(SUBTOTAL(3,M44),C43+1,C43),1)</f>
        <v>42</v>
      </c>
      <c r="D44" s="132" t="s">
        <v>596</v>
      </c>
      <c r="E44" s="132" t="s">
        <v>817</v>
      </c>
      <c r="F44" s="173" t="s">
        <v>812</v>
      </c>
      <c r="G44" s="173" t="str">
        <f t="shared" si="0"/>
        <v>https://ratings.fide.com/card.phtml?event=24132420</v>
      </c>
      <c r="H44" s="173" t="s">
        <v>813</v>
      </c>
      <c r="I44" s="122">
        <f>HYPERLINK("https://ratings.fide.com/card.phtml?event=24132420",24132420)</f>
        <v>24132420</v>
      </c>
      <c r="J44" s="176" t="s">
        <v>811</v>
      </c>
      <c r="K44" s="132" t="s">
        <v>596</v>
      </c>
      <c r="L44" s="132" t="s">
        <v>823</v>
      </c>
      <c r="M44" s="123" t="s">
        <v>683</v>
      </c>
      <c r="N44" s="132" t="s">
        <v>596</v>
      </c>
      <c r="O44" s="132" t="s">
        <v>826</v>
      </c>
      <c r="P44" s="124">
        <v>1982</v>
      </c>
      <c r="Q44" s="132" t="s">
        <v>596</v>
      </c>
      <c r="R44" s="132" t="s">
        <v>825</v>
      </c>
      <c r="S44" s="127" t="s">
        <v>294</v>
      </c>
      <c r="T44" s="132" t="s">
        <v>596</v>
      </c>
      <c r="U44" s="132" t="s">
        <v>819</v>
      </c>
      <c r="V44" s="124">
        <v>2144</v>
      </c>
      <c r="W44" s="132" t="s">
        <v>596</v>
      </c>
      <c r="X44" s="132" t="s">
        <v>820</v>
      </c>
      <c r="Y44" s="126" t="s">
        <v>641</v>
      </c>
      <c r="Z44" s="132" t="s">
        <v>596</v>
      </c>
      <c r="AA44" s="132" t="s">
        <v>819</v>
      </c>
      <c r="AB44" s="124">
        <v>2000</v>
      </c>
      <c r="AC44" s="132" t="s">
        <v>596</v>
      </c>
      <c r="AD44" s="132" t="s">
        <v>820</v>
      </c>
      <c r="AE44" s="126" t="s">
        <v>641</v>
      </c>
      <c r="AF44" s="132" t="s">
        <v>596</v>
      </c>
      <c r="AG44" s="132" t="s">
        <v>819</v>
      </c>
      <c r="AH44" s="124">
        <v>0</v>
      </c>
      <c r="AI44" s="132" t="s">
        <v>596</v>
      </c>
      <c r="AJ44" s="132" t="s">
        <v>820</v>
      </c>
      <c r="AK44" s="126" t="s">
        <v>641</v>
      </c>
      <c r="AL44" s="132" t="s">
        <v>596</v>
      </c>
      <c r="AM44" s="131" t="s">
        <v>594</v>
      </c>
    </row>
    <row r="45" spans="1:39">
      <c r="A45" s="130" t="s">
        <v>746</v>
      </c>
      <c r="B45" s="130" t="s">
        <v>815</v>
      </c>
      <c r="C45" s="115">
        <f>+IFERROR(IF(SUBTOTAL(3,M45),C44+1,C44),1)</f>
        <v>43</v>
      </c>
      <c r="D45" s="132" t="s">
        <v>596</v>
      </c>
      <c r="E45" s="132" t="s">
        <v>817</v>
      </c>
      <c r="F45" s="173" t="s">
        <v>812</v>
      </c>
      <c r="G45" s="173" t="str">
        <f t="shared" si="0"/>
        <v>https://ratings.fide.com/card.phtml?event=24132349</v>
      </c>
      <c r="H45" s="173" t="s">
        <v>813</v>
      </c>
      <c r="I45" s="116">
        <f>HYPERLINK("https://ratings.fide.com/card.phtml?event=24132349",24132349)</f>
        <v>24132349</v>
      </c>
      <c r="J45" s="176" t="s">
        <v>811</v>
      </c>
      <c r="K45" s="132" t="s">
        <v>596</v>
      </c>
      <c r="L45" s="132" t="s">
        <v>823</v>
      </c>
      <c r="M45" s="117" t="s">
        <v>684</v>
      </c>
      <c r="N45" s="132" t="s">
        <v>596</v>
      </c>
      <c r="O45" s="132" t="s">
        <v>826</v>
      </c>
      <c r="P45" s="118">
        <v>1960</v>
      </c>
      <c r="Q45" s="132" t="s">
        <v>596</v>
      </c>
      <c r="R45" s="132" t="s">
        <v>825</v>
      </c>
      <c r="S45" s="119" t="s">
        <v>641</v>
      </c>
      <c r="T45" s="132" t="s">
        <v>596</v>
      </c>
      <c r="U45" s="132" t="s">
        <v>819</v>
      </c>
      <c r="V45" s="118">
        <v>2052</v>
      </c>
      <c r="W45" s="132" t="s">
        <v>596</v>
      </c>
      <c r="X45" s="132" t="s">
        <v>820</v>
      </c>
      <c r="Y45" s="120" t="s">
        <v>641</v>
      </c>
      <c r="Z45" s="132" t="s">
        <v>596</v>
      </c>
      <c r="AA45" s="132" t="s">
        <v>819</v>
      </c>
      <c r="AB45" s="118">
        <v>2052</v>
      </c>
      <c r="AC45" s="132" t="s">
        <v>596</v>
      </c>
      <c r="AD45" s="132" t="s">
        <v>820</v>
      </c>
      <c r="AE45" s="120">
        <v>-3</v>
      </c>
      <c r="AF45" s="132" t="s">
        <v>596</v>
      </c>
      <c r="AG45" s="132" t="s">
        <v>819</v>
      </c>
      <c r="AH45" s="118">
        <v>2027</v>
      </c>
      <c r="AI45" s="132" t="s">
        <v>596</v>
      </c>
      <c r="AJ45" s="132" t="s">
        <v>820</v>
      </c>
      <c r="AK45" s="120">
        <v>-6</v>
      </c>
      <c r="AL45" s="132" t="s">
        <v>596</v>
      </c>
      <c r="AM45" s="131" t="s">
        <v>594</v>
      </c>
    </row>
    <row r="46" spans="1:39">
      <c r="A46" s="130" t="s">
        <v>746</v>
      </c>
      <c r="B46" s="130" t="s">
        <v>815</v>
      </c>
      <c r="C46" s="121">
        <f>+IFERROR(IF(SUBTOTAL(3,M46),C45+1,C45),1)</f>
        <v>44</v>
      </c>
      <c r="D46" s="132" t="s">
        <v>596</v>
      </c>
      <c r="E46" s="132" t="s">
        <v>817</v>
      </c>
      <c r="F46" s="173" t="s">
        <v>812</v>
      </c>
      <c r="G46" s="173" t="str">
        <f t="shared" si="0"/>
        <v>https://ratings.fide.com/card.phtml?event=24101621</v>
      </c>
      <c r="H46" s="173" t="s">
        <v>813</v>
      </c>
      <c r="I46" s="122">
        <f>HYPERLINK("https://ratings.fide.com/card.phtml?event=24101621",24101621)</f>
        <v>24101621</v>
      </c>
      <c r="J46" s="176" t="s">
        <v>811</v>
      </c>
      <c r="K46" s="132" t="s">
        <v>596</v>
      </c>
      <c r="L46" s="132" t="s">
        <v>823</v>
      </c>
      <c r="M46" s="123" t="s">
        <v>685</v>
      </c>
      <c r="N46" s="132" t="s">
        <v>596</v>
      </c>
      <c r="O46" s="132" t="s">
        <v>826</v>
      </c>
      <c r="P46" s="124">
        <v>1998</v>
      </c>
      <c r="Q46" s="132" t="s">
        <v>596</v>
      </c>
      <c r="R46" s="132" t="s">
        <v>825</v>
      </c>
      <c r="S46" s="127" t="s">
        <v>226</v>
      </c>
      <c r="T46" s="132" t="s">
        <v>596</v>
      </c>
      <c r="U46" s="132" t="s">
        <v>819</v>
      </c>
      <c r="V46" s="124">
        <v>2123</v>
      </c>
      <c r="W46" s="132" t="s">
        <v>596</v>
      </c>
      <c r="X46" s="132" t="s">
        <v>820</v>
      </c>
      <c r="Y46" s="126" t="s">
        <v>641</v>
      </c>
      <c r="Z46" s="132" t="s">
        <v>596</v>
      </c>
      <c r="AA46" s="132" t="s">
        <v>819</v>
      </c>
      <c r="AB46" s="124">
        <v>1996</v>
      </c>
      <c r="AC46" s="132" t="s">
        <v>596</v>
      </c>
      <c r="AD46" s="132" t="s">
        <v>820</v>
      </c>
      <c r="AE46" s="126" t="s">
        <v>641</v>
      </c>
      <c r="AF46" s="132" t="s">
        <v>596</v>
      </c>
      <c r="AG46" s="132" t="s">
        <v>819</v>
      </c>
      <c r="AH46" s="124">
        <v>1935</v>
      </c>
      <c r="AI46" s="132" t="s">
        <v>596</v>
      </c>
      <c r="AJ46" s="132" t="s">
        <v>820</v>
      </c>
      <c r="AK46" s="126" t="s">
        <v>641</v>
      </c>
      <c r="AL46" s="132" t="s">
        <v>596</v>
      </c>
      <c r="AM46" s="131" t="s">
        <v>594</v>
      </c>
    </row>
    <row r="47" spans="1:39">
      <c r="A47" s="130" t="s">
        <v>746</v>
      </c>
      <c r="B47" s="130" t="s">
        <v>815</v>
      </c>
      <c r="C47" s="115">
        <f>+IFERROR(IF(SUBTOTAL(3,M47),C46+1,C46),1)</f>
        <v>45</v>
      </c>
      <c r="D47" s="132" t="s">
        <v>596</v>
      </c>
      <c r="E47" s="132" t="s">
        <v>817</v>
      </c>
      <c r="F47" s="173" t="s">
        <v>812</v>
      </c>
      <c r="G47" s="173" t="str">
        <f t="shared" si="0"/>
        <v>https://ratings.fide.com/card.phtml?event=4170857</v>
      </c>
      <c r="H47" s="173" t="s">
        <v>813</v>
      </c>
      <c r="I47" s="116">
        <f>HYPERLINK("https://ratings.fide.com/card.phtml?event=4170857",4170857)</f>
        <v>4170857</v>
      </c>
      <c r="J47" s="176" t="s">
        <v>811</v>
      </c>
      <c r="K47" s="132" t="s">
        <v>596</v>
      </c>
      <c r="L47" s="132" t="s">
        <v>823</v>
      </c>
      <c r="M47" s="117" t="s">
        <v>686</v>
      </c>
      <c r="N47" s="132" t="s">
        <v>596</v>
      </c>
      <c r="O47" s="132" t="s">
        <v>826</v>
      </c>
      <c r="P47" s="118">
        <v>1983</v>
      </c>
      <c r="Q47" s="132" t="s">
        <v>596</v>
      </c>
      <c r="R47" s="132" t="s">
        <v>825</v>
      </c>
      <c r="S47" s="128" t="s">
        <v>294</v>
      </c>
      <c r="T47" s="132" t="s">
        <v>596</v>
      </c>
      <c r="U47" s="132" t="s">
        <v>819</v>
      </c>
      <c r="V47" s="118">
        <v>2079</v>
      </c>
      <c r="W47" s="132" t="s">
        <v>596</v>
      </c>
      <c r="X47" s="132" t="s">
        <v>820</v>
      </c>
      <c r="Y47" s="120" t="s">
        <v>641</v>
      </c>
      <c r="Z47" s="132" t="s">
        <v>596</v>
      </c>
      <c r="AA47" s="132" t="s">
        <v>819</v>
      </c>
      <c r="AB47" s="118">
        <v>2069</v>
      </c>
      <c r="AC47" s="132" t="s">
        <v>596</v>
      </c>
      <c r="AD47" s="132" t="s">
        <v>820</v>
      </c>
      <c r="AE47" s="120" t="s">
        <v>641</v>
      </c>
      <c r="AF47" s="132" t="s">
        <v>596</v>
      </c>
      <c r="AG47" s="132" t="s">
        <v>819</v>
      </c>
      <c r="AH47" s="118">
        <v>0</v>
      </c>
      <c r="AI47" s="132" t="s">
        <v>596</v>
      </c>
      <c r="AJ47" s="132" t="s">
        <v>820</v>
      </c>
      <c r="AK47" s="120" t="s">
        <v>641</v>
      </c>
      <c r="AL47" s="132" t="s">
        <v>596</v>
      </c>
      <c r="AM47" s="131" t="s">
        <v>594</v>
      </c>
    </row>
    <row r="48" spans="1:39">
      <c r="A48" s="130" t="s">
        <v>746</v>
      </c>
      <c r="B48" s="130" t="s">
        <v>815</v>
      </c>
      <c r="C48" s="121">
        <f>+IFERROR(IF(SUBTOTAL(3,M48),C47+1,C47),1)</f>
        <v>46</v>
      </c>
      <c r="D48" s="132" t="s">
        <v>596</v>
      </c>
      <c r="E48" s="132" t="s">
        <v>817</v>
      </c>
      <c r="F48" s="173" t="s">
        <v>812</v>
      </c>
      <c r="G48" s="173" t="str">
        <f t="shared" si="0"/>
        <v>https://ratings.fide.com/card.phtml?event=34128392</v>
      </c>
      <c r="H48" s="173" t="s">
        <v>813</v>
      </c>
      <c r="I48" s="122">
        <f>HYPERLINK("https://ratings.fide.com/card.phtml?event=34128392",34128392)</f>
        <v>34128392</v>
      </c>
      <c r="J48" s="176" t="s">
        <v>811</v>
      </c>
      <c r="K48" s="132" t="s">
        <v>596</v>
      </c>
      <c r="L48" s="132" t="s">
        <v>823</v>
      </c>
      <c r="M48" s="123" t="s">
        <v>687</v>
      </c>
      <c r="N48" s="132" t="s">
        <v>596</v>
      </c>
      <c r="O48" s="132" t="s">
        <v>826</v>
      </c>
      <c r="P48" s="124">
        <v>1937</v>
      </c>
      <c r="Q48" s="132" t="s">
        <v>596</v>
      </c>
      <c r="R48" s="132" t="s">
        <v>825</v>
      </c>
      <c r="S48" s="127" t="s">
        <v>226</v>
      </c>
      <c r="T48" s="132" t="s">
        <v>596</v>
      </c>
      <c r="U48" s="132" t="s">
        <v>819</v>
      </c>
      <c r="V48" s="124">
        <v>0</v>
      </c>
      <c r="W48" s="132" t="s">
        <v>596</v>
      </c>
      <c r="X48" s="132" t="s">
        <v>820</v>
      </c>
      <c r="Y48" s="126" t="s">
        <v>641</v>
      </c>
      <c r="Z48" s="132" t="s">
        <v>596</v>
      </c>
      <c r="AA48" s="132" t="s">
        <v>819</v>
      </c>
      <c r="AB48" s="124">
        <v>1891</v>
      </c>
      <c r="AC48" s="132" t="s">
        <v>596</v>
      </c>
      <c r="AD48" s="132" t="s">
        <v>820</v>
      </c>
      <c r="AE48" s="126" t="s">
        <v>641</v>
      </c>
      <c r="AF48" s="132" t="s">
        <v>596</v>
      </c>
      <c r="AG48" s="132" t="s">
        <v>819</v>
      </c>
      <c r="AH48" s="124">
        <v>0</v>
      </c>
      <c r="AI48" s="132" t="s">
        <v>596</v>
      </c>
      <c r="AJ48" s="132" t="s">
        <v>820</v>
      </c>
      <c r="AK48" s="126" t="s">
        <v>641</v>
      </c>
      <c r="AL48" s="132" t="s">
        <v>596</v>
      </c>
      <c r="AM48" s="131" t="s">
        <v>594</v>
      </c>
    </row>
    <row r="49" spans="1:39">
      <c r="A49" s="130" t="s">
        <v>746</v>
      </c>
      <c r="B49" s="130" t="s">
        <v>815</v>
      </c>
      <c r="C49" s="115">
        <f>+IFERROR(IF(SUBTOTAL(3,M49),C48+1,C48),1)</f>
        <v>47</v>
      </c>
      <c r="D49" s="132" t="s">
        <v>596</v>
      </c>
      <c r="E49" s="132" t="s">
        <v>817</v>
      </c>
      <c r="F49" s="173" t="s">
        <v>812</v>
      </c>
      <c r="G49" s="173" t="str">
        <f t="shared" si="0"/>
        <v>https://ratings.fide.com/card.phtml?event=44136692</v>
      </c>
      <c r="H49" s="173" t="s">
        <v>813</v>
      </c>
      <c r="I49" s="116">
        <f>HYPERLINK("https://ratings.fide.com/card.phtml?event=44136692",44136692)</f>
        <v>44136692</v>
      </c>
      <c r="J49" s="176" t="s">
        <v>811</v>
      </c>
      <c r="K49" s="132" t="s">
        <v>596</v>
      </c>
      <c r="L49" s="132" t="s">
        <v>823</v>
      </c>
      <c r="M49" s="117" t="s">
        <v>688</v>
      </c>
      <c r="N49" s="132" t="s">
        <v>596</v>
      </c>
      <c r="O49" s="132" t="s">
        <v>826</v>
      </c>
      <c r="P49" s="118">
        <v>1981</v>
      </c>
      <c r="Q49" s="132" t="s">
        <v>596</v>
      </c>
      <c r="R49" s="132" t="s">
        <v>825</v>
      </c>
      <c r="S49" s="119" t="s">
        <v>641</v>
      </c>
      <c r="T49" s="132" t="s">
        <v>596</v>
      </c>
      <c r="U49" s="132" t="s">
        <v>819</v>
      </c>
      <c r="V49" s="118">
        <v>0</v>
      </c>
      <c r="W49" s="132" t="s">
        <v>596</v>
      </c>
      <c r="X49" s="132" t="s">
        <v>820</v>
      </c>
      <c r="Y49" s="120" t="s">
        <v>641</v>
      </c>
      <c r="Z49" s="132" t="s">
        <v>596</v>
      </c>
      <c r="AA49" s="132" t="s">
        <v>819</v>
      </c>
      <c r="AB49" s="118">
        <v>2018</v>
      </c>
      <c r="AC49" s="132" t="s">
        <v>596</v>
      </c>
      <c r="AD49" s="132" t="s">
        <v>820</v>
      </c>
      <c r="AE49" s="120" t="s">
        <v>641</v>
      </c>
      <c r="AF49" s="132" t="s">
        <v>596</v>
      </c>
      <c r="AG49" s="132" t="s">
        <v>819</v>
      </c>
      <c r="AH49" s="118">
        <v>2051</v>
      </c>
      <c r="AI49" s="132" t="s">
        <v>596</v>
      </c>
      <c r="AJ49" s="132" t="s">
        <v>820</v>
      </c>
      <c r="AK49" s="120" t="s">
        <v>641</v>
      </c>
      <c r="AL49" s="132" t="s">
        <v>596</v>
      </c>
      <c r="AM49" s="131" t="s">
        <v>594</v>
      </c>
    </row>
    <row r="50" spans="1:39">
      <c r="A50" s="130" t="s">
        <v>746</v>
      </c>
      <c r="B50" s="130" t="s">
        <v>815</v>
      </c>
      <c r="C50" s="121">
        <f>+IFERROR(IF(SUBTOTAL(3,M50),C49+1,C49),1)</f>
        <v>48</v>
      </c>
      <c r="D50" s="132" t="s">
        <v>596</v>
      </c>
      <c r="E50" s="132" t="s">
        <v>817</v>
      </c>
      <c r="F50" s="173" t="s">
        <v>812</v>
      </c>
      <c r="G50" s="173" t="str">
        <f t="shared" si="0"/>
        <v>https://ratings.fide.com/card.phtml?event=34101583</v>
      </c>
      <c r="H50" s="173" t="s">
        <v>813</v>
      </c>
      <c r="I50" s="122">
        <f>HYPERLINK("https://ratings.fide.com/card.phtml?event=34101583",34101583)</f>
        <v>34101583</v>
      </c>
      <c r="J50" s="176" t="s">
        <v>811</v>
      </c>
      <c r="K50" s="132" t="s">
        <v>596</v>
      </c>
      <c r="L50" s="132" t="s">
        <v>823</v>
      </c>
      <c r="M50" s="123" t="s">
        <v>689</v>
      </c>
      <c r="N50" s="132" t="s">
        <v>596</v>
      </c>
      <c r="O50" s="132" t="s">
        <v>826</v>
      </c>
      <c r="P50" s="124">
        <v>1946</v>
      </c>
      <c r="Q50" s="132" t="s">
        <v>596</v>
      </c>
      <c r="R50" s="132" t="s">
        <v>825</v>
      </c>
      <c r="S50" s="127" t="s">
        <v>226</v>
      </c>
      <c r="T50" s="132" t="s">
        <v>596</v>
      </c>
      <c r="U50" s="132" t="s">
        <v>819</v>
      </c>
      <c r="V50" s="124">
        <v>2090</v>
      </c>
      <c r="W50" s="132" t="s">
        <v>596</v>
      </c>
      <c r="X50" s="132" t="s">
        <v>820</v>
      </c>
      <c r="Y50" s="126" t="s">
        <v>641</v>
      </c>
      <c r="Z50" s="132" t="s">
        <v>596</v>
      </c>
      <c r="AA50" s="132" t="s">
        <v>819</v>
      </c>
      <c r="AB50" s="124">
        <v>2064</v>
      </c>
      <c r="AC50" s="132" t="s">
        <v>596</v>
      </c>
      <c r="AD50" s="132" t="s">
        <v>820</v>
      </c>
      <c r="AE50" s="126">
        <v>14</v>
      </c>
      <c r="AF50" s="132" t="s">
        <v>596</v>
      </c>
      <c r="AG50" s="132" t="s">
        <v>819</v>
      </c>
      <c r="AH50" s="124">
        <v>1931</v>
      </c>
      <c r="AI50" s="132" t="s">
        <v>596</v>
      </c>
      <c r="AJ50" s="132" t="s">
        <v>820</v>
      </c>
      <c r="AK50" s="126">
        <v>-4</v>
      </c>
      <c r="AL50" s="132" t="s">
        <v>596</v>
      </c>
      <c r="AM50" s="131" t="s">
        <v>594</v>
      </c>
    </row>
    <row r="51" spans="1:39">
      <c r="A51" s="130" t="s">
        <v>746</v>
      </c>
      <c r="B51" s="130" t="s">
        <v>815</v>
      </c>
      <c r="C51" s="115">
        <f>+IFERROR(IF(SUBTOTAL(3,M51),C50+1,C50),1)</f>
        <v>49</v>
      </c>
      <c r="D51" s="132" t="s">
        <v>596</v>
      </c>
      <c r="E51" s="132" t="s">
        <v>817</v>
      </c>
      <c r="F51" s="173" t="s">
        <v>812</v>
      </c>
      <c r="G51" s="173" t="str">
        <f t="shared" si="0"/>
        <v>https://ratings.fide.com/card.phtml?event=34143480</v>
      </c>
      <c r="H51" s="173" t="s">
        <v>813</v>
      </c>
      <c r="I51" s="116">
        <f>HYPERLINK("https://ratings.fide.com/card.phtml?event=34143480",34143480)</f>
        <v>34143480</v>
      </c>
      <c r="J51" s="176" t="s">
        <v>811</v>
      </c>
      <c r="K51" s="132" t="s">
        <v>596</v>
      </c>
      <c r="L51" s="132" t="s">
        <v>823</v>
      </c>
      <c r="M51" s="117" t="s">
        <v>690</v>
      </c>
      <c r="N51" s="132" t="s">
        <v>596</v>
      </c>
      <c r="O51" s="132" t="s">
        <v>826</v>
      </c>
      <c r="P51" s="118">
        <v>1954</v>
      </c>
      <c r="Q51" s="132" t="s">
        <v>596</v>
      </c>
      <c r="R51" s="132" t="s">
        <v>825</v>
      </c>
      <c r="S51" s="128" t="s">
        <v>226</v>
      </c>
      <c r="T51" s="132" t="s">
        <v>596</v>
      </c>
      <c r="U51" s="132" t="s">
        <v>819</v>
      </c>
      <c r="V51" s="118">
        <v>2070</v>
      </c>
      <c r="W51" s="132" t="s">
        <v>596</v>
      </c>
      <c r="X51" s="132" t="s">
        <v>820</v>
      </c>
      <c r="Y51" s="120" t="s">
        <v>641</v>
      </c>
      <c r="Z51" s="132" t="s">
        <v>596</v>
      </c>
      <c r="AA51" s="132" t="s">
        <v>819</v>
      </c>
      <c r="AB51" s="118">
        <v>1944</v>
      </c>
      <c r="AC51" s="132" t="s">
        <v>596</v>
      </c>
      <c r="AD51" s="132" t="s">
        <v>820</v>
      </c>
      <c r="AE51" s="120">
        <v>1</v>
      </c>
      <c r="AF51" s="132" t="s">
        <v>596</v>
      </c>
      <c r="AG51" s="132" t="s">
        <v>819</v>
      </c>
      <c r="AH51" s="118">
        <v>1981</v>
      </c>
      <c r="AI51" s="132" t="s">
        <v>596</v>
      </c>
      <c r="AJ51" s="132" t="s">
        <v>820</v>
      </c>
      <c r="AK51" s="120" t="s">
        <v>641</v>
      </c>
      <c r="AL51" s="132" t="s">
        <v>596</v>
      </c>
      <c r="AM51" s="131" t="s">
        <v>594</v>
      </c>
    </row>
    <row r="52" spans="1:39">
      <c r="A52" s="130" t="s">
        <v>746</v>
      </c>
      <c r="B52" s="130" t="s">
        <v>815</v>
      </c>
      <c r="C52" s="121">
        <f>+IFERROR(IF(SUBTOTAL(3,M52),C51+1,C51),1)</f>
        <v>50</v>
      </c>
      <c r="D52" s="132" t="s">
        <v>596</v>
      </c>
      <c r="E52" s="132" t="s">
        <v>817</v>
      </c>
      <c r="F52" s="173" t="s">
        <v>812</v>
      </c>
      <c r="G52" s="173" t="str">
        <f t="shared" si="0"/>
        <v>https://ratings.fide.com/card.phtml?event=24127841</v>
      </c>
      <c r="H52" s="173" t="s">
        <v>813</v>
      </c>
      <c r="I52" s="122">
        <f>HYPERLINK("https://ratings.fide.com/card.phtml?event=24127841",24127841)</f>
        <v>24127841</v>
      </c>
      <c r="J52" s="176" t="s">
        <v>811</v>
      </c>
      <c r="K52" s="132" t="s">
        <v>596</v>
      </c>
      <c r="L52" s="132" t="s">
        <v>823</v>
      </c>
      <c r="M52" s="123" t="s">
        <v>691</v>
      </c>
      <c r="N52" s="132" t="s">
        <v>596</v>
      </c>
      <c r="O52" s="132" t="s">
        <v>826</v>
      </c>
      <c r="P52" s="124">
        <v>1967</v>
      </c>
      <c r="Q52" s="132" t="s">
        <v>596</v>
      </c>
      <c r="R52" s="132" t="s">
        <v>825</v>
      </c>
      <c r="S52" s="127" t="s">
        <v>692</v>
      </c>
      <c r="T52" s="132" t="s">
        <v>596</v>
      </c>
      <c r="U52" s="132" t="s">
        <v>819</v>
      </c>
      <c r="V52" s="124">
        <v>1848</v>
      </c>
      <c r="W52" s="132" t="s">
        <v>596</v>
      </c>
      <c r="X52" s="132" t="s">
        <v>820</v>
      </c>
      <c r="Y52" s="126" t="s">
        <v>641</v>
      </c>
      <c r="Z52" s="132" t="s">
        <v>596</v>
      </c>
      <c r="AA52" s="132" t="s">
        <v>819</v>
      </c>
      <c r="AB52" s="124">
        <v>1851</v>
      </c>
      <c r="AC52" s="132" t="s">
        <v>596</v>
      </c>
      <c r="AD52" s="132" t="s">
        <v>820</v>
      </c>
      <c r="AE52" s="126" t="s">
        <v>641</v>
      </c>
      <c r="AF52" s="132" t="s">
        <v>596</v>
      </c>
      <c r="AG52" s="132" t="s">
        <v>819</v>
      </c>
      <c r="AH52" s="124">
        <v>1898</v>
      </c>
      <c r="AI52" s="132" t="s">
        <v>596</v>
      </c>
      <c r="AJ52" s="132" t="s">
        <v>820</v>
      </c>
      <c r="AK52" s="126" t="s">
        <v>641</v>
      </c>
      <c r="AL52" s="132" t="s">
        <v>596</v>
      </c>
      <c r="AM52" s="131" t="s">
        <v>594</v>
      </c>
    </row>
  </sheetData>
  <conditionalFormatting sqref="AK3:AK52 AE3:AE52 Y3:Y52">
    <cfRule type="cellIs" dxfId="5" priority="6" operator="greaterThan">
      <formula>0</formula>
    </cfRule>
  </conditionalFormatting>
  <conditionalFormatting sqref="AK3:AK52 AE3:AE52 Y3:Y52">
    <cfRule type="cellIs" dxfId="4" priority="5" operator="lessThan">
      <formula>0</formula>
    </cfRule>
  </conditionalFormatting>
  <conditionalFormatting sqref="AK3:AK52 AE3:AE52 Y3:Y5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E3:AE52 Y3:Y52 AK3:AK52">
    <cfRule type="aboveAverage" dxfId="1" priority="8"/>
  </conditionalFormatting>
  <conditionalFormatting sqref="AK3:AK52 AE3:AE52 Y3:Y52">
    <cfRule type="aboveAverage" dxfId="0" priority="39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activeCell="A3" sqref="A3:XFD5"/>
    </sheetView>
  </sheetViews>
  <sheetFormatPr defaultRowHeight="15"/>
  <cols>
    <col min="1" max="1" width="7.85546875" customWidth="1"/>
    <col min="2" max="2" width="6.5703125" customWidth="1"/>
    <col min="3" max="3" width="27.140625" customWidth="1"/>
    <col min="4" max="4" width="5" customWidth="1"/>
    <col min="5" max="5" width="7.7109375" customWidth="1"/>
    <col min="6" max="6" width="28.28515625" customWidth="1"/>
    <col min="7" max="7" width="11.5703125" customWidth="1"/>
    <col min="8" max="8" width="7.7109375" customWidth="1"/>
    <col min="9" max="9" width="20.7109375" customWidth="1"/>
    <col min="10" max="11" width="7.85546875" customWidth="1"/>
    <col min="12" max="12" width="20.7109375" customWidth="1"/>
    <col min="13" max="14" width="5.42578125" customWidth="1"/>
    <col min="15" max="15" width="46.85546875" customWidth="1"/>
  </cols>
  <sheetData>
    <row r="1" spans="1:17" ht="15.75">
      <c r="C1" s="133" t="s">
        <v>221</v>
      </c>
      <c r="D1" s="133"/>
      <c r="E1" s="133"/>
    </row>
    <row r="2" spans="1:17">
      <c r="C2" s="25"/>
      <c r="D2" s="25"/>
      <c r="E2" s="25"/>
    </row>
    <row r="3" spans="1:17" ht="15.75">
      <c r="A3" s="130" t="s">
        <v>746</v>
      </c>
      <c r="B3" s="130" t="s">
        <v>747</v>
      </c>
      <c r="C3" s="134" t="s">
        <v>222</v>
      </c>
      <c r="D3" s="130" t="s">
        <v>593</v>
      </c>
      <c r="E3" s="130" t="s">
        <v>749</v>
      </c>
      <c r="F3" s="134" t="s">
        <v>223</v>
      </c>
      <c r="G3" s="130" t="s">
        <v>593</v>
      </c>
      <c r="H3" s="130" t="s">
        <v>749</v>
      </c>
      <c r="I3" s="134" t="s">
        <v>755</v>
      </c>
      <c r="J3" s="130" t="s">
        <v>593</v>
      </c>
      <c r="K3" s="130" t="s">
        <v>749</v>
      </c>
      <c r="L3" s="134" t="s">
        <v>754</v>
      </c>
      <c r="M3" s="130" t="s">
        <v>593</v>
      </c>
      <c r="N3" s="130" t="s">
        <v>749</v>
      </c>
      <c r="O3" s="134" t="s">
        <v>225</v>
      </c>
      <c r="P3" s="130" t="s">
        <v>593</v>
      </c>
      <c r="Q3" s="131" t="s">
        <v>594</v>
      </c>
    </row>
    <row r="4" spans="1:17" ht="15.75">
      <c r="A4" s="130" t="s">
        <v>746</v>
      </c>
      <c r="B4" s="130" t="s">
        <v>748</v>
      </c>
      <c r="C4" s="135" t="s">
        <v>226</v>
      </c>
      <c r="D4" s="132" t="s">
        <v>596</v>
      </c>
      <c r="E4" s="132" t="s">
        <v>748</v>
      </c>
      <c r="F4" s="136" t="s">
        <v>38</v>
      </c>
      <c r="G4" s="132" t="s">
        <v>596</v>
      </c>
      <c r="H4" s="132" t="s">
        <v>748</v>
      </c>
      <c r="I4" s="136" t="s">
        <v>227</v>
      </c>
      <c r="J4" s="132" t="s">
        <v>596</v>
      </c>
      <c r="K4" s="132" t="s">
        <v>748</v>
      </c>
      <c r="L4" s="136" t="s">
        <v>228</v>
      </c>
      <c r="M4" s="132" t="s">
        <v>596</v>
      </c>
      <c r="N4" s="132" t="s">
        <v>748</v>
      </c>
      <c r="O4" s="136" t="s">
        <v>756</v>
      </c>
      <c r="P4" s="132" t="s">
        <v>596</v>
      </c>
      <c r="Q4" s="131" t="s">
        <v>594</v>
      </c>
    </row>
    <row r="5" spans="1:17" ht="31.5">
      <c r="A5" s="130" t="s">
        <v>746</v>
      </c>
      <c r="B5" s="130" t="s">
        <v>748</v>
      </c>
      <c r="C5" s="135"/>
      <c r="D5" s="132" t="s">
        <v>596</v>
      </c>
      <c r="E5" s="132" t="s">
        <v>748</v>
      </c>
      <c r="F5" s="136" t="s">
        <v>231</v>
      </c>
      <c r="G5" s="132" t="s">
        <v>596</v>
      </c>
      <c r="H5" s="132" t="s">
        <v>748</v>
      </c>
      <c r="I5" s="136" t="s">
        <v>232</v>
      </c>
      <c r="J5" s="132" t="s">
        <v>596</v>
      </c>
      <c r="K5" s="132" t="s">
        <v>748</v>
      </c>
      <c r="L5" s="136" t="s">
        <v>233</v>
      </c>
      <c r="M5" s="132" t="s">
        <v>596</v>
      </c>
      <c r="N5" s="132" t="s">
        <v>748</v>
      </c>
      <c r="O5" s="136" t="s">
        <v>757</v>
      </c>
      <c r="P5" s="132" t="s">
        <v>596</v>
      </c>
      <c r="Q5" s="131" t="s">
        <v>594</v>
      </c>
    </row>
    <row r="6" spans="1:17" ht="31.5">
      <c r="A6" s="130" t="s">
        <v>746</v>
      </c>
      <c r="B6" s="130" t="s">
        <v>748</v>
      </c>
      <c r="C6" s="136"/>
      <c r="D6" s="132" t="s">
        <v>596</v>
      </c>
      <c r="E6" s="132" t="s">
        <v>748</v>
      </c>
      <c r="F6" s="136" t="s">
        <v>237</v>
      </c>
      <c r="G6" s="132" t="s">
        <v>596</v>
      </c>
      <c r="H6" s="132" t="s">
        <v>748</v>
      </c>
      <c r="I6" s="136" t="s">
        <v>238</v>
      </c>
      <c r="J6" s="132" t="s">
        <v>596</v>
      </c>
      <c r="K6" s="132" t="s">
        <v>748</v>
      </c>
      <c r="L6" s="136" t="s">
        <v>239</v>
      </c>
      <c r="M6" s="132" t="s">
        <v>596</v>
      </c>
      <c r="N6" s="132" t="s">
        <v>748</v>
      </c>
      <c r="O6" s="136" t="s">
        <v>758</v>
      </c>
      <c r="P6" s="132" t="s">
        <v>596</v>
      </c>
      <c r="Q6" s="131" t="s">
        <v>594</v>
      </c>
    </row>
    <row r="7" spans="1:17" ht="15.75">
      <c r="A7" s="130" t="s">
        <v>746</v>
      </c>
      <c r="B7" s="130" t="s">
        <v>748</v>
      </c>
      <c r="C7" s="136"/>
      <c r="D7" s="132" t="s">
        <v>596</v>
      </c>
      <c r="E7" s="132" t="s">
        <v>748</v>
      </c>
      <c r="F7" s="136" t="s">
        <v>244</v>
      </c>
      <c r="G7" s="132" t="s">
        <v>596</v>
      </c>
      <c r="H7" s="132" t="s">
        <v>748</v>
      </c>
      <c r="I7" s="136" t="s">
        <v>245</v>
      </c>
      <c r="J7" s="132" t="s">
        <v>596</v>
      </c>
      <c r="K7" s="132" t="s">
        <v>748</v>
      </c>
      <c r="L7" s="136" t="s">
        <v>246</v>
      </c>
      <c r="M7" s="132" t="s">
        <v>596</v>
      </c>
      <c r="N7" s="132" t="s">
        <v>748</v>
      </c>
      <c r="O7" s="136" t="s">
        <v>248</v>
      </c>
      <c r="P7" s="132" t="s">
        <v>596</v>
      </c>
      <c r="Q7" s="131" t="s">
        <v>594</v>
      </c>
    </row>
    <row r="8" spans="1:17" ht="31.5">
      <c r="A8" s="130" t="s">
        <v>746</v>
      </c>
      <c r="B8" s="130" t="s">
        <v>748</v>
      </c>
      <c r="C8" s="136"/>
      <c r="D8" s="132" t="s">
        <v>596</v>
      </c>
      <c r="E8" s="132" t="s">
        <v>748</v>
      </c>
      <c r="F8" s="136" t="s">
        <v>249</v>
      </c>
      <c r="G8" s="132" t="s">
        <v>596</v>
      </c>
      <c r="H8" s="132" t="s">
        <v>748</v>
      </c>
      <c r="I8" s="136" t="s">
        <v>759</v>
      </c>
      <c r="J8" s="132" t="s">
        <v>596</v>
      </c>
      <c r="K8" s="132" t="s">
        <v>748</v>
      </c>
      <c r="L8" s="136" t="s">
        <v>760</v>
      </c>
      <c r="M8" s="132" t="s">
        <v>596</v>
      </c>
      <c r="N8" s="132" t="s">
        <v>748</v>
      </c>
      <c r="O8" s="136" t="s">
        <v>251</v>
      </c>
      <c r="P8" s="132" t="s">
        <v>596</v>
      </c>
      <c r="Q8" s="131" t="s">
        <v>594</v>
      </c>
    </row>
    <row r="9" spans="1:17" ht="31.5">
      <c r="A9" s="130" t="s">
        <v>746</v>
      </c>
      <c r="B9" s="130" t="s">
        <v>748</v>
      </c>
      <c r="C9" s="136"/>
      <c r="D9" s="132" t="s">
        <v>596</v>
      </c>
      <c r="E9" s="132" t="s">
        <v>748</v>
      </c>
      <c r="F9" s="136" t="s">
        <v>767</v>
      </c>
      <c r="G9" s="132" t="s">
        <v>596</v>
      </c>
      <c r="H9" s="132" t="s">
        <v>748</v>
      </c>
      <c r="I9" s="136" t="s">
        <v>254</v>
      </c>
      <c r="J9" s="132" t="s">
        <v>596</v>
      </c>
      <c r="K9" s="132" t="s">
        <v>748</v>
      </c>
      <c r="L9" s="136" t="s">
        <v>255</v>
      </c>
      <c r="M9" s="132" t="s">
        <v>596</v>
      </c>
      <c r="N9" s="132" t="s">
        <v>748</v>
      </c>
      <c r="O9" s="136" t="s">
        <v>256</v>
      </c>
      <c r="P9" s="132" t="s">
        <v>596</v>
      </c>
      <c r="Q9" s="131" t="s">
        <v>594</v>
      </c>
    </row>
    <row r="10" spans="1:17" ht="31.5">
      <c r="A10" s="130" t="s">
        <v>746</v>
      </c>
      <c r="B10" s="130" t="s">
        <v>748</v>
      </c>
      <c r="C10" s="136"/>
      <c r="D10" s="132" t="s">
        <v>596</v>
      </c>
      <c r="E10" s="132" t="s">
        <v>748</v>
      </c>
      <c r="F10" s="136" t="s">
        <v>766</v>
      </c>
      <c r="G10" s="132" t="s">
        <v>596</v>
      </c>
      <c r="H10" s="132" t="s">
        <v>748</v>
      </c>
      <c r="I10" s="136" t="s">
        <v>258</v>
      </c>
      <c r="J10" s="132" t="s">
        <v>596</v>
      </c>
      <c r="K10" s="132" t="s">
        <v>748</v>
      </c>
      <c r="L10" s="136" t="s">
        <v>259</v>
      </c>
      <c r="M10" s="132" t="s">
        <v>596</v>
      </c>
      <c r="N10" s="132" t="s">
        <v>748</v>
      </c>
      <c r="O10" s="136" t="s">
        <v>260</v>
      </c>
      <c r="P10" s="132" t="s">
        <v>596</v>
      </c>
      <c r="Q10" s="131" t="s">
        <v>594</v>
      </c>
    </row>
    <row r="11" spans="1:17" ht="31.5">
      <c r="A11" s="130" t="s">
        <v>746</v>
      </c>
      <c r="B11" s="130" t="s">
        <v>748</v>
      </c>
      <c r="C11" s="136"/>
      <c r="D11" s="132" t="s">
        <v>596</v>
      </c>
      <c r="E11" s="132" t="s">
        <v>748</v>
      </c>
      <c r="F11" s="136" t="s">
        <v>261</v>
      </c>
      <c r="G11" s="132" t="s">
        <v>596</v>
      </c>
      <c r="H11" s="132" t="s">
        <v>748</v>
      </c>
      <c r="I11" s="136" t="s">
        <v>761</v>
      </c>
      <c r="J11" s="132" t="s">
        <v>596</v>
      </c>
      <c r="K11" s="132" t="s">
        <v>748</v>
      </c>
      <c r="L11" s="136" t="s">
        <v>762</v>
      </c>
      <c r="M11" s="132" t="s">
        <v>596</v>
      </c>
      <c r="N11" s="132" t="s">
        <v>748</v>
      </c>
      <c r="O11" s="136" t="s">
        <v>263</v>
      </c>
      <c r="P11" s="132" t="s">
        <v>596</v>
      </c>
      <c r="Q11" s="131" t="s">
        <v>594</v>
      </c>
    </row>
    <row r="12" spans="1:17" ht="15.75">
      <c r="A12" s="130" t="s">
        <v>746</v>
      </c>
      <c r="B12" s="130" t="s">
        <v>748</v>
      </c>
      <c r="C12" s="135" t="s">
        <v>264</v>
      </c>
      <c r="D12" s="132" t="s">
        <v>596</v>
      </c>
      <c r="E12" s="132" t="s">
        <v>748</v>
      </c>
      <c r="F12" s="136" t="s">
        <v>265</v>
      </c>
      <c r="G12" s="132" t="s">
        <v>596</v>
      </c>
      <c r="H12" s="132" t="s">
        <v>748</v>
      </c>
      <c r="I12" s="136" t="s">
        <v>266</v>
      </c>
      <c r="J12" s="132" t="s">
        <v>596</v>
      </c>
      <c r="K12" s="132" t="s">
        <v>748</v>
      </c>
      <c r="L12" s="136"/>
      <c r="M12" s="132" t="s">
        <v>596</v>
      </c>
      <c r="N12" s="132" t="s">
        <v>748</v>
      </c>
      <c r="O12" s="136" t="s">
        <v>243</v>
      </c>
      <c r="P12" s="132" t="s">
        <v>596</v>
      </c>
      <c r="Q12" s="131" t="s">
        <v>594</v>
      </c>
    </row>
    <row r="13" spans="1:17" ht="47.25">
      <c r="A13" s="130" t="s">
        <v>746</v>
      </c>
      <c r="B13" s="130" t="s">
        <v>748</v>
      </c>
      <c r="C13" s="135"/>
      <c r="D13" s="132" t="s">
        <v>596</v>
      </c>
      <c r="E13" s="132" t="s">
        <v>748</v>
      </c>
      <c r="F13" s="136" t="s">
        <v>267</v>
      </c>
      <c r="G13" s="132" t="s">
        <v>596</v>
      </c>
      <c r="H13" s="132" t="s">
        <v>748</v>
      </c>
      <c r="I13" s="136" t="s">
        <v>268</v>
      </c>
      <c r="J13" s="132" t="s">
        <v>596</v>
      </c>
      <c r="K13" s="132" t="s">
        <v>748</v>
      </c>
      <c r="L13" s="136"/>
      <c r="M13" s="132" t="s">
        <v>596</v>
      </c>
      <c r="N13" s="132" t="s">
        <v>748</v>
      </c>
      <c r="O13" s="136" t="s">
        <v>269</v>
      </c>
      <c r="P13" s="132" t="s">
        <v>596</v>
      </c>
      <c r="Q13" s="131" t="s">
        <v>594</v>
      </c>
    </row>
    <row r="14" spans="1:17" ht="47.25">
      <c r="A14" s="130" t="s">
        <v>746</v>
      </c>
      <c r="B14" s="130" t="s">
        <v>748</v>
      </c>
      <c r="C14" s="136"/>
      <c r="D14" s="132" t="s">
        <v>596</v>
      </c>
      <c r="E14" s="132" t="s">
        <v>748</v>
      </c>
      <c r="F14" s="136" t="s">
        <v>270</v>
      </c>
      <c r="G14" s="132" t="s">
        <v>596</v>
      </c>
      <c r="H14" s="132" t="s">
        <v>748</v>
      </c>
      <c r="I14" s="136" t="s">
        <v>271</v>
      </c>
      <c r="J14" s="132" t="s">
        <v>596</v>
      </c>
      <c r="K14" s="132" t="s">
        <v>748</v>
      </c>
      <c r="L14" s="136"/>
      <c r="M14" s="132" t="s">
        <v>596</v>
      </c>
      <c r="N14" s="132" t="s">
        <v>748</v>
      </c>
      <c r="O14" s="136" t="s">
        <v>230</v>
      </c>
      <c r="P14" s="132" t="s">
        <v>596</v>
      </c>
      <c r="Q14" s="131" t="s">
        <v>594</v>
      </c>
    </row>
    <row r="15" spans="1:17" ht="31.5">
      <c r="A15" s="130" t="s">
        <v>746</v>
      </c>
      <c r="B15" s="130" t="s">
        <v>748</v>
      </c>
      <c r="C15" s="136"/>
      <c r="D15" s="132" t="s">
        <v>596</v>
      </c>
      <c r="E15" s="132" t="s">
        <v>748</v>
      </c>
      <c r="F15" s="136" t="s">
        <v>272</v>
      </c>
      <c r="G15" s="132" t="s">
        <v>596</v>
      </c>
      <c r="H15" s="132" t="s">
        <v>748</v>
      </c>
      <c r="I15" s="136" t="s">
        <v>273</v>
      </c>
      <c r="J15" s="132" t="s">
        <v>596</v>
      </c>
      <c r="K15" s="132" t="s">
        <v>748</v>
      </c>
      <c r="L15" s="136"/>
      <c r="M15" s="132" t="s">
        <v>596</v>
      </c>
      <c r="N15" s="132" t="s">
        <v>748</v>
      </c>
      <c r="O15" s="136" t="s">
        <v>274</v>
      </c>
      <c r="P15" s="132" t="s">
        <v>596</v>
      </c>
      <c r="Q15" s="131" t="s">
        <v>594</v>
      </c>
    </row>
    <row r="16" spans="1:17" ht="47.25">
      <c r="A16" s="130" t="s">
        <v>746</v>
      </c>
      <c r="B16" s="130" t="s">
        <v>748</v>
      </c>
      <c r="C16" s="136"/>
      <c r="D16" s="132" t="s">
        <v>596</v>
      </c>
      <c r="E16" s="132" t="s">
        <v>748</v>
      </c>
      <c r="F16" s="136" t="s">
        <v>275</v>
      </c>
      <c r="G16" s="132" t="s">
        <v>596</v>
      </c>
      <c r="H16" s="132" t="s">
        <v>748</v>
      </c>
      <c r="I16" s="136" t="s">
        <v>276</v>
      </c>
      <c r="J16" s="132" t="s">
        <v>596</v>
      </c>
      <c r="K16" s="132" t="s">
        <v>748</v>
      </c>
      <c r="L16" s="136"/>
      <c r="M16" s="132" t="s">
        <v>596</v>
      </c>
      <c r="N16" s="132" t="s">
        <v>748</v>
      </c>
      <c r="O16" s="136" t="s">
        <v>269</v>
      </c>
      <c r="P16" s="132" t="s">
        <v>596</v>
      </c>
      <c r="Q16" s="131" t="s">
        <v>594</v>
      </c>
    </row>
    <row r="17" spans="1:17" ht="15.75">
      <c r="A17" s="130" t="s">
        <v>746</v>
      </c>
      <c r="B17" s="130" t="s">
        <v>748</v>
      </c>
      <c r="C17" s="135" t="s">
        <v>277</v>
      </c>
      <c r="D17" s="132" t="s">
        <v>596</v>
      </c>
      <c r="E17" s="132" t="s">
        <v>748</v>
      </c>
      <c r="F17" s="136" t="s">
        <v>278</v>
      </c>
      <c r="G17" s="132" t="s">
        <v>596</v>
      </c>
      <c r="H17" s="132" t="s">
        <v>748</v>
      </c>
      <c r="I17" s="136" t="s">
        <v>279</v>
      </c>
      <c r="J17" s="132" t="s">
        <v>596</v>
      </c>
      <c r="K17" s="132" t="s">
        <v>748</v>
      </c>
      <c r="L17" s="136"/>
      <c r="M17" s="132" t="s">
        <v>596</v>
      </c>
      <c r="N17" s="132" t="s">
        <v>748</v>
      </c>
      <c r="O17" s="136" t="s">
        <v>280</v>
      </c>
      <c r="P17" s="132" t="s">
        <v>596</v>
      </c>
      <c r="Q17" s="131" t="s">
        <v>594</v>
      </c>
    </row>
    <row r="18" spans="1:17" ht="31.5">
      <c r="A18" s="130" t="s">
        <v>746</v>
      </c>
      <c r="B18" s="130" t="s">
        <v>748</v>
      </c>
      <c r="C18" s="135" t="s">
        <v>281</v>
      </c>
      <c r="D18" s="132" t="s">
        <v>596</v>
      </c>
      <c r="E18" s="132" t="s">
        <v>748</v>
      </c>
      <c r="F18" s="136" t="s">
        <v>282</v>
      </c>
      <c r="G18" s="132" t="s">
        <v>596</v>
      </c>
      <c r="H18" s="132" t="s">
        <v>748</v>
      </c>
      <c r="I18" s="136" t="s">
        <v>283</v>
      </c>
      <c r="J18" s="132" t="s">
        <v>596</v>
      </c>
      <c r="K18" s="132" t="s">
        <v>748</v>
      </c>
      <c r="L18" s="136" t="s">
        <v>284</v>
      </c>
      <c r="M18" s="132" t="s">
        <v>596</v>
      </c>
      <c r="N18" s="132" t="s">
        <v>748</v>
      </c>
      <c r="O18" s="136" t="s">
        <v>765</v>
      </c>
      <c r="P18" s="132" t="s">
        <v>596</v>
      </c>
      <c r="Q18" s="131" t="s">
        <v>594</v>
      </c>
    </row>
    <row r="19" spans="1:17" ht="15.75">
      <c r="A19" s="130" t="s">
        <v>746</v>
      </c>
      <c r="B19" s="130" t="s">
        <v>748</v>
      </c>
      <c r="C19" s="136"/>
      <c r="D19" s="132" t="s">
        <v>596</v>
      </c>
      <c r="E19" s="132" t="s">
        <v>748</v>
      </c>
      <c r="F19" s="136" t="s">
        <v>287</v>
      </c>
      <c r="G19" s="132" t="s">
        <v>596</v>
      </c>
      <c r="H19" s="132" t="s">
        <v>748</v>
      </c>
      <c r="I19" s="136" t="s">
        <v>288</v>
      </c>
      <c r="J19" s="132" t="s">
        <v>596</v>
      </c>
      <c r="K19" s="132" t="s">
        <v>748</v>
      </c>
      <c r="L19" s="136" t="s">
        <v>289</v>
      </c>
      <c r="M19" s="132" t="s">
        <v>596</v>
      </c>
      <c r="N19" s="132" t="s">
        <v>748</v>
      </c>
      <c r="O19" s="136" t="s">
        <v>290</v>
      </c>
      <c r="P19" s="132" t="s">
        <v>596</v>
      </c>
      <c r="Q19" s="131" t="s">
        <v>594</v>
      </c>
    </row>
    <row r="20" spans="1:17" ht="15.75">
      <c r="A20" s="130" t="s">
        <v>746</v>
      </c>
      <c r="B20" s="130" t="s">
        <v>748</v>
      </c>
      <c r="C20" s="135" t="s">
        <v>291</v>
      </c>
      <c r="D20" s="132" t="s">
        <v>596</v>
      </c>
      <c r="E20" s="132" t="s">
        <v>748</v>
      </c>
      <c r="F20" s="136" t="s">
        <v>292</v>
      </c>
      <c r="G20" s="132" t="s">
        <v>596</v>
      </c>
      <c r="H20" s="132" t="s">
        <v>748</v>
      </c>
      <c r="I20" s="136"/>
      <c r="J20" s="132" t="s">
        <v>596</v>
      </c>
      <c r="K20" s="132" t="s">
        <v>748</v>
      </c>
      <c r="L20" s="136"/>
      <c r="M20" s="132" t="s">
        <v>596</v>
      </c>
      <c r="N20" s="132" t="s">
        <v>748</v>
      </c>
      <c r="O20" s="136" t="s">
        <v>293</v>
      </c>
      <c r="P20" s="132" t="s">
        <v>596</v>
      </c>
      <c r="Q20" s="131" t="s">
        <v>594</v>
      </c>
    </row>
    <row r="21" spans="1:17" ht="15.75">
      <c r="A21" s="130" t="s">
        <v>746</v>
      </c>
      <c r="B21" s="130" t="s">
        <v>748</v>
      </c>
      <c r="C21" s="135" t="s">
        <v>294</v>
      </c>
      <c r="D21" s="132" t="s">
        <v>596</v>
      </c>
      <c r="E21" s="132" t="s">
        <v>748</v>
      </c>
      <c r="F21" s="136" t="s">
        <v>295</v>
      </c>
      <c r="G21" s="132" t="s">
        <v>596</v>
      </c>
      <c r="H21" s="132" t="s">
        <v>748</v>
      </c>
      <c r="I21" s="136" t="s">
        <v>296</v>
      </c>
      <c r="J21" s="132" t="s">
        <v>596</v>
      </c>
      <c r="K21" s="132" t="s">
        <v>748</v>
      </c>
      <c r="L21" s="136"/>
      <c r="M21" s="132" t="s">
        <v>596</v>
      </c>
      <c r="N21" s="132" t="s">
        <v>748</v>
      </c>
      <c r="O21" s="136" t="s">
        <v>297</v>
      </c>
      <c r="P21" s="132" t="s">
        <v>596</v>
      </c>
      <c r="Q21" s="131" t="s">
        <v>594</v>
      </c>
    </row>
    <row r="22" spans="1:17" ht="15.75">
      <c r="A22" s="130" t="s">
        <v>746</v>
      </c>
      <c r="B22" s="130" t="s">
        <v>748</v>
      </c>
      <c r="C22" s="135"/>
      <c r="D22" s="132" t="s">
        <v>596</v>
      </c>
      <c r="E22" s="132" t="s">
        <v>748</v>
      </c>
      <c r="F22" s="136" t="s">
        <v>298</v>
      </c>
      <c r="G22" s="132" t="s">
        <v>596</v>
      </c>
      <c r="H22" s="132" t="s">
        <v>748</v>
      </c>
      <c r="I22" s="136" t="s">
        <v>299</v>
      </c>
      <c r="J22" s="132" t="s">
        <v>596</v>
      </c>
      <c r="K22" s="132" t="s">
        <v>748</v>
      </c>
      <c r="L22" s="136"/>
      <c r="M22" s="132" t="s">
        <v>596</v>
      </c>
      <c r="N22" s="132" t="s">
        <v>748</v>
      </c>
      <c r="O22" s="136" t="s">
        <v>300</v>
      </c>
      <c r="P22" s="132" t="s">
        <v>596</v>
      </c>
      <c r="Q22" s="131" t="s">
        <v>594</v>
      </c>
    </row>
    <row r="23" spans="1:17" ht="15.75">
      <c r="A23" s="130" t="s">
        <v>746</v>
      </c>
      <c r="B23" s="130" t="s">
        <v>748</v>
      </c>
      <c r="C23" s="135" t="s">
        <v>301</v>
      </c>
      <c r="D23" s="132" t="s">
        <v>596</v>
      </c>
      <c r="E23" s="132" t="s">
        <v>748</v>
      </c>
      <c r="F23" s="136" t="s">
        <v>278</v>
      </c>
      <c r="G23" s="132" t="s">
        <v>596</v>
      </c>
      <c r="H23" s="132" t="s">
        <v>748</v>
      </c>
      <c r="I23" s="136" t="s">
        <v>764</v>
      </c>
      <c r="J23" s="132" t="s">
        <v>596</v>
      </c>
      <c r="K23" s="132" t="s">
        <v>748</v>
      </c>
      <c r="L23" s="136">
        <v>89293983367</v>
      </c>
      <c r="M23" s="132" t="s">
        <v>596</v>
      </c>
      <c r="N23" s="132" t="s">
        <v>748</v>
      </c>
      <c r="O23" s="136" t="s">
        <v>303</v>
      </c>
      <c r="P23" s="132" t="s">
        <v>596</v>
      </c>
      <c r="Q23" s="131" t="s">
        <v>594</v>
      </c>
    </row>
    <row r="24" spans="1:17" ht="15.75" customHeight="1">
      <c r="A24" s="130" t="s">
        <v>746</v>
      </c>
      <c r="B24" s="130" t="s">
        <v>748</v>
      </c>
      <c r="C24" s="135" t="s">
        <v>304</v>
      </c>
      <c r="D24" s="132" t="s">
        <v>596</v>
      </c>
      <c r="E24" s="132" t="s">
        <v>748</v>
      </c>
      <c r="F24" s="136" t="s">
        <v>305</v>
      </c>
      <c r="G24" s="132" t="s">
        <v>596</v>
      </c>
      <c r="H24" s="132" t="s">
        <v>748</v>
      </c>
      <c r="I24" s="136" t="s">
        <v>306</v>
      </c>
      <c r="J24" s="132" t="s">
        <v>596</v>
      </c>
      <c r="K24" s="132" t="s">
        <v>748</v>
      </c>
      <c r="L24" s="136" t="s">
        <v>307</v>
      </c>
      <c r="M24" s="132" t="s">
        <v>596</v>
      </c>
      <c r="N24" s="132" t="s">
        <v>748</v>
      </c>
      <c r="O24" s="136" t="s">
        <v>308</v>
      </c>
      <c r="P24" s="132" t="s">
        <v>596</v>
      </c>
      <c r="Q24" s="131" t="s">
        <v>594</v>
      </c>
    </row>
    <row r="25" spans="1:17" ht="15.75">
      <c r="A25" s="130" t="s">
        <v>746</v>
      </c>
      <c r="B25" s="130" t="s">
        <v>748</v>
      </c>
      <c r="C25" s="135" t="s">
        <v>309</v>
      </c>
      <c r="D25" s="132" t="s">
        <v>596</v>
      </c>
      <c r="E25" s="132" t="s">
        <v>748</v>
      </c>
      <c r="F25" s="136" t="s">
        <v>310</v>
      </c>
      <c r="G25" s="132" t="s">
        <v>596</v>
      </c>
      <c r="H25" s="132" t="s">
        <v>748</v>
      </c>
      <c r="I25" s="136" t="s">
        <v>311</v>
      </c>
      <c r="J25" s="132" t="s">
        <v>596</v>
      </c>
      <c r="K25" s="132" t="s">
        <v>748</v>
      </c>
      <c r="L25" s="136"/>
      <c r="M25" s="132" t="s">
        <v>596</v>
      </c>
      <c r="N25" s="132" t="s">
        <v>748</v>
      </c>
      <c r="O25" s="136" t="s">
        <v>312</v>
      </c>
      <c r="P25" s="132" t="s">
        <v>596</v>
      </c>
      <c r="Q25" s="131" t="s">
        <v>594</v>
      </c>
    </row>
    <row r="26" spans="1:17" ht="15.75">
      <c r="A26" s="130" t="s">
        <v>746</v>
      </c>
      <c r="B26" s="130" t="s">
        <v>748</v>
      </c>
      <c r="C26" s="135" t="s">
        <v>313</v>
      </c>
      <c r="D26" s="132" t="s">
        <v>596</v>
      </c>
      <c r="E26" s="132" t="s">
        <v>748</v>
      </c>
      <c r="F26" s="136" t="s">
        <v>314</v>
      </c>
      <c r="G26" s="132" t="s">
        <v>596</v>
      </c>
      <c r="H26" s="132" t="s">
        <v>748</v>
      </c>
      <c r="I26" s="136" t="s">
        <v>315</v>
      </c>
      <c r="J26" s="132" t="s">
        <v>596</v>
      </c>
      <c r="K26" s="132" t="s">
        <v>748</v>
      </c>
      <c r="L26" s="136"/>
      <c r="M26" s="132" t="s">
        <v>596</v>
      </c>
      <c r="N26" s="132" t="s">
        <v>748</v>
      </c>
      <c r="O26" s="136" t="s">
        <v>316</v>
      </c>
      <c r="P26" s="132" t="s">
        <v>596</v>
      </c>
      <c r="Q26" s="131" t="s">
        <v>594</v>
      </c>
    </row>
    <row r="27" spans="1:17" ht="15.75">
      <c r="A27" s="130" t="s">
        <v>746</v>
      </c>
      <c r="B27" s="130" t="s">
        <v>748</v>
      </c>
      <c r="C27" s="135" t="s">
        <v>317</v>
      </c>
      <c r="D27" s="132" t="s">
        <v>596</v>
      </c>
      <c r="E27" s="132" t="s">
        <v>748</v>
      </c>
      <c r="F27" s="136" t="s">
        <v>278</v>
      </c>
      <c r="G27" s="132" t="s">
        <v>596</v>
      </c>
      <c r="H27" s="132" t="s">
        <v>748</v>
      </c>
      <c r="I27" s="136" t="s">
        <v>318</v>
      </c>
      <c r="J27" s="132" t="s">
        <v>596</v>
      </c>
      <c r="K27" s="132" t="s">
        <v>748</v>
      </c>
      <c r="L27" s="136"/>
      <c r="M27" s="132" t="s">
        <v>596</v>
      </c>
      <c r="N27" s="132" t="s">
        <v>748</v>
      </c>
      <c r="O27" s="136" t="s">
        <v>319</v>
      </c>
      <c r="P27" s="132" t="s">
        <v>596</v>
      </c>
      <c r="Q27" s="131" t="s">
        <v>594</v>
      </c>
    </row>
    <row r="28" spans="1:17" ht="31.5">
      <c r="A28" s="130" t="s">
        <v>746</v>
      </c>
      <c r="B28" s="130" t="s">
        <v>748</v>
      </c>
      <c r="C28" s="135" t="s">
        <v>320</v>
      </c>
      <c r="D28" s="132" t="s">
        <v>596</v>
      </c>
      <c r="E28" s="132" t="s">
        <v>748</v>
      </c>
      <c r="F28" s="136" t="s">
        <v>278</v>
      </c>
      <c r="G28" s="132" t="s">
        <v>596</v>
      </c>
      <c r="H28" s="132" t="s">
        <v>748</v>
      </c>
      <c r="I28" s="136" t="s">
        <v>763</v>
      </c>
      <c r="J28" s="132" t="s">
        <v>596</v>
      </c>
      <c r="K28" s="132" t="s">
        <v>748</v>
      </c>
      <c r="L28" s="136"/>
      <c r="M28" s="132" t="s">
        <v>596</v>
      </c>
      <c r="N28" s="132" t="s">
        <v>748</v>
      </c>
      <c r="O28" s="136" t="s">
        <v>323</v>
      </c>
      <c r="P28" s="132" t="s">
        <v>596</v>
      </c>
      <c r="Q28" s="131" t="s">
        <v>594</v>
      </c>
    </row>
    <row r="29" spans="1:17" ht="15.75">
      <c r="A29" s="130" t="s">
        <v>746</v>
      </c>
      <c r="B29" s="130" t="s">
        <v>748</v>
      </c>
      <c r="C29" s="135" t="s">
        <v>324</v>
      </c>
      <c r="D29" s="132" t="s">
        <v>596</v>
      </c>
      <c r="E29" s="132" t="s">
        <v>748</v>
      </c>
      <c r="F29" s="136" t="s">
        <v>278</v>
      </c>
      <c r="G29" s="132" t="s">
        <v>596</v>
      </c>
      <c r="H29" s="132" t="s">
        <v>748</v>
      </c>
      <c r="I29" s="136" t="s">
        <v>325</v>
      </c>
      <c r="J29" s="132" t="s">
        <v>596</v>
      </c>
      <c r="K29" s="132" t="s">
        <v>748</v>
      </c>
      <c r="L29" s="136" t="s">
        <v>326</v>
      </c>
      <c r="M29" s="132" t="s">
        <v>596</v>
      </c>
      <c r="N29" s="132" t="s">
        <v>748</v>
      </c>
      <c r="O29" s="136" t="s">
        <v>327</v>
      </c>
      <c r="P29" s="132" t="s">
        <v>596</v>
      </c>
      <c r="Q29" s="131" t="s">
        <v>594</v>
      </c>
    </row>
    <row r="30" spans="1:17" ht="15.75">
      <c r="A30" s="130" t="s">
        <v>746</v>
      </c>
      <c r="B30" s="130" t="s">
        <v>748</v>
      </c>
      <c r="C30" s="135" t="s">
        <v>328</v>
      </c>
      <c r="D30" s="132" t="s">
        <v>596</v>
      </c>
      <c r="E30" s="132" t="s">
        <v>748</v>
      </c>
      <c r="F30" s="136" t="s">
        <v>278</v>
      </c>
      <c r="G30" s="132" t="s">
        <v>596</v>
      </c>
      <c r="H30" s="132" t="s">
        <v>748</v>
      </c>
      <c r="J30" s="132" t="s">
        <v>596</v>
      </c>
      <c r="K30" s="132" t="s">
        <v>748</v>
      </c>
      <c r="L30" s="136">
        <v>89609380480</v>
      </c>
      <c r="M30" s="132" t="s">
        <v>596</v>
      </c>
      <c r="N30" s="132" t="s">
        <v>748</v>
      </c>
      <c r="O30" s="138" t="s">
        <v>329</v>
      </c>
      <c r="P30" s="132" t="s">
        <v>596</v>
      </c>
      <c r="Q30" s="131" t="s">
        <v>594</v>
      </c>
    </row>
    <row r="31" spans="1:17" ht="15.75">
      <c r="A31" s="130" t="s">
        <v>746</v>
      </c>
      <c r="B31" s="130" t="s">
        <v>748</v>
      </c>
      <c r="C31" s="135" t="s">
        <v>330</v>
      </c>
      <c r="D31" s="132" t="s">
        <v>596</v>
      </c>
      <c r="E31" s="132" t="s">
        <v>748</v>
      </c>
      <c r="F31" s="136" t="s">
        <v>298</v>
      </c>
      <c r="G31" s="132" t="s">
        <v>596</v>
      </c>
      <c r="H31" s="132" t="s">
        <v>748</v>
      </c>
      <c r="I31" s="136" t="s">
        <v>331</v>
      </c>
      <c r="J31" s="132" t="s">
        <v>596</v>
      </c>
      <c r="K31" s="132" t="s">
        <v>748</v>
      </c>
      <c r="L31" s="136"/>
      <c r="M31" s="132" t="s">
        <v>596</v>
      </c>
      <c r="N31" s="132" t="s">
        <v>748</v>
      </c>
      <c r="O31" s="136" t="s">
        <v>332</v>
      </c>
      <c r="P31" s="132" t="s">
        <v>596</v>
      </c>
      <c r="Q31" s="131" t="s">
        <v>594</v>
      </c>
    </row>
    <row r="32" spans="1:17" ht="15.75">
      <c r="A32" s="130" t="s">
        <v>746</v>
      </c>
      <c r="B32" s="130" t="s">
        <v>748</v>
      </c>
      <c r="C32" s="135" t="s">
        <v>333</v>
      </c>
      <c r="D32" s="132" t="s">
        <v>596</v>
      </c>
      <c r="E32" s="132" t="s">
        <v>748</v>
      </c>
      <c r="F32" s="136" t="s">
        <v>334</v>
      </c>
      <c r="G32" s="132" t="s">
        <v>596</v>
      </c>
      <c r="H32" s="132" t="s">
        <v>748</v>
      </c>
      <c r="I32" s="136" t="s">
        <v>336</v>
      </c>
      <c r="J32" s="132" t="s">
        <v>596</v>
      </c>
      <c r="K32" s="132" t="s">
        <v>748</v>
      </c>
      <c r="L32" s="136" t="s">
        <v>337</v>
      </c>
      <c r="M32" s="132" t="s">
        <v>596</v>
      </c>
      <c r="N32" s="132" t="s">
        <v>748</v>
      </c>
      <c r="O32" s="137" t="s">
        <v>338</v>
      </c>
      <c r="P32" s="132" t="s">
        <v>596</v>
      </c>
      <c r="Q32" s="131" t="s">
        <v>594</v>
      </c>
    </row>
    <row r="33" spans="1:17" ht="15.75">
      <c r="A33" s="130" t="s">
        <v>746</v>
      </c>
      <c r="B33" s="130" t="s">
        <v>748</v>
      </c>
      <c r="C33" s="135" t="s">
        <v>339</v>
      </c>
      <c r="D33" s="132" t="s">
        <v>596</v>
      </c>
      <c r="E33" s="132" t="s">
        <v>748</v>
      </c>
      <c r="F33" s="136" t="s">
        <v>278</v>
      </c>
      <c r="G33" s="132" t="s">
        <v>596</v>
      </c>
      <c r="H33" s="132" t="s">
        <v>748</v>
      </c>
      <c r="I33" s="136" t="s">
        <v>340</v>
      </c>
      <c r="J33" s="132" t="s">
        <v>596</v>
      </c>
      <c r="K33" s="132" t="s">
        <v>748</v>
      </c>
      <c r="L33" s="136" t="s">
        <v>341</v>
      </c>
      <c r="M33" s="132" t="s">
        <v>596</v>
      </c>
      <c r="N33" s="132" t="s">
        <v>748</v>
      </c>
      <c r="O33" s="136" t="s">
        <v>342</v>
      </c>
      <c r="P33" s="132" t="s">
        <v>596</v>
      </c>
      <c r="Q33" s="131" t="s">
        <v>594</v>
      </c>
    </row>
    <row r="34" spans="1:17" ht="15.75">
      <c r="A34" s="130" t="s">
        <v>746</v>
      </c>
      <c r="B34" s="130" t="s">
        <v>748</v>
      </c>
      <c r="C34" s="135" t="s">
        <v>343</v>
      </c>
      <c r="D34" s="132" t="s">
        <v>596</v>
      </c>
      <c r="E34" s="132" t="s">
        <v>748</v>
      </c>
      <c r="F34" s="136" t="s">
        <v>344</v>
      </c>
      <c r="G34" s="132" t="s">
        <v>596</v>
      </c>
      <c r="H34" s="132" t="s">
        <v>748</v>
      </c>
      <c r="I34" s="136" t="s">
        <v>345</v>
      </c>
      <c r="J34" s="132" t="s">
        <v>596</v>
      </c>
      <c r="K34" s="132" t="s">
        <v>748</v>
      </c>
      <c r="L34" s="136"/>
      <c r="M34" s="132" t="s">
        <v>596</v>
      </c>
      <c r="N34" s="132" t="s">
        <v>748</v>
      </c>
      <c r="O34" s="136" t="s">
        <v>346</v>
      </c>
      <c r="P34" s="132" t="s">
        <v>596</v>
      </c>
      <c r="Q34" s="131" t="s">
        <v>594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M1" sqref="M1:N2"/>
    </sheetView>
  </sheetViews>
  <sheetFormatPr defaultRowHeight="15"/>
  <cols>
    <col min="3" max="3" width="17.28515625" customWidth="1"/>
    <col min="6" max="6" width="16" customWidth="1"/>
    <col min="9" max="9" width="16" customWidth="1"/>
    <col min="12" max="13" width="18" customWidth="1"/>
  </cols>
  <sheetData>
    <row r="1" spans="1:14" ht="31.5">
      <c r="A1" s="130" t="s">
        <v>746</v>
      </c>
      <c r="B1" s="130" t="s">
        <v>747</v>
      </c>
      <c r="C1" s="139"/>
      <c r="D1" s="130" t="s">
        <v>593</v>
      </c>
      <c r="E1" s="130" t="s">
        <v>749</v>
      </c>
      <c r="F1" s="139" t="s">
        <v>768</v>
      </c>
      <c r="G1" s="130" t="s">
        <v>593</v>
      </c>
      <c r="H1" s="130" t="s">
        <v>749</v>
      </c>
      <c r="I1" s="139"/>
      <c r="J1" s="130" t="s">
        <v>593</v>
      </c>
      <c r="K1" s="130" t="s">
        <v>749</v>
      </c>
      <c r="L1" s="139" t="s">
        <v>769</v>
      </c>
      <c r="M1" s="130" t="s">
        <v>593</v>
      </c>
      <c r="N1" s="131" t="s">
        <v>594</v>
      </c>
    </row>
    <row r="2" spans="1:14" ht="15.75">
      <c r="A2" s="130" t="s">
        <v>746</v>
      </c>
      <c r="B2" s="130" t="s">
        <v>748</v>
      </c>
      <c r="C2" s="140"/>
      <c r="D2" s="132" t="s">
        <v>596</v>
      </c>
      <c r="E2" s="132" t="s">
        <v>748</v>
      </c>
      <c r="F2" s="138"/>
      <c r="G2" s="132" t="s">
        <v>596</v>
      </c>
      <c r="H2" s="132" t="s">
        <v>748</v>
      </c>
      <c r="I2" s="138" t="s">
        <v>778</v>
      </c>
      <c r="J2" s="132" t="s">
        <v>596</v>
      </c>
      <c r="K2" s="132" t="s">
        <v>748</v>
      </c>
      <c r="L2" s="141"/>
      <c r="M2" s="132" t="s">
        <v>596</v>
      </c>
      <c r="N2" s="131" t="s">
        <v>594</v>
      </c>
    </row>
    <row r="3" spans="1:14" ht="15.75">
      <c r="A3" s="130" t="s">
        <v>746</v>
      </c>
      <c r="B3" s="130" t="s">
        <v>748</v>
      </c>
      <c r="C3" s="138" t="s">
        <v>770</v>
      </c>
      <c r="D3" s="132" t="s">
        <v>596</v>
      </c>
      <c r="E3" s="132" t="s">
        <v>748</v>
      </c>
      <c r="F3" s="138" t="s">
        <v>779</v>
      </c>
      <c r="G3" s="132" t="s">
        <v>596</v>
      </c>
      <c r="H3" s="132" t="s">
        <v>748</v>
      </c>
      <c r="I3" s="138" t="s">
        <v>780</v>
      </c>
      <c r="J3" s="132" t="s">
        <v>596</v>
      </c>
      <c r="K3" s="132" t="s">
        <v>748</v>
      </c>
      <c r="L3" s="141" t="s">
        <v>777</v>
      </c>
      <c r="M3" s="132" t="s">
        <v>596</v>
      </c>
      <c r="N3" s="131" t="s">
        <v>594</v>
      </c>
    </row>
    <row r="4" spans="1:14" ht="15.75">
      <c r="A4" s="130" t="s">
        <v>746</v>
      </c>
      <c r="B4" s="130" t="s">
        <v>748</v>
      </c>
      <c r="C4" s="138" t="s">
        <v>771</v>
      </c>
      <c r="D4" s="132" t="s">
        <v>596</v>
      </c>
      <c r="E4" s="132" t="s">
        <v>748</v>
      </c>
      <c r="F4" s="138" t="s">
        <v>779</v>
      </c>
      <c r="G4" s="132" t="s">
        <v>596</v>
      </c>
      <c r="H4" s="132" t="s">
        <v>748</v>
      </c>
      <c r="I4" s="138" t="s">
        <v>780</v>
      </c>
      <c r="J4" s="132" t="s">
        <v>596</v>
      </c>
      <c r="K4" s="132" t="s">
        <v>748</v>
      </c>
      <c r="L4" s="141" t="s">
        <v>777</v>
      </c>
      <c r="M4" s="132" t="s">
        <v>596</v>
      </c>
      <c r="N4" s="131" t="s">
        <v>594</v>
      </c>
    </row>
    <row r="5" spans="1:14" ht="15.75">
      <c r="A5" s="130" t="s">
        <v>746</v>
      </c>
      <c r="B5" s="130" t="s">
        <v>748</v>
      </c>
      <c r="C5" s="141" t="s">
        <v>772</v>
      </c>
      <c r="D5" s="132" t="s">
        <v>596</v>
      </c>
      <c r="E5" s="132" t="s">
        <v>748</v>
      </c>
      <c r="F5" s="138" t="s">
        <v>779</v>
      </c>
      <c r="G5" s="132" t="s">
        <v>596</v>
      </c>
      <c r="H5" s="132" t="s">
        <v>748</v>
      </c>
      <c r="I5" s="138" t="s">
        <v>780</v>
      </c>
      <c r="J5" s="132" t="s">
        <v>596</v>
      </c>
      <c r="K5" s="132" t="s">
        <v>748</v>
      </c>
      <c r="L5" s="141" t="s">
        <v>781</v>
      </c>
      <c r="M5" s="132" t="s">
        <v>596</v>
      </c>
      <c r="N5" s="131" t="s">
        <v>594</v>
      </c>
    </row>
    <row r="6" spans="1:14" ht="15.75">
      <c r="A6" s="130" t="s">
        <v>746</v>
      </c>
      <c r="B6" s="130" t="s">
        <v>748</v>
      </c>
      <c r="C6" s="141" t="s">
        <v>773</v>
      </c>
      <c r="D6" s="132" t="s">
        <v>596</v>
      </c>
      <c r="E6" s="132" t="s">
        <v>748</v>
      </c>
      <c r="F6" s="138" t="s">
        <v>779</v>
      </c>
      <c r="G6" s="132" t="s">
        <v>596</v>
      </c>
      <c r="H6" s="132" t="s">
        <v>748</v>
      </c>
      <c r="I6" s="138" t="s">
        <v>780</v>
      </c>
      <c r="J6" s="132" t="s">
        <v>596</v>
      </c>
      <c r="K6" s="132" t="s">
        <v>748</v>
      </c>
      <c r="L6" s="141" t="s">
        <v>781</v>
      </c>
      <c r="M6" s="132" t="s">
        <v>596</v>
      </c>
      <c r="N6" s="131" t="s">
        <v>594</v>
      </c>
    </row>
    <row r="7" spans="1:14" ht="15.75">
      <c r="A7" s="130" t="s">
        <v>746</v>
      </c>
      <c r="B7" s="130" t="s">
        <v>748</v>
      </c>
      <c r="C7" s="141" t="s">
        <v>774</v>
      </c>
      <c r="D7" s="132" t="s">
        <v>596</v>
      </c>
      <c r="E7" s="132" t="s">
        <v>748</v>
      </c>
      <c r="F7" s="138" t="s">
        <v>782</v>
      </c>
      <c r="G7" s="132" t="s">
        <v>596</v>
      </c>
      <c r="H7" s="132" t="s">
        <v>748</v>
      </c>
      <c r="I7" s="138" t="s">
        <v>780</v>
      </c>
      <c r="J7" s="132" t="s">
        <v>596</v>
      </c>
      <c r="K7" s="132" t="s">
        <v>748</v>
      </c>
      <c r="L7" s="141" t="s">
        <v>781</v>
      </c>
      <c r="M7" s="132" t="s">
        <v>596</v>
      </c>
      <c r="N7" s="131" t="s">
        <v>594</v>
      </c>
    </row>
    <row r="8" spans="1:14">
      <c r="A8" s="130" t="s">
        <v>746</v>
      </c>
      <c r="B8" s="130" t="s">
        <v>748</v>
      </c>
      <c r="C8" s="141" t="s">
        <v>775</v>
      </c>
      <c r="D8" s="132" t="s">
        <v>596</v>
      </c>
      <c r="E8" s="132" t="s">
        <v>748</v>
      </c>
      <c r="F8" s="141" t="s">
        <v>777</v>
      </c>
      <c r="G8" s="132" t="s">
        <v>596</v>
      </c>
      <c r="H8" s="132" t="s">
        <v>748</v>
      </c>
      <c r="I8" s="141"/>
      <c r="J8" s="132" t="s">
        <v>596</v>
      </c>
      <c r="K8" s="132" t="s">
        <v>748</v>
      </c>
      <c r="L8" s="141" t="s">
        <v>783</v>
      </c>
      <c r="M8" s="132" t="s">
        <v>596</v>
      </c>
      <c r="N8" s="131" t="s">
        <v>594</v>
      </c>
    </row>
    <row r="9" spans="1:14">
      <c r="A9" s="130" t="s">
        <v>746</v>
      </c>
      <c r="B9" s="130" t="s">
        <v>748</v>
      </c>
      <c r="C9" s="141" t="s">
        <v>776</v>
      </c>
      <c r="D9" s="132" t="s">
        <v>596</v>
      </c>
      <c r="E9" s="132" t="s">
        <v>748</v>
      </c>
      <c r="F9" s="141" t="s">
        <v>777</v>
      </c>
      <c r="G9" s="132" t="s">
        <v>596</v>
      </c>
      <c r="H9" s="132" t="s">
        <v>748</v>
      </c>
      <c r="I9" s="141"/>
      <c r="J9" s="132" t="s">
        <v>596</v>
      </c>
      <c r="K9" s="132" t="s">
        <v>748</v>
      </c>
      <c r="L9" s="141" t="s">
        <v>783</v>
      </c>
      <c r="M9" s="132" t="s">
        <v>596</v>
      </c>
      <c r="N9" s="131" t="s">
        <v>594</v>
      </c>
    </row>
    <row r="10" spans="1:14">
      <c r="A10" s="130" t="s">
        <v>746</v>
      </c>
      <c r="B10" s="130" t="s">
        <v>748</v>
      </c>
      <c r="D10" s="132" t="s">
        <v>596</v>
      </c>
      <c r="E10" s="132" t="s">
        <v>748</v>
      </c>
      <c r="G10" s="132" t="s">
        <v>596</v>
      </c>
      <c r="H10" s="132" t="s">
        <v>748</v>
      </c>
      <c r="J10" s="132" t="s">
        <v>596</v>
      </c>
      <c r="K10" s="132" t="s">
        <v>748</v>
      </c>
      <c r="L10" s="141" t="s">
        <v>784</v>
      </c>
      <c r="M10" s="132" t="s">
        <v>596</v>
      </c>
      <c r="N10" s="131" t="s">
        <v>594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C27" sqref="C27"/>
    </sheetView>
  </sheetViews>
  <sheetFormatPr defaultRowHeight="15"/>
  <cols>
    <col min="3" max="3" width="48.85546875" customWidth="1"/>
    <col min="4" max="5" width="16.85546875" customWidth="1"/>
    <col min="6" max="6" width="59.28515625" customWidth="1"/>
  </cols>
  <sheetData>
    <row r="1" spans="1:8" ht="25.5">
      <c r="A1" s="130" t="s">
        <v>746</v>
      </c>
      <c r="B1" s="130" t="s">
        <v>747</v>
      </c>
      <c r="C1" s="142" t="s">
        <v>787</v>
      </c>
      <c r="D1" s="130" t="s">
        <v>593</v>
      </c>
      <c r="E1" s="130" t="s">
        <v>749</v>
      </c>
      <c r="F1" s="145" t="s">
        <v>800</v>
      </c>
      <c r="G1" s="130" t="s">
        <v>593</v>
      </c>
      <c r="H1" s="131" t="s">
        <v>594</v>
      </c>
    </row>
    <row r="2" spans="1:8">
      <c r="A2" s="130" t="s">
        <v>746</v>
      </c>
      <c r="B2" s="130" t="s">
        <v>748</v>
      </c>
      <c r="C2" s="144" t="s">
        <v>788</v>
      </c>
      <c r="D2" s="132" t="s">
        <v>596</v>
      </c>
      <c r="E2" s="132" t="s">
        <v>748</v>
      </c>
      <c r="F2" s="145" t="s">
        <v>808</v>
      </c>
      <c r="G2" s="132" t="s">
        <v>596</v>
      </c>
      <c r="H2" s="131" t="s">
        <v>594</v>
      </c>
    </row>
    <row r="3" spans="1:8">
      <c r="A3" s="130" t="s">
        <v>746</v>
      </c>
      <c r="B3" s="130" t="s">
        <v>748</v>
      </c>
      <c r="C3" s="142" t="s">
        <v>789</v>
      </c>
      <c r="D3" s="132" t="s">
        <v>596</v>
      </c>
      <c r="E3" s="132" t="s">
        <v>748</v>
      </c>
      <c r="F3" s="145" t="s">
        <v>799</v>
      </c>
      <c r="G3" s="132" t="s">
        <v>596</v>
      </c>
      <c r="H3" s="131" t="s">
        <v>594</v>
      </c>
    </row>
    <row r="4" spans="1:8">
      <c r="A4" s="130" t="s">
        <v>746</v>
      </c>
      <c r="B4" s="130" t="s">
        <v>748</v>
      </c>
      <c r="C4" s="144" t="s">
        <v>790</v>
      </c>
      <c r="D4" s="132" t="s">
        <v>596</v>
      </c>
      <c r="E4" s="132" t="s">
        <v>748</v>
      </c>
      <c r="F4" s="146">
        <v>1112202000129</v>
      </c>
      <c r="G4" s="132" t="s">
        <v>596</v>
      </c>
      <c r="H4" s="131" t="s">
        <v>594</v>
      </c>
    </row>
    <row r="5" spans="1:8">
      <c r="A5" s="130" t="s">
        <v>746</v>
      </c>
      <c r="B5" s="130" t="s">
        <v>748</v>
      </c>
      <c r="C5" s="142" t="s">
        <v>791</v>
      </c>
      <c r="D5" s="132" t="s">
        <v>596</v>
      </c>
      <c r="E5" s="132" t="s">
        <v>748</v>
      </c>
      <c r="F5" s="146">
        <v>68517708</v>
      </c>
      <c r="G5" s="132" t="s">
        <v>596</v>
      </c>
      <c r="H5" s="131" t="s">
        <v>594</v>
      </c>
    </row>
    <row r="6" spans="1:8">
      <c r="A6" s="130" t="s">
        <v>746</v>
      </c>
      <c r="B6" s="130" t="s">
        <v>748</v>
      </c>
      <c r="C6" s="144" t="s">
        <v>792</v>
      </c>
      <c r="D6" s="132" t="s">
        <v>596</v>
      </c>
      <c r="E6" s="132" t="s">
        <v>748</v>
      </c>
      <c r="F6" s="146">
        <v>20200</v>
      </c>
      <c r="G6" s="132" t="s">
        <v>596</v>
      </c>
      <c r="H6" s="131" t="s">
        <v>594</v>
      </c>
    </row>
    <row r="7" spans="1:8">
      <c r="A7" s="130" t="s">
        <v>746</v>
      </c>
      <c r="B7" s="130" t="s">
        <v>748</v>
      </c>
      <c r="C7" s="142" t="s">
        <v>793</v>
      </c>
      <c r="D7" s="132" t="s">
        <v>596</v>
      </c>
      <c r="E7" s="132" t="s">
        <v>748</v>
      </c>
      <c r="F7" s="145" t="s">
        <v>801</v>
      </c>
      <c r="G7" s="132" t="s">
        <v>596</v>
      </c>
      <c r="H7" s="131" t="s">
        <v>594</v>
      </c>
    </row>
    <row r="8" spans="1:8">
      <c r="A8" s="130" t="s">
        <v>746</v>
      </c>
      <c r="B8" s="130" t="s">
        <v>748</v>
      </c>
      <c r="C8" s="144" t="s">
        <v>794</v>
      </c>
      <c r="D8" s="132" t="s">
        <v>596</v>
      </c>
      <c r="E8" s="132" t="s">
        <v>748</v>
      </c>
      <c r="F8" s="145" t="s">
        <v>801</v>
      </c>
      <c r="G8" s="132" t="s">
        <v>596</v>
      </c>
      <c r="H8" s="131" t="s">
        <v>594</v>
      </c>
    </row>
    <row r="9" spans="1:8">
      <c r="A9" s="130" t="s">
        <v>746</v>
      </c>
      <c r="B9" s="130" t="s">
        <v>748</v>
      </c>
      <c r="C9" s="142" t="s">
        <v>795</v>
      </c>
      <c r="D9" s="132" t="s">
        <v>596</v>
      </c>
      <c r="E9" s="132" t="s">
        <v>748</v>
      </c>
      <c r="F9" s="147" t="s">
        <v>802</v>
      </c>
      <c r="G9" s="132" t="s">
        <v>596</v>
      </c>
      <c r="H9" s="131" t="s">
        <v>594</v>
      </c>
    </row>
    <row r="10" spans="1:8">
      <c r="A10" s="130" t="s">
        <v>746</v>
      </c>
      <c r="B10" s="130" t="s">
        <v>748</v>
      </c>
      <c r="C10" s="144" t="s">
        <v>796</v>
      </c>
      <c r="D10" s="132" t="s">
        <v>596</v>
      </c>
      <c r="E10" s="132" t="s">
        <v>748</v>
      </c>
      <c r="F10" s="149" t="s">
        <v>803</v>
      </c>
      <c r="G10" s="132" t="s">
        <v>596</v>
      </c>
      <c r="H10" s="131" t="s">
        <v>594</v>
      </c>
    </row>
    <row r="11" spans="1:8">
      <c r="A11" s="130" t="s">
        <v>746</v>
      </c>
      <c r="B11" s="130" t="s">
        <v>748</v>
      </c>
      <c r="C11" s="171" t="s">
        <v>797</v>
      </c>
      <c r="D11" s="132" t="s">
        <v>596</v>
      </c>
      <c r="E11" s="132" t="s">
        <v>748</v>
      </c>
      <c r="F11" s="145" t="s">
        <v>804</v>
      </c>
      <c r="G11" s="132" t="s">
        <v>596</v>
      </c>
      <c r="H11" s="131" t="s">
        <v>594</v>
      </c>
    </row>
    <row r="12" spans="1:8">
      <c r="A12" s="130" t="s">
        <v>746</v>
      </c>
      <c r="B12" s="130" t="s">
        <v>748</v>
      </c>
      <c r="C12" s="171"/>
      <c r="D12" s="132" t="s">
        <v>596</v>
      </c>
      <c r="E12" s="132" t="s">
        <v>748</v>
      </c>
      <c r="F12" s="148" t="s">
        <v>810</v>
      </c>
      <c r="G12" s="132" t="s">
        <v>596</v>
      </c>
      <c r="H12" s="131" t="s">
        <v>594</v>
      </c>
    </row>
    <row r="13" spans="1:8">
      <c r="A13" s="130" t="s">
        <v>746</v>
      </c>
      <c r="B13" s="130" t="s">
        <v>748</v>
      </c>
      <c r="C13" s="171"/>
      <c r="D13" s="132" t="s">
        <v>596</v>
      </c>
      <c r="E13" s="132" t="s">
        <v>748</v>
      </c>
      <c r="F13" s="148" t="s">
        <v>809</v>
      </c>
      <c r="G13" s="132" t="s">
        <v>596</v>
      </c>
      <c r="H13" s="131" t="s">
        <v>594</v>
      </c>
    </row>
    <row r="14" spans="1:8">
      <c r="A14" s="130" t="s">
        <v>746</v>
      </c>
      <c r="B14" s="130" t="s">
        <v>748</v>
      </c>
      <c r="C14" s="171"/>
      <c r="D14" s="132" t="s">
        <v>596</v>
      </c>
      <c r="E14" s="132" t="s">
        <v>748</v>
      </c>
      <c r="F14" s="143" t="s">
        <v>805</v>
      </c>
      <c r="G14" s="132" t="s">
        <v>596</v>
      </c>
      <c r="H14" s="131" t="s">
        <v>594</v>
      </c>
    </row>
    <row r="15" spans="1:8">
      <c r="A15" s="130" t="s">
        <v>746</v>
      </c>
      <c r="B15" s="130" t="s">
        <v>748</v>
      </c>
      <c r="C15" s="171"/>
      <c r="D15" s="132" t="s">
        <v>596</v>
      </c>
      <c r="E15" s="132" t="s">
        <v>748</v>
      </c>
      <c r="F15" s="148" t="s">
        <v>798</v>
      </c>
      <c r="G15" s="132" t="s">
        <v>596</v>
      </c>
      <c r="H15" s="131" t="s">
        <v>594</v>
      </c>
    </row>
    <row r="16" spans="1:8">
      <c r="A16" s="130" t="s">
        <v>746</v>
      </c>
      <c r="B16" s="130" t="s">
        <v>748</v>
      </c>
      <c r="C16" s="171"/>
      <c r="D16" s="132" t="s">
        <v>596</v>
      </c>
      <c r="E16" s="132" t="s">
        <v>748</v>
      </c>
      <c r="F16" s="143" t="s">
        <v>806</v>
      </c>
      <c r="G16" s="132" t="s">
        <v>596</v>
      </c>
      <c r="H16" s="131" t="s">
        <v>594</v>
      </c>
    </row>
    <row r="17" spans="1:8">
      <c r="A17" s="130" t="s">
        <v>746</v>
      </c>
      <c r="B17" s="130" t="s">
        <v>748</v>
      </c>
      <c r="C17" s="171"/>
      <c r="D17" s="132" t="s">
        <v>596</v>
      </c>
      <c r="E17" s="132" t="s">
        <v>748</v>
      </c>
      <c r="F17" s="143" t="s">
        <v>807</v>
      </c>
      <c r="G17" s="132" t="s">
        <v>596</v>
      </c>
      <c r="H17" s="131" t="s">
        <v>594</v>
      </c>
    </row>
  </sheetData>
  <mergeCells count="1">
    <mergeCell ref="C11:C17"/>
  </mergeCells>
  <hyperlinks>
    <hyperlink ref="F1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workbookViewId="0">
      <selection activeCell="A74" sqref="A74:A78"/>
    </sheetView>
  </sheetViews>
  <sheetFormatPr defaultRowHeight="15"/>
  <cols>
    <col min="6" max="6" width="10.1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s="3" t="s">
        <v>2</v>
      </c>
    </row>
    <row r="6" spans="1:3">
      <c r="A6" s="3" t="s">
        <v>3</v>
      </c>
    </row>
    <row r="8" spans="1:3">
      <c r="A8" t="s">
        <v>4</v>
      </c>
    </row>
    <row r="9" spans="1:3">
      <c r="A9" t="s">
        <v>5</v>
      </c>
    </row>
    <row r="12" spans="1:3">
      <c r="A12" s="1" t="s">
        <v>6</v>
      </c>
    </row>
    <row r="14" spans="1:3">
      <c r="A14" t="s">
        <v>7</v>
      </c>
    </row>
    <row r="15" spans="1:3">
      <c r="A15" t="s">
        <v>8</v>
      </c>
      <c r="C15" s="2" t="s">
        <v>9</v>
      </c>
    </row>
    <row r="16" spans="1:3">
      <c r="C16" s="2" t="s">
        <v>10</v>
      </c>
    </row>
    <row r="18" spans="1:9">
      <c r="A18" t="s">
        <v>11</v>
      </c>
      <c r="I18" t="s">
        <v>26</v>
      </c>
    </row>
    <row r="19" spans="1:9">
      <c r="C19" s="2" t="s">
        <v>10</v>
      </c>
      <c r="I19" s="2" t="s">
        <v>25</v>
      </c>
    </row>
    <row r="20" spans="1:9">
      <c r="C20" s="2" t="s">
        <v>12</v>
      </c>
    </row>
    <row r="21" spans="1:9">
      <c r="C21" s="2" t="s">
        <v>14</v>
      </c>
    </row>
    <row r="22" spans="1:9">
      <c r="C22" s="2" t="s">
        <v>13</v>
      </c>
    </row>
    <row r="24" spans="1:9">
      <c r="A24" t="s">
        <v>15</v>
      </c>
    </row>
    <row r="26" spans="1:9">
      <c r="A26" s="1" t="s">
        <v>16</v>
      </c>
      <c r="B26" s="1"/>
      <c r="C26" s="1"/>
      <c r="F26" s="5">
        <v>43855</v>
      </c>
    </row>
    <row r="27" spans="1:9">
      <c r="A27" s="1"/>
      <c r="B27" s="1"/>
      <c r="C27" s="4" t="s">
        <v>14</v>
      </c>
    </row>
    <row r="29" spans="1:9">
      <c r="A29" t="s">
        <v>17</v>
      </c>
    </row>
    <row r="31" spans="1:9">
      <c r="A31" t="s">
        <v>18</v>
      </c>
    </row>
    <row r="33" spans="1:6">
      <c r="A33" t="s">
        <v>19</v>
      </c>
    </row>
    <row r="35" spans="1:6">
      <c r="A35" s="3" t="s">
        <v>20</v>
      </c>
    </row>
    <row r="37" spans="1:6">
      <c r="A37" s="1" t="s">
        <v>21</v>
      </c>
      <c r="F37" s="6">
        <v>43855</v>
      </c>
    </row>
    <row r="40" spans="1:6">
      <c r="A40" t="s">
        <v>22</v>
      </c>
    </row>
    <row r="41" spans="1:6">
      <c r="A41" t="s">
        <v>23</v>
      </c>
      <c r="C41" s="2" t="s">
        <v>24</v>
      </c>
    </row>
    <row r="44" spans="1:6">
      <c r="A44" t="s">
        <v>65</v>
      </c>
    </row>
    <row r="46" spans="1:6">
      <c r="A46" s="24" t="s">
        <v>69</v>
      </c>
    </row>
    <row r="47" spans="1:6">
      <c r="A47" s="1" t="s">
        <v>66</v>
      </c>
    </row>
    <row r="48" spans="1:6">
      <c r="A48" s="1" t="s">
        <v>67</v>
      </c>
    </row>
    <row r="49" spans="1:1">
      <c r="A49" s="3" t="s">
        <v>68</v>
      </c>
    </row>
    <row r="50" spans="1:1">
      <c r="A50" s="1" t="s">
        <v>70</v>
      </c>
    </row>
    <row r="51" spans="1:1">
      <c r="A51" t="s">
        <v>71</v>
      </c>
    </row>
    <row r="52" spans="1:1">
      <c r="A52" t="s">
        <v>73</v>
      </c>
    </row>
    <row r="53" spans="1:1">
      <c r="A53" s="1" t="s">
        <v>72</v>
      </c>
    </row>
    <row r="55" spans="1:1">
      <c r="A55" s="24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1" spans="1:1">
      <c r="A61" s="24" t="s">
        <v>79</v>
      </c>
    </row>
    <row r="62" spans="1:1">
      <c r="A62" t="s">
        <v>80</v>
      </c>
    </row>
    <row r="63" spans="1:1">
      <c r="A63" t="s">
        <v>81</v>
      </c>
    </row>
    <row r="69" spans="1:1">
      <c r="A69" s="2" t="s">
        <v>627</v>
      </c>
    </row>
    <row r="70" spans="1:1">
      <c r="A70" s="2" t="s">
        <v>628</v>
      </c>
    </row>
    <row r="74" spans="1:1">
      <c r="A74" t="s">
        <v>629</v>
      </c>
    </row>
    <row r="75" spans="1:1">
      <c r="A75" t="s">
        <v>387</v>
      </c>
    </row>
    <row r="76" spans="1:1">
      <c r="A76" t="s">
        <v>28</v>
      </c>
    </row>
    <row r="77" spans="1:1">
      <c r="A77" t="s">
        <v>630</v>
      </c>
    </row>
    <row r="78" spans="1:1">
      <c r="A78" t="s">
        <v>631</v>
      </c>
    </row>
  </sheetData>
  <hyperlinks>
    <hyperlink ref="C15" r:id="rId1"/>
    <hyperlink ref="C16" r:id="rId2"/>
    <hyperlink ref="C19" r:id="rId3"/>
    <hyperlink ref="C20" r:id="rId4"/>
    <hyperlink ref="C22" r:id="rId5"/>
    <hyperlink ref="C21" r:id="rId6"/>
    <hyperlink ref="C27" r:id="rId7"/>
    <hyperlink ref="C41" r:id="rId8"/>
    <hyperlink ref="I19" r:id="rId9"/>
    <hyperlink ref="A69" r:id="rId10"/>
    <hyperlink ref="A70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3"/>
  <sheetViews>
    <sheetView workbookViewId="0"/>
  </sheetViews>
  <sheetFormatPr defaultRowHeight="15"/>
  <cols>
    <col min="1" max="1" width="23.140625" style="13" customWidth="1"/>
    <col min="2" max="2" width="62.42578125" customWidth="1"/>
    <col min="3" max="3" width="31.28515625" customWidth="1"/>
    <col min="4" max="4" width="28.140625" customWidth="1"/>
    <col min="5" max="5" width="35.5703125" customWidth="1"/>
    <col min="6" max="6" width="26.28515625" style="26" customWidth="1"/>
  </cols>
  <sheetData>
    <row r="1" spans="1:6" ht="28.5">
      <c r="A1" s="27" t="s">
        <v>82</v>
      </c>
      <c r="B1" s="28" t="s">
        <v>83</v>
      </c>
      <c r="C1" s="28" t="s">
        <v>84</v>
      </c>
      <c r="D1" s="28" t="s">
        <v>85</v>
      </c>
      <c r="E1" s="28" t="s">
        <v>86</v>
      </c>
      <c r="F1" s="29" t="s">
        <v>87</v>
      </c>
    </row>
    <row r="2" spans="1:6" ht="30" customHeight="1">
      <c r="A2" s="165">
        <v>1</v>
      </c>
      <c r="B2" s="163" t="s">
        <v>88</v>
      </c>
      <c r="C2" s="159" t="s">
        <v>220</v>
      </c>
      <c r="D2" s="169" t="s">
        <v>89</v>
      </c>
      <c r="E2" s="30" t="s">
        <v>90</v>
      </c>
      <c r="F2" s="166" t="s">
        <v>94</v>
      </c>
    </row>
    <row r="3" spans="1:6">
      <c r="A3" s="165"/>
      <c r="B3" s="163"/>
      <c r="C3" s="160"/>
      <c r="D3" s="169"/>
      <c r="E3" s="30" t="s">
        <v>91</v>
      </c>
      <c r="F3" s="166"/>
    </row>
    <row r="4" spans="1:6" ht="30">
      <c r="A4" s="165"/>
      <c r="B4" s="163"/>
      <c r="C4" s="160"/>
      <c r="D4" s="169"/>
      <c r="E4" s="30" t="s">
        <v>92</v>
      </c>
      <c r="F4" s="166"/>
    </row>
    <row r="5" spans="1:6">
      <c r="A5" s="165"/>
      <c r="B5" s="163"/>
      <c r="C5" s="161"/>
      <c r="D5" s="169"/>
      <c r="E5" s="32" t="s">
        <v>93</v>
      </c>
      <c r="F5" s="166"/>
    </row>
    <row r="6" spans="1:6" ht="30">
      <c r="A6" s="165">
        <v>2</v>
      </c>
      <c r="B6" s="163" t="s">
        <v>95</v>
      </c>
      <c r="C6" s="163" t="s">
        <v>96</v>
      </c>
      <c r="D6" s="163" t="s">
        <v>97</v>
      </c>
      <c r="E6" s="30" t="s">
        <v>98</v>
      </c>
      <c r="F6" s="33" t="s">
        <v>100</v>
      </c>
    </row>
    <row r="7" spans="1:6">
      <c r="A7" s="165"/>
      <c r="B7" s="163"/>
      <c r="C7" s="163"/>
      <c r="D7" s="163"/>
      <c r="E7" s="32" t="s">
        <v>99</v>
      </c>
      <c r="F7" s="33">
        <v>89059857150</v>
      </c>
    </row>
    <row r="8" spans="1:6" ht="30">
      <c r="A8" s="165">
        <v>3</v>
      </c>
      <c r="B8" s="163" t="s">
        <v>101</v>
      </c>
      <c r="C8" s="163" t="s">
        <v>102</v>
      </c>
      <c r="D8" s="30"/>
      <c r="E8" s="30" t="s">
        <v>104</v>
      </c>
      <c r="F8" s="33" t="s">
        <v>107</v>
      </c>
    </row>
    <row r="9" spans="1:6" ht="30">
      <c r="A9" s="165"/>
      <c r="B9" s="163"/>
      <c r="C9" s="163"/>
      <c r="D9" s="30" t="s">
        <v>103</v>
      </c>
      <c r="E9" s="32" t="s">
        <v>105</v>
      </c>
      <c r="F9" s="33" t="s">
        <v>108</v>
      </c>
    </row>
    <row r="10" spans="1:6">
      <c r="A10" s="165"/>
      <c r="B10" s="163"/>
      <c r="C10" s="163"/>
      <c r="D10" s="31"/>
      <c r="E10" s="32" t="s">
        <v>106</v>
      </c>
      <c r="F10" s="33">
        <v>89230005885</v>
      </c>
    </row>
    <row r="11" spans="1:6" ht="18.75">
      <c r="A11" s="170" t="s">
        <v>109</v>
      </c>
      <c r="B11" s="170"/>
      <c r="C11" s="170"/>
      <c r="D11" s="170"/>
      <c r="E11" s="170"/>
      <c r="F11" s="170"/>
    </row>
    <row r="12" spans="1:6" ht="30">
      <c r="A12" s="165">
        <v>4</v>
      </c>
      <c r="B12" s="163" t="s">
        <v>110</v>
      </c>
      <c r="C12" s="30" t="s">
        <v>111</v>
      </c>
      <c r="D12" s="163" t="s">
        <v>114</v>
      </c>
      <c r="E12" s="30" t="s">
        <v>115</v>
      </c>
      <c r="F12" s="33" t="s">
        <v>117</v>
      </c>
    </row>
    <row r="13" spans="1:6">
      <c r="A13" s="165"/>
      <c r="B13" s="163"/>
      <c r="C13" s="30" t="s">
        <v>112</v>
      </c>
      <c r="D13" s="163"/>
      <c r="E13" s="32" t="s">
        <v>116</v>
      </c>
      <c r="F13" s="33" t="s">
        <v>118</v>
      </c>
    </row>
    <row r="14" spans="1:6">
      <c r="A14" s="165"/>
      <c r="B14" s="163"/>
      <c r="C14" s="30" t="s">
        <v>113</v>
      </c>
      <c r="D14" s="163"/>
      <c r="E14" s="31"/>
      <c r="F14" s="34"/>
    </row>
    <row r="15" spans="1:6">
      <c r="A15" s="165"/>
      <c r="B15" s="163"/>
      <c r="C15" s="30"/>
      <c r="D15" s="163"/>
      <c r="E15" s="31"/>
      <c r="F15" s="34"/>
    </row>
    <row r="16" spans="1:6" ht="30">
      <c r="A16" s="165">
        <v>5</v>
      </c>
      <c r="B16" s="163" t="s">
        <v>119</v>
      </c>
      <c r="C16" s="163" t="s">
        <v>120</v>
      </c>
      <c r="D16" s="163" t="s">
        <v>121</v>
      </c>
      <c r="E16" s="30" t="s">
        <v>122</v>
      </c>
      <c r="F16" s="33" t="s">
        <v>124</v>
      </c>
    </row>
    <row r="17" spans="1:6">
      <c r="A17" s="165"/>
      <c r="B17" s="163"/>
      <c r="C17" s="163"/>
      <c r="D17" s="163"/>
      <c r="E17" s="32" t="s">
        <v>123</v>
      </c>
      <c r="F17" s="33">
        <v>89609662317</v>
      </c>
    </row>
    <row r="18" spans="1:6" ht="30">
      <c r="A18" s="162">
        <v>6</v>
      </c>
      <c r="B18" s="163" t="s">
        <v>125</v>
      </c>
      <c r="C18" s="163" t="s">
        <v>126</v>
      </c>
      <c r="D18" s="163" t="s">
        <v>127</v>
      </c>
      <c r="E18" s="30" t="s">
        <v>128</v>
      </c>
      <c r="F18" s="33" t="s">
        <v>130</v>
      </c>
    </row>
    <row r="19" spans="1:6">
      <c r="A19" s="162"/>
      <c r="B19" s="163"/>
      <c r="C19" s="163"/>
      <c r="D19" s="163"/>
      <c r="E19" s="32" t="s">
        <v>129</v>
      </c>
      <c r="F19" s="33">
        <v>89609620582</v>
      </c>
    </row>
    <row r="20" spans="1:6">
      <c r="A20" s="162"/>
      <c r="B20" s="163"/>
      <c r="C20" s="163"/>
      <c r="D20" s="163"/>
      <c r="E20" s="30"/>
      <c r="F20" s="34"/>
    </row>
    <row r="21" spans="1:6" ht="30">
      <c r="A21" s="162">
        <v>7</v>
      </c>
      <c r="B21" s="163" t="s">
        <v>131</v>
      </c>
      <c r="C21" s="163" t="s">
        <v>132</v>
      </c>
      <c r="D21" s="163" t="s">
        <v>133</v>
      </c>
      <c r="E21" s="30" t="s">
        <v>134</v>
      </c>
      <c r="F21" s="33" t="s">
        <v>136</v>
      </c>
    </row>
    <row r="22" spans="1:6">
      <c r="A22" s="162"/>
      <c r="B22" s="163"/>
      <c r="C22" s="163"/>
      <c r="D22" s="163"/>
      <c r="E22" s="32" t="s">
        <v>135</v>
      </c>
      <c r="F22" s="33" t="s">
        <v>137</v>
      </c>
    </row>
    <row r="23" spans="1:6">
      <c r="A23" s="162"/>
      <c r="B23" s="163"/>
      <c r="C23" s="163"/>
      <c r="D23" s="163"/>
      <c r="E23" s="30"/>
      <c r="F23" s="33"/>
    </row>
    <row r="24" spans="1:6">
      <c r="A24" s="162"/>
      <c r="B24" s="163"/>
      <c r="C24" s="163"/>
      <c r="D24" s="163"/>
      <c r="E24" s="31"/>
      <c r="F24" s="33"/>
    </row>
    <row r="25" spans="1:6" ht="30">
      <c r="A25" s="162">
        <v>8</v>
      </c>
      <c r="B25" s="163" t="s">
        <v>138</v>
      </c>
      <c r="C25" s="167" t="s">
        <v>139</v>
      </c>
      <c r="D25" s="169" t="s">
        <v>140</v>
      </c>
      <c r="E25" s="30" t="s">
        <v>141</v>
      </c>
      <c r="F25" s="33" t="s">
        <v>143</v>
      </c>
    </row>
    <row r="26" spans="1:6" ht="28.5">
      <c r="A26" s="162"/>
      <c r="B26" s="163"/>
      <c r="C26" s="167"/>
      <c r="D26" s="169"/>
      <c r="E26" s="32" t="s">
        <v>142</v>
      </c>
      <c r="F26" s="33" t="s">
        <v>144</v>
      </c>
    </row>
    <row r="27" spans="1:6">
      <c r="A27" s="162"/>
      <c r="B27" s="163"/>
      <c r="C27" s="167"/>
      <c r="D27" s="169"/>
      <c r="E27" s="31"/>
      <c r="F27" s="33"/>
    </row>
    <row r="28" spans="1:6" ht="30">
      <c r="A28" s="162">
        <v>9</v>
      </c>
      <c r="B28" s="30" t="s">
        <v>145</v>
      </c>
      <c r="C28" s="30" t="s">
        <v>147</v>
      </c>
      <c r="D28" s="163" t="s">
        <v>149</v>
      </c>
      <c r="E28" s="163" t="s">
        <v>150</v>
      </c>
      <c r="F28" s="168" t="s">
        <v>151</v>
      </c>
    </row>
    <row r="29" spans="1:6" ht="30">
      <c r="A29" s="162"/>
      <c r="B29" s="30" t="s">
        <v>146</v>
      </c>
      <c r="C29" s="30" t="s">
        <v>148</v>
      </c>
      <c r="D29" s="163"/>
      <c r="E29" s="163"/>
      <c r="F29" s="168"/>
    </row>
    <row r="30" spans="1:6" ht="30">
      <c r="A30" s="162">
        <v>10</v>
      </c>
      <c r="B30" s="163" t="s">
        <v>152</v>
      </c>
      <c r="C30" s="163" t="s">
        <v>153</v>
      </c>
      <c r="D30" s="163" t="s">
        <v>154</v>
      </c>
      <c r="E30" s="30" t="s">
        <v>155</v>
      </c>
      <c r="F30" s="33" t="s">
        <v>157</v>
      </c>
    </row>
    <row r="31" spans="1:6">
      <c r="A31" s="162"/>
      <c r="B31" s="163"/>
      <c r="C31" s="163"/>
      <c r="D31" s="163"/>
      <c r="E31" s="32" t="s">
        <v>156</v>
      </c>
      <c r="F31" s="33" t="s">
        <v>158</v>
      </c>
    </row>
    <row r="32" spans="1:6">
      <c r="A32" s="162"/>
      <c r="B32" s="163"/>
      <c r="C32" s="163"/>
      <c r="D32" s="163"/>
      <c r="E32" s="31"/>
      <c r="F32" s="33"/>
    </row>
    <row r="33" spans="1:6">
      <c r="A33" s="162"/>
      <c r="B33" s="163"/>
      <c r="C33" s="163"/>
      <c r="D33" s="163"/>
      <c r="E33" s="31"/>
      <c r="F33" s="33"/>
    </row>
    <row r="34" spans="1:6">
      <c r="A34" s="162">
        <v>11</v>
      </c>
      <c r="B34" s="163" t="s">
        <v>159</v>
      </c>
      <c r="C34" s="35" t="s">
        <v>160</v>
      </c>
      <c r="D34" s="167" t="s">
        <v>162</v>
      </c>
      <c r="E34" s="35" t="s">
        <v>163</v>
      </c>
      <c r="F34" s="36" t="s">
        <v>165</v>
      </c>
    </row>
    <row r="35" spans="1:6">
      <c r="A35" s="162"/>
      <c r="B35" s="163"/>
      <c r="C35" s="35" t="s">
        <v>161</v>
      </c>
      <c r="D35" s="167"/>
      <c r="E35" s="28" t="s">
        <v>164</v>
      </c>
      <c r="F35" s="36">
        <v>89237494512</v>
      </c>
    </row>
    <row r="36" spans="1:6">
      <c r="A36" s="162"/>
      <c r="B36" s="163"/>
      <c r="C36" s="31"/>
      <c r="D36" s="167"/>
      <c r="E36" s="31"/>
      <c r="F36" s="36"/>
    </row>
    <row r="37" spans="1:6" ht="30">
      <c r="A37" s="162">
        <v>12</v>
      </c>
      <c r="B37" s="163" t="s">
        <v>166</v>
      </c>
      <c r="C37" s="30" t="s">
        <v>167</v>
      </c>
      <c r="D37" s="163" t="s">
        <v>169</v>
      </c>
      <c r="E37" s="30" t="s">
        <v>170</v>
      </c>
      <c r="F37" s="33" t="s">
        <v>172</v>
      </c>
    </row>
    <row r="38" spans="1:6">
      <c r="A38" s="162"/>
      <c r="B38" s="163"/>
      <c r="C38" s="30" t="s">
        <v>168</v>
      </c>
      <c r="D38" s="163"/>
      <c r="E38" s="32" t="s">
        <v>171</v>
      </c>
      <c r="F38" s="33">
        <v>89609613128</v>
      </c>
    </row>
    <row r="39" spans="1:6">
      <c r="A39" s="162"/>
      <c r="B39" s="163"/>
      <c r="C39" s="30"/>
      <c r="D39" s="163"/>
      <c r="E39" s="31"/>
      <c r="F39" s="33"/>
    </row>
    <row r="40" spans="1:6">
      <c r="A40" s="162"/>
      <c r="B40" s="163"/>
      <c r="C40" s="31"/>
      <c r="D40" s="163"/>
      <c r="E40" s="31"/>
      <c r="F40" s="33"/>
    </row>
    <row r="41" spans="1:6" ht="30">
      <c r="A41" s="162">
        <v>13</v>
      </c>
      <c r="B41" s="163" t="s">
        <v>173</v>
      </c>
      <c r="C41" s="30" t="s">
        <v>174</v>
      </c>
      <c r="D41" s="164" t="s">
        <v>176</v>
      </c>
      <c r="E41" s="30" t="s">
        <v>177</v>
      </c>
      <c r="F41" s="166">
        <v>89635065816</v>
      </c>
    </row>
    <row r="42" spans="1:6">
      <c r="A42" s="162"/>
      <c r="B42" s="163"/>
      <c r="C42" s="30" t="s">
        <v>175</v>
      </c>
      <c r="D42" s="164"/>
      <c r="E42" s="32" t="s">
        <v>178</v>
      </c>
      <c r="F42" s="166"/>
    </row>
    <row r="43" spans="1:6">
      <c r="A43" s="162"/>
      <c r="B43" s="163"/>
      <c r="C43" s="30"/>
      <c r="D43" s="164"/>
      <c r="E43" s="31"/>
      <c r="F43" s="166"/>
    </row>
    <row r="44" spans="1:6" ht="18.75">
      <c r="A44" s="37" t="s">
        <v>179</v>
      </c>
      <c r="B44" s="38"/>
      <c r="C44" s="38"/>
      <c r="D44" s="38"/>
      <c r="E44" s="38"/>
      <c r="F44" s="39"/>
    </row>
    <row r="45" spans="1:6" ht="30">
      <c r="A45" s="162">
        <v>14</v>
      </c>
      <c r="B45" s="163" t="s">
        <v>180</v>
      </c>
      <c r="C45" s="30" t="s">
        <v>181</v>
      </c>
      <c r="D45" s="163" t="s">
        <v>183</v>
      </c>
      <c r="E45" s="30" t="s">
        <v>184</v>
      </c>
      <c r="F45" s="33" t="s">
        <v>186</v>
      </c>
    </row>
    <row r="46" spans="1:6">
      <c r="A46" s="162"/>
      <c r="B46" s="163"/>
      <c r="C46" s="30" t="s">
        <v>182</v>
      </c>
      <c r="D46" s="163"/>
      <c r="E46" s="32" t="s">
        <v>185</v>
      </c>
      <c r="F46" s="33" t="s">
        <v>187</v>
      </c>
    </row>
    <row r="47" spans="1:6">
      <c r="A47" s="162"/>
      <c r="B47" s="163"/>
      <c r="C47" s="30"/>
      <c r="D47" s="163"/>
      <c r="E47" s="31"/>
      <c r="F47" s="34"/>
    </row>
    <row r="48" spans="1:6" ht="30">
      <c r="A48" s="162">
        <v>15</v>
      </c>
      <c r="B48" s="163" t="s">
        <v>188</v>
      </c>
      <c r="C48" s="30" t="s">
        <v>189</v>
      </c>
      <c r="D48" s="40" t="s">
        <v>192</v>
      </c>
      <c r="E48" s="30" t="s">
        <v>194</v>
      </c>
      <c r="F48" s="33" t="s">
        <v>196</v>
      </c>
    </row>
    <row r="49" spans="1:6" ht="28.5">
      <c r="A49" s="162"/>
      <c r="B49" s="163"/>
      <c r="C49" s="30" t="s">
        <v>190</v>
      </c>
      <c r="D49" s="30" t="s">
        <v>193</v>
      </c>
      <c r="E49" s="32" t="s">
        <v>195</v>
      </c>
      <c r="F49" s="33" t="s">
        <v>197</v>
      </c>
    </row>
    <row r="50" spans="1:6">
      <c r="A50" s="162"/>
      <c r="B50" s="163"/>
      <c r="C50" s="30" t="s">
        <v>191</v>
      </c>
      <c r="D50" s="31"/>
      <c r="E50" s="31"/>
      <c r="F50" s="34"/>
    </row>
    <row r="51" spans="1:6" ht="30">
      <c r="A51" s="162">
        <v>16</v>
      </c>
      <c r="B51" s="163" t="s">
        <v>198</v>
      </c>
      <c r="C51" s="30" t="s">
        <v>199</v>
      </c>
      <c r="D51" s="163" t="s">
        <v>201</v>
      </c>
      <c r="E51" s="30" t="s">
        <v>202</v>
      </c>
      <c r="F51" s="33" t="s">
        <v>204</v>
      </c>
    </row>
    <row r="52" spans="1:6">
      <c r="A52" s="162"/>
      <c r="B52" s="163"/>
      <c r="C52" s="30" t="s">
        <v>200</v>
      </c>
      <c r="D52" s="163"/>
      <c r="E52" s="32" t="s">
        <v>203</v>
      </c>
      <c r="F52" s="33" t="s">
        <v>205</v>
      </c>
    </row>
    <row r="53" spans="1:6" ht="18.75">
      <c r="A53" s="41" t="s">
        <v>206</v>
      </c>
      <c r="B53" s="38"/>
      <c r="C53" s="38"/>
      <c r="D53" s="38"/>
      <c r="E53" s="38"/>
      <c r="F53" s="39"/>
    </row>
    <row r="54" spans="1:6" ht="30">
      <c r="A54" s="156">
        <v>17</v>
      </c>
      <c r="B54" s="157" t="s">
        <v>207</v>
      </c>
      <c r="C54" s="42" t="s">
        <v>208</v>
      </c>
      <c r="D54" s="158" t="s">
        <v>210</v>
      </c>
      <c r="E54" s="42" t="s">
        <v>211</v>
      </c>
      <c r="F54" s="43" t="s">
        <v>213</v>
      </c>
    </row>
    <row r="55" spans="1:6">
      <c r="A55" s="156"/>
      <c r="B55" s="157"/>
      <c r="C55" s="42" t="s">
        <v>209</v>
      </c>
      <c r="D55" s="158"/>
      <c r="E55" s="44" t="s">
        <v>212</v>
      </c>
      <c r="F55" s="43" t="s">
        <v>214</v>
      </c>
    </row>
    <row r="56" spans="1:6" ht="30">
      <c r="A56" s="45">
        <v>18</v>
      </c>
      <c r="B56" s="42" t="s">
        <v>215</v>
      </c>
      <c r="C56" s="42" t="s">
        <v>216</v>
      </c>
      <c r="D56" s="42" t="s">
        <v>217</v>
      </c>
      <c r="E56" s="42" t="s">
        <v>218</v>
      </c>
      <c r="F56" s="43" t="s">
        <v>219</v>
      </c>
    </row>
    <row r="70" spans="1:4" ht="15.75">
      <c r="A70" s="133" t="s">
        <v>221</v>
      </c>
    </row>
    <row r="71" spans="1:4" ht="15.75" thickBot="1">
      <c r="A71" s="25"/>
    </row>
    <row r="72" spans="1:4" ht="16.5" thickBot="1">
      <c r="A72" s="46" t="s">
        <v>222</v>
      </c>
      <c r="B72" s="46" t="s">
        <v>223</v>
      </c>
      <c r="C72" s="46" t="s">
        <v>224</v>
      </c>
      <c r="D72" s="47" t="s">
        <v>225</v>
      </c>
    </row>
    <row r="73" spans="1:4" ht="15.75">
      <c r="A73" s="150" t="s">
        <v>226</v>
      </c>
      <c r="B73" s="152" t="s">
        <v>38</v>
      </c>
      <c r="C73" s="48" t="s">
        <v>227</v>
      </c>
      <c r="D73" s="50" t="s">
        <v>229</v>
      </c>
    </row>
    <row r="74" spans="1:4" ht="16.5" thickBot="1">
      <c r="A74" s="151"/>
      <c r="B74" s="153"/>
      <c r="C74" s="49" t="s">
        <v>228</v>
      </c>
      <c r="D74" s="51" t="s">
        <v>230</v>
      </c>
    </row>
    <row r="75" spans="1:4" ht="15.75">
      <c r="A75" s="150"/>
      <c r="B75" s="152" t="s">
        <v>231</v>
      </c>
      <c r="C75" s="48" t="s">
        <v>232</v>
      </c>
      <c r="D75" s="50" t="s">
        <v>234</v>
      </c>
    </row>
    <row r="76" spans="1:4" ht="15.75">
      <c r="A76" s="154"/>
      <c r="B76" s="155"/>
      <c r="C76" s="48" t="s">
        <v>233</v>
      </c>
      <c r="D76" s="50" t="s">
        <v>235</v>
      </c>
    </row>
    <row r="77" spans="1:4" ht="16.5" thickBot="1">
      <c r="A77" s="151"/>
      <c r="B77" s="153"/>
      <c r="C77" s="52"/>
      <c r="D77" s="51" t="s">
        <v>236</v>
      </c>
    </row>
    <row r="78" spans="1:4" ht="15.75">
      <c r="A78" s="152"/>
      <c r="B78" s="152" t="s">
        <v>237</v>
      </c>
      <c r="C78" s="48" t="s">
        <v>238</v>
      </c>
      <c r="D78" s="50" t="s">
        <v>240</v>
      </c>
    </row>
    <row r="79" spans="1:4" ht="15.75">
      <c r="A79" s="155"/>
      <c r="B79" s="155"/>
      <c r="C79" s="48" t="s">
        <v>239</v>
      </c>
      <c r="D79" s="50" t="s">
        <v>241</v>
      </c>
    </row>
    <row r="80" spans="1:4" ht="15.75">
      <c r="A80" s="155"/>
      <c r="B80" s="155"/>
      <c r="C80" s="53"/>
      <c r="D80" s="50" t="s">
        <v>242</v>
      </c>
    </row>
    <row r="81" spans="1:4" ht="16.5" thickBot="1">
      <c r="A81" s="153"/>
      <c r="B81" s="153"/>
      <c r="C81" s="52"/>
      <c r="D81" s="51" t="s">
        <v>243</v>
      </c>
    </row>
    <row r="82" spans="1:4" ht="15.75">
      <c r="A82" s="152"/>
      <c r="B82" s="152" t="s">
        <v>244</v>
      </c>
      <c r="C82" s="48" t="s">
        <v>245</v>
      </c>
      <c r="D82" s="50" t="s">
        <v>247</v>
      </c>
    </row>
    <row r="83" spans="1:4" ht="16.5" thickBot="1">
      <c r="A83" s="153"/>
      <c r="B83" s="153"/>
      <c r="C83" s="49" t="s">
        <v>246</v>
      </c>
      <c r="D83" s="51" t="s">
        <v>248</v>
      </c>
    </row>
    <row r="84" spans="1:4" ht="32.25" thickBot="1">
      <c r="A84" s="49"/>
      <c r="B84" s="49" t="s">
        <v>249</v>
      </c>
      <c r="C84" s="49" t="s">
        <v>250</v>
      </c>
      <c r="D84" s="51" t="s">
        <v>251</v>
      </c>
    </row>
    <row r="85" spans="1:4" ht="15.75">
      <c r="A85" s="152"/>
      <c r="B85" s="48" t="s">
        <v>252</v>
      </c>
      <c r="C85" s="48" t="s">
        <v>254</v>
      </c>
      <c r="D85" s="152" t="s">
        <v>256</v>
      </c>
    </row>
    <row r="86" spans="1:4" ht="16.5" thickBot="1">
      <c r="A86" s="153"/>
      <c r="B86" s="49" t="s">
        <v>253</v>
      </c>
      <c r="C86" s="49" t="s">
        <v>255</v>
      </c>
      <c r="D86" s="153"/>
    </row>
    <row r="87" spans="1:4" ht="15.75">
      <c r="A87" s="152"/>
      <c r="B87" s="48" t="s">
        <v>257</v>
      </c>
      <c r="C87" s="48" t="s">
        <v>258</v>
      </c>
      <c r="D87" s="152" t="s">
        <v>260</v>
      </c>
    </row>
    <row r="88" spans="1:4" ht="16.5" thickBot="1">
      <c r="A88" s="153"/>
      <c r="B88" s="49" t="s">
        <v>253</v>
      </c>
      <c r="C88" s="49" t="s">
        <v>259</v>
      </c>
      <c r="D88" s="153"/>
    </row>
    <row r="89" spans="1:4" ht="32.25" thickBot="1">
      <c r="A89" s="49"/>
      <c r="B89" s="49" t="s">
        <v>261</v>
      </c>
      <c r="C89" s="49" t="s">
        <v>262</v>
      </c>
      <c r="D89" s="51" t="s">
        <v>263</v>
      </c>
    </row>
    <row r="90" spans="1:4" ht="16.5" thickBot="1">
      <c r="A90" s="54" t="s">
        <v>264</v>
      </c>
      <c r="B90" s="49" t="s">
        <v>265</v>
      </c>
      <c r="C90" s="49" t="s">
        <v>266</v>
      </c>
      <c r="D90" s="51" t="s">
        <v>243</v>
      </c>
    </row>
    <row r="91" spans="1:4" ht="32.25" thickBot="1">
      <c r="A91" s="54"/>
      <c r="B91" s="49" t="s">
        <v>267</v>
      </c>
      <c r="C91" s="49" t="s">
        <v>268</v>
      </c>
      <c r="D91" s="51" t="s">
        <v>269</v>
      </c>
    </row>
    <row r="92" spans="1:4" ht="32.25" thickBot="1">
      <c r="A92" s="49"/>
      <c r="B92" s="49" t="s">
        <v>270</v>
      </c>
      <c r="C92" s="49" t="s">
        <v>271</v>
      </c>
      <c r="D92" s="51" t="s">
        <v>230</v>
      </c>
    </row>
    <row r="93" spans="1:4" ht="32.25" thickBot="1">
      <c r="A93" s="49"/>
      <c r="B93" s="49" t="s">
        <v>272</v>
      </c>
      <c r="C93" s="49" t="s">
        <v>273</v>
      </c>
      <c r="D93" s="51" t="s">
        <v>274</v>
      </c>
    </row>
    <row r="94" spans="1:4" ht="32.25" thickBot="1">
      <c r="A94" s="49"/>
      <c r="B94" s="49" t="s">
        <v>275</v>
      </c>
      <c r="C94" s="49" t="s">
        <v>276</v>
      </c>
      <c r="D94" s="51" t="s">
        <v>269</v>
      </c>
    </row>
    <row r="95" spans="1:4" ht="15.75">
      <c r="A95" s="150" t="s">
        <v>277</v>
      </c>
      <c r="B95" s="152" t="s">
        <v>278</v>
      </c>
      <c r="C95" s="48" t="s">
        <v>279</v>
      </c>
      <c r="D95" s="152" t="s">
        <v>280</v>
      </c>
    </row>
    <row r="96" spans="1:4" ht="16.5" thickBot="1">
      <c r="A96" s="151"/>
      <c r="B96" s="153"/>
      <c r="C96" s="55">
        <v>40868</v>
      </c>
      <c r="D96" s="153"/>
    </row>
    <row r="97" spans="1:4" ht="15.75">
      <c r="A97" s="150" t="s">
        <v>281</v>
      </c>
      <c r="B97" s="152" t="s">
        <v>282</v>
      </c>
      <c r="C97" s="48" t="s">
        <v>283</v>
      </c>
      <c r="D97" s="50" t="s">
        <v>285</v>
      </c>
    </row>
    <row r="98" spans="1:4" ht="16.5" thickBot="1">
      <c r="A98" s="151"/>
      <c r="B98" s="153"/>
      <c r="C98" s="49" t="s">
        <v>284</v>
      </c>
      <c r="D98" s="51" t="s">
        <v>286</v>
      </c>
    </row>
    <row r="99" spans="1:4" ht="15.75">
      <c r="A99" s="152"/>
      <c r="B99" s="152" t="s">
        <v>287</v>
      </c>
      <c r="C99" s="48" t="s">
        <v>288</v>
      </c>
      <c r="D99" s="152" t="s">
        <v>290</v>
      </c>
    </row>
    <row r="100" spans="1:4" ht="16.5" thickBot="1">
      <c r="A100" s="153"/>
      <c r="B100" s="153"/>
      <c r="C100" s="49" t="s">
        <v>289</v>
      </c>
      <c r="D100" s="153"/>
    </row>
    <row r="101" spans="1:4" ht="16.5" thickBot="1">
      <c r="A101" s="54" t="s">
        <v>291</v>
      </c>
      <c r="B101" s="49" t="s">
        <v>292</v>
      </c>
      <c r="C101" s="49"/>
      <c r="D101" s="51" t="s">
        <v>293</v>
      </c>
    </row>
    <row r="102" spans="1:4" ht="16.5" thickBot="1">
      <c r="A102" s="54" t="s">
        <v>294</v>
      </c>
      <c r="B102" s="49" t="s">
        <v>295</v>
      </c>
      <c r="C102" s="49" t="s">
        <v>296</v>
      </c>
      <c r="D102" s="51" t="s">
        <v>297</v>
      </c>
    </row>
    <row r="103" spans="1:4" ht="16.5" thickBot="1">
      <c r="A103" s="54"/>
      <c r="B103" s="49" t="s">
        <v>298</v>
      </c>
      <c r="C103" s="49" t="s">
        <v>299</v>
      </c>
      <c r="D103" s="51" t="s">
        <v>300</v>
      </c>
    </row>
    <row r="104" spans="1:4" ht="32.25" thickBot="1">
      <c r="A104" s="54" t="s">
        <v>301</v>
      </c>
      <c r="B104" s="49" t="s">
        <v>278</v>
      </c>
      <c r="C104" s="49" t="s">
        <v>302</v>
      </c>
      <c r="D104" s="51" t="s">
        <v>303</v>
      </c>
    </row>
    <row r="105" spans="1:4" ht="15.75">
      <c r="A105" s="150" t="s">
        <v>304</v>
      </c>
      <c r="B105" s="152" t="s">
        <v>305</v>
      </c>
      <c r="C105" s="48" t="s">
        <v>306</v>
      </c>
      <c r="D105" s="152" t="s">
        <v>308</v>
      </c>
    </row>
    <row r="106" spans="1:4" ht="16.5" thickBot="1">
      <c r="A106" s="151"/>
      <c r="B106" s="153"/>
      <c r="C106" s="49" t="s">
        <v>307</v>
      </c>
      <c r="D106" s="153"/>
    </row>
    <row r="107" spans="1:4" ht="16.5" thickBot="1">
      <c r="A107" s="54" t="s">
        <v>309</v>
      </c>
      <c r="B107" s="49" t="s">
        <v>310</v>
      </c>
      <c r="C107" s="49" t="s">
        <v>311</v>
      </c>
      <c r="D107" s="51" t="s">
        <v>312</v>
      </c>
    </row>
    <row r="108" spans="1:4" ht="15.75">
      <c r="A108" s="150" t="s">
        <v>313</v>
      </c>
      <c r="B108" s="152" t="s">
        <v>314</v>
      </c>
      <c r="C108" s="48" t="s">
        <v>315</v>
      </c>
      <c r="D108" s="152" t="s">
        <v>316</v>
      </c>
    </row>
    <row r="109" spans="1:4" ht="16.5" thickBot="1">
      <c r="A109" s="151"/>
      <c r="B109" s="153"/>
      <c r="C109" s="55">
        <v>13537</v>
      </c>
      <c r="D109" s="153"/>
    </row>
    <row r="110" spans="1:4" ht="15.75">
      <c r="A110" s="150" t="s">
        <v>317</v>
      </c>
      <c r="B110" s="152" t="s">
        <v>278</v>
      </c>
      <c r="C110" s="48" t="s">
        <v>318</v>
      </c>
      <c r="D110" s="152" t="s">
        <v>319</v>
      </c>
    </row>
    <row r="111" spans="1:4" ht="16.5" thickBot="1">
      <c r="A111" s="151"/>
      <c r="B111" s="153"/>
      <c r="C111" s="55">
        <v>26045</v>
      </c>
      <c r="D111" s="153"/>
    </row>
    <row r="112" spans="1:4" ht="15.75">
      <c r="A112" s="150" t="s">
        <v>320</v>
      </c>
      <c r="B112" s="152" t="s">
        <v>278</v>
      </c>
      <c r="C112" s="48" t="s">
        <v>321</v>
      </c>
      <c r="D112" s="152" t="s">
        <v>323</v>
      </c>
    </row>
    <row r="113" spans="1:4" ht="16.5" thickBot="1">
      <c r="A113" s="151"/>
      <c r="B113" s="153"/>
      <c r="C113" s="49" t="s">
        <v>322</v>
      </c>
      <c r="D113" s="153"/>
    </row>
    <row r="114" spans="1:4" ht="15.75">
      <c r="A114" s="150" t="s">
        <v>324</v>
      </c>
      <c r="B114" s="152" t="s">
        <v>278</v>
      </c>
      <c r="C114" s="48" t="s">
        <v>325</v>
      </c>
      <c r="D114" s="152" t="s">
        <v>327</v>
      </c>
    </row>
    <row r="115" spans="1:4" ht="16.5" thickBot="1">
      <c r="A115" s="151"/>
      <c r="B115" s="153"/>
      <c r="C115" s="49" t="s">
        <v>326</v>
      </c>
      <c r="D115" s="153"/>
    </row>
    <row r="116" spans="1:4" ht="16.5" thickBot="1">
      <c r="A116" s="54" t="s">
        <v>328</v>
      </c>
      <c r="B116" s="49" t="s">
        <v>278</v>
      </c>
      <c r="C116" s="49">
        <v>89609380480</v>
      </c>
      <c r="D116" s="51" t="s">
        <v>329</v>
      </c>
    </row>
    <row r="117" spans="1:4" ht="16.5" thickBot="1">
      <c r="A117" s="54" t="s">
        <v>330</v>
      </c>
      <c r="B117" s="49" t="s">
        <v>298</v>
      </c>
      <c r="C117" s="49" t="s">
        <v>331</v>
      </c>
      <c r="D117" s="51" t="s">
        <v>332</v>
      </c>
    </row>
    <row r="118" spans="1:4" ht="15.75">
      <c r="A118" s="150" t="s">
        <v>333</v>
      </c>
      <c r="B118" s="48" t="s">
        <v>334</v>
      </c>
      <c r="C118" s="48" t="s">
        <v>336</v>
      </c>
      <c r="D118" s="152" t="s">
        <v>338</v>
      </c>
    </row>
    <row r="119" spans="1:4" ht="16.5" thickBot="1">
      <c r="A119" s="151"/>
      <c r="B119" s="49" t="s">
        <v>335</v>
      </c>
      <c r="C119" s="49" t="s">
        <v>337</v>
      </c>
      <c r="D119" s="153"/>
    </row>
    <row r="120" spans="1:4" ht="15.75">
      <c r="A120" s="150" t="s">
        <v>339</v>
      </c>
      <c r="B120" s="152" t="s">
        <v>278</v>
      </c>
      <c r="C120" s="48" t="s">
        <v>340</v>
      </c>
      <c r="D120" s="152" t="s">
        <v>342</v>
      </c>
    </row>
    <row r="121" spans="1:4" ht="16.5" thickBot="1">
      <c r="A121" s="151"/>
      <c r="B121" s="153"/>
      <c r="C121" s="49" t="s">
        <v>341</v>
      </c>
      <c r="D121" s="153"/>
    </row>
    <row r="122" spans="1:4" ht="16.5" thickBot="1">
      <c r="A122" s="54" t="s">
        <v>343</v>
      </c>
      <c r="B122" s="49" t="s">
        <v>344</v>
      </c>
      <c r="C122" s="49" t="s">
        <v>345</v>
      </c>
      <c r="D122" s="51" t="s">
        <v>346</v>
      </c>
    </row>
    <row r="123" spans="1:4">
      <c r="A123"/>
    </row>
  </sheetData>
  <mergeCells count="101">
    <mergeCell ref="A8:A10"/>
    <mergeCell ref="B8:B10"/>
    <mergeCell ref="C8:C10"/>
    <mergeCell ref="A11:F11"/>
    <mergeCell ref="A12:A15"/>
    <mergeCell ref="B12:B15"/>
    <mergeCell ref="D12:D15"/>
    <mergeCell ref="A2:A5"/>
    <mergeCell ref="B2:B5"/>
    <mergeCell ref="D2:D5"/>
    <mergeCell ref="F2:F5"/>
    <mergeCell ref="A6:A7"/>
    <mergeCell ref="B6:B7"/>
    <mergeCell ref="C6:C7"/>
    <mergeCell ref="D6:D7"/>
    <mergeCell ref="E28:E29"/>
    <mergeCell ref="F28:F29"/>
    <mergeCell ref="A30:A33"/>
    <mergeCell ref="B30:B33"/>
    <mergeCell ref="C30:C33"/>
    <mergeCell ref="D30:D33"/>
    <mergeCell ref="A21:A24"/>
    <mergeCell ref="B21:B24"/>
    <mergeCell ref="C21:C24"/>
    <mergeCell ref="D21:D24"/>
    <mergeCell ref="A25:A27"/>
    <mergeCell ref="B25:B27"/>
    <mergeCell ref="C25:C27"/>
    <mergeCell ref="D25:D27"/>
    <mergeCell ref="F41:F43"/>
    <mergeCell ref="A45:A47"/>
    <mergeCell ref="B45:B47"/>
    <mergeCell ref="D45:D47"/>
    <mergeCell ref="A34:A36"/>
    <mergeCell ref="B34:B36"/>
    <mergeCell ref="D34:D36"/>
    <mergeCell ref="A37:A40"/>
    <mergeCell ref="B37:B40"/>
    <mergeCell ref="D37:D40"/>
    <mergeCell ref="A54:A55"/>
    <mergeCell ref="B54:B55"/>
    <mergeCell ref="D54:D55"/>
    <mergeCell ref="C2:C5"/>
    <mergeCell ref="A73:A74"/>
    <mergeCell ref="B73:B74"/>
    <mergeCell ref="A48:A50"/>
    <mergeCell ref="B48:B50"/>
    <mergeCell ref="A51:A52"/>
    <mergeCell ref="B51:B52"/>
    <mergeCell ref="D51:D52"/>
    <mergeCell ref="A41:A43"/>
    <mergeCell ref="B41:B43"/>
    <mergeCell ref="D41:D43"/>
    <mergeCell ref="A28:A29"/>
    <mergeCell ref="D28:D29"/>
    <mergeCell ref="A16:A17"/>
    <mergeCell ref="B16:B17"/>
    <mergeCell ref="C16:C17"/>
    <mergeCell ref="D16:D17"/>
    <mergeCell ref="A18:A20"/>
    <mergeCell ref="B18:B20"/>
    <mergeCell ref="C18:C20"/>
    <mergeCell ref="D18:D20"/>
    <mergeCell ref="A85:A86"/>
    <mergeCell ref="D85:D86"/>
    <mergeCell ref="A87:A88"/>
    <mergeCell ref="D87:D88"/>
    <mergeCell ref="A95:A96"/>
    <mergeCell ref="B95:B96"/>
    <mergeCell ref="D95:D96"/>
    <mergeCell ref="A75:A77"/>
    <mergeCell ref="B75:B77"/>
    <mergeCell ref="A78:A81"/>
    <mergeCell ref="B78:B81"/>
    <mergeCell ref="A82:A83"/>
    <mergeCell ref="B82:B83"/>
    <mergeCell ref="A108:A109"/>
    <mergeCell ref="B108:B109"/>
    <mergeCell ref="D108:D109"/>
    <mergeCell ref="A110:A111"/>
    <mergeCell ref="B110:B111"/>
    <mergeCell ref="D110:D111"/>
    <mergeCell ref="A97:A98"/>
    <mergeCell ref="B97:B98"/>
    <mergeCell ref="A99:A100"/>
    <mergeCell ref="B99:B100"/>
    <mergeCell ref="D99:D100"/>
    <mergeCell ref="A105:A106"/>
    <mergeCell ref="B105:B106"/>
    <mergeCell ref="D105:D106"/>
    <mergeCell ref="A118:A119"/>
    <mergeCell ref="D118:D119"/>
    <mergeCell ref="A120:A121"/>
    <mergeCell ref="B120:B121"/>
    <mergeCell ref="D120:D121"/>
    <mergeCell ref="A112:A113"/>
    <mergeCell ref="B112:B113"/>
    <mergeCell ref="D112:D113"/>
    <mergeCell ref="A114:A115"/>
    <mergeCell ref="B114:B115"/>
    <mergeCell ref="D114:D115"/>
  </mergeCells>
  <hyperlinks>
    <hyperlink ref="D2" r:id="rId1" display="mailto:spshkul_3@mail.ru"/>
    <hyperlink ref="D25" r:id="rId2" display="mailto:dush.gornuak@mail.ru"/>
    <hyperlink ref="D48" r:id="rId3" display="mailto:charono@ab.ru"/>
    <hyperlink ref="D54" r:id="rId4" display="mailto:sovetskayadush@mail.ru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I140"/>
  <sheetViews>
    <sheetView topLeftCell="L1" zoomScale="70" zoomScaleNormal="70" workbookViewId="0">
      <selection activeCell="P6" sqref="P6:Q6"/>
    </sheetView>
  </sheetViews>
  <sheetFormatPr defaultRowHeight="18.75"/>
  <cols>
    <col min="1" max="1" width="36.85546875" style="58" bestFit="1" customWidth="1"/>
    <col min="2" max="2" width="40" style="58" bestFit="1" customWidth="1"/>
    <col min="3" max="3" width="5.7109375" style="77" bestFit="1" customWidth="1"/>
    <col min="4" max="4" width="8.85546875" style="58" bestFit="1" customWidth="1"/>
    <col min="5" max="5" width="37.85546875" style="58" bestFit="1" customWidth="1"/>
    <col min="6" max="6" width="44.7109375" style="62" customWidth="1"/>
    <col min="7" max="7" width="8.85546875" style="62" customWidth="1"/>
    <col min="8" max="8" width="41" style="62" bestFit="1" customWidth="1"/>
    <col min="9" max="9" width="33.7109375" style="62" customWidth="1"/>
    <col min="10" max="10" width="7.140625" style="62" bestFit="1" customWidth="1"/>
    <col min="11" max="11" width="36.7109375" style="62" bestFit="1" customWidth="1"/>
    <col min="12" max="12" width="13.7109375" style="62" bestFit="1" customWidth="1"/>
    <col min="13" max="13" width="8.85546875" style="62" bestFit="1" customWidth="1"/>
    <col min="14" max="14" width="36.7109375" style="62" bestFit="1" customWidth="1"/>
    <col min="15" max="15" width="15" style="63" bestFit="1" customWidth="1"/>
    <col min="16" max="16" width="7.140625" style="63" bestFit="1" customWidth="1"/>
    <col min="17" max="17" width="45.85546875" style="63" bestFit="1" customWidth="1"/>
    <col min="18" max="18" width="22.5703125" style="58" customWidth="1"/>
    <col min="19" max="19" width="8.85546875" style="58" bestFit="1" customWidth="1"/>
    <col min="20" max="20" width="37.28515625" style="58" bestFit="1" customWidth="1"/>
    <col min="21" max="21" width="21.140625" style="58" customWidth="1"/>
    <col min="22" max="22" width="7.140625" style="58" bestFit="1" customWidth="1"/>
    <col min="23" max="23" width="44.85546875" style="58" bestFit="1" customWidth="1"/>
    <col min="24" max="24" width="21.85546875" style="58" customWidth="1"/>
    <col min="25" max="25" width="0" style="58" hidden="1" customWidth="1"/>
    <col min="26" max="26" width="13.42578125" style="60" hidden="1" customWidth="1"/>
    <col min="27" max="27" width="19.5703125" style="61" hidden="1" customWidth="1"/>
    <col min="28" max="28" width="15" style="61" hidden="1" customWidth="1"/>
    <col min="29" max="29" width="13.42578125" style="57" hidden="1" customWidth="1"/>
    <col min="30" max="30" width="12.85546875" style="57" hidden="1" customWidth="1"/>
    <col min="31" max="31" width="19.42578125" style="57" hidden="1" customWidth="1"/>
    <col min="32" max="32" width="13.42578125" style="57" hidden="1" customWidth="1"/>
    <col min="33" max="33" width="0" style="58" hidden="1" customWidth="1"/>
    <col min="34" max="34" width="9.140625" style="58"/>
    <col min="35" max="35" width="6.7109375" style="59" bestFit="1" customWidth="1"/>
    <col min="279" max="279" width="4" bestFit="1" customWidth="1"/>
    <col min="280" max="280" width="59.5703125" customWidth="1"/>
    <col min="281" max="281" width="54.5703125" customWidth="1"/>
    <col min="282" max="282" width="32.5703125" bestFit="1" customWidth="1"/>
    <col min="283" max="283" width="21.140625" customWidth="1"/>
    <col min="284" max="284" width="21.28515625" customWidth="1"/>
    <col min="535" max="535" width="4" bestFit="1" customWidth="1"/>
    <col min="536" max="536" width="59.5703125" customWidth="1"/>
    <col min="537" max="537" width="54.5703125" customWidth="1"/>
    <col min="538" max="538" width="32.5703125" bestFit="1" customWidth="1"/>
    <col min="539" max="539" width="21.140625" customWidth="1"/>
    <col min="540" max="540" width="21.28515625" customWidth="1"/>
    <col min="791" max="791" width="4" bestFit="1" customWidth="1"/>
    <col min="792" max="792" width="59.5703125" customWidth="1"/>
    <col min="793" max="793" width="54.5703125" customWidth="1"/>
    <col min="794" max="794" width="32.5703125" bestFit="1" customWidth="1"/>
    <col min="795" max="795" width="21.140625" customWidth="1"/>
    <col min="796" max="796" width="21.28515625" customWidth="1"/>
    <col min="1047" max="1047" width="4" bestFit="1" customWidth="1"/>
    <col min="1048" max="1048" width="59.5703125" customWidth="1"/>
    <col min="1049" max="1049" width="54.5703125" customWidth="1"/>
    <col min="1050" max="1050" width="32.5703125" bestFit="1" customWidth="1"/>
    <col min="1051" max="1051" width="21.140625" customWidth="1"/>
    <col min="1052" max="1052" width="21.28515625" customWidth="1"/>
    <col min="1303" max="1303" width="4" bestFit="1" customWidth="1"/>
    <col min="1304" max="1304" width="59.5703125" customWidth="1"/>
    <col min="1305" max="1305" width="54.5703125" customWidth="1"/>
    <col min="1306" max="1306" width="32.5703125" bestFit="1" customWidth="1"/>
    <col min="1307" max="1307" width="21.140625" customWidth="1"/>
    <col min="1308" max="1308" width="21.28515625" customWidth="1"/>
    <col min="1559" max="1559" width="4" bestFit="1" customWidth="1"/>
    <col min="1560" max="1560" width="59.5703125" customWidth="1"/>
    <col min="1561" max="1561" width="54.5703125" customWidth="1"/>
    <col min="1562" max="1562" width="32.5703125" bestFit="1" customWidth="1"/>
    <col min="1563" max="1563" width="21.140625" customWidth="1"/>
    <col min="1564" max="1564" width="21.28515625" customWidth="1"/>
    <col min="1815" max="1815" width="4" bestFit="1" customWidth="1"/>
    <col min="1816" max="1816" width="59.5703125" customWidth="1"/>
    <col min="1817" max="1817" width="54.5703125" customWidth="1"/>
    <col min="1818" max="1818" width="32.5703125" bestFit="1" customWidth="1"/>
    <col min="1819" max="1819" width="21.140625" customWidth="1"/>
    <col min="1820" max="1820" width="21.28515625" customWidth="1"/>
    <col min="2071" max="2071" width="4" bestFit="1" customWidth="1"/>
    <col min="2072" max="2072" width="59.5703125" customWidth="1"/>
    <col min="2073" max="2073" width="54.5703125" customWidth="1"/>
    <col min="2074" max="2074" width="32.5703125" bestFit="1" customWidth="1"/>
    <col min="2075" max="2075" width="21.140625" customWidth="1"/>
    <col min="2076" max="2076" width="21.28515625" customWidth="1"/>
    <col min="2327" max="2327" width="4" bestFit="1" customWidth="1"/>
    <col min="2328" max="2328" width="59.5703125" customWidth="1"/>
    <col min="2329" max="2329" width="54.5703125" customWidth="1"/>
    <col min="2330" max="2330" width="32.5703125" bestFit="1" customWidth="1"/>
    <col min="2331" max="2331" width="21.140625" customWidth="1"/>
    <col min="2332" max="2332" width="21.28515625" customWidth="1"/>
    <col min="2583" max="2583" width="4" bestFit="1" customWidth="1"/>
    <col min="2584" max="2584" width="59.5703125" customWidth="1"/>
    <col min="2585" max="2585" width="54.5703125" customWidth="1"/>
    <col min="2586" max="2586" width="32.5703125" bestFit="1" customWidth="1"/>
    <col min="2587" max="2587" width="21.140625" customWidth="1"/>
    <col min="2588" max="2588" width="21.28515625" customWidth="1"/>
    <col min="2839" max="2839" width="4" bestFit="1" customWidth="1"/>
    <col min="2840" max="2840" width="59.5703125" customWidth="1"/>
    <col min="2841" max="2841" width="54.5703125" customWidth="1"/>
    <col min="2842" max="2842" width="32.5703125" bestFit="1" customWidth="1"/>
    <col min="2843" max="2843" width="21.140625" customWidth="1"/>
    <col min="2844" max="2844" width="21.28515625" customWidth="1"/>
    <col min="3095" max="3095" width="4" bestFit="1" customWidth="1"/>
    <col min="3096" max="3096" width="59.5703125" customWidth="1"/>
    <col min="3097" max="3097" width="54.5703125" customWidth="1"/>
    <col min="3098" max="3098" width="32.5703125" bestFit="1" customWidth="1"/>
    <col min="3099" max="3099" width="21.140625" customWidth="1"/>
    <col min="3100" max="3100" width="21.28515625" customWidth="1"/>
    <col min="3351" max="3351" width="4" bestFit="1" customWidth="1"/>
    <col min="3352" max="3352" width="59.5703125" customWidth="1"/>
    <col min="3353" max="3353" width="54.5703125" customWidth="1"/>
    <col min="3354" max="3354" width="32.5703125" bestFit="1" customWidth="1"/>
    <col min="3355" max="3355" width="21.140625" customWidth="1"/>
    <col min="3356" max="3356" width="21.28515625" customWidth="1"/>
    <col min="3607" max="3607" width="4" bestFit="1" customWidth="1"/>
    <col min="3608" max="3608" width="59.5703125" customWidth="1"/>
    <col min="3609" max="3609" width="54.5703125" customWidth="1"/>
    <col min="3610" max="3610" width="32.5703125" bestFit="1" customWidth="1"/>
    <col min="3611" max="3611" width="21.140625" customWidth="1"/>
    <col min="3612" max="3612" width="21.28515625" customWidth="1"/>
    <col min="3863" max="3863" width="4" bestFit="1" customWidth="1"/>
    <col min="3864" max="3864" width="59.5703125" customWidth="1"/>
    <col min="3865" max="3865" width="54.5703125" customWidth="1"/>
    <col min="3866" max="3866" width="32.5703125" bestFit="1" customWidth="1"/>
    <col min="3867" max="3867" width="21.140625" customWidth="1"/>
    <col min="3868" max="3868" width="21.28515625" customWidth="1"/>
    <col min="4119" max="4119" width="4" bestFit="1" customWidth="1"/>
    <col min="4120" max="4120" width="59.5703125" customWidth="1"/>
    <col min="4121" max="4121" width="54.5703125" customWidth="1"/>
    <col min="4122" max="4122" width="32.5703125" bestFit="1" customWidth="1"/>
    <col min="4123" max="4123" width="21.140625" customWidth="1"/>
    <col min="4124" max="4124" width="21.28515625" customWidth="1"/>
    <col min="4375" max="4375" width="4" bestFit="1" customWidth="1"/>
    <col min="4376" max="4376" width="59.5703125" customWidth="1"/>
    <col min="4377" max="4377" width="54.5703125" customWidth="1"/>
    <col min="4378" max="4378" width="32.5703125" bestFit="1" customWidth="1"/>
    <col min="4379" max="4379" width="21.140625" customWidth="1"/>
    <col min="4380" max="4380" width="21.28515625" customWidth="1"/>
    <col min="4631" max="4631" width="4" bestFit="1" customWidth="1"/>
    <col min="4632" max="4632" width="59.5703125" customWidth="1"/>
    <col min="4633" max="4633" width="54.5703125" customWidth="1"/>
    <col min="4634" max="4634" width="32.5703125" bestFit="1" customWidth="1"/>
    <col min="4635" max="4635" width="21.140625" customWidth="1"/>
    <col min="4636" max="4636" width="21.28515625" customWidth="1"/>
    <col min="4887" max="4887" width="4" bestFit="1" customWidth="1"/>
    <col min="4888" max="4888" width="59.5703125" customWidth="1"/>
    <col min="4889" max="4889" width="54.5703125" customWidth="1"/>
    <col min="4890" max="4890" width="32.5703125" bestFit="1" customWidth="1"/>
    <col min="4891" max="4891" width="21.140625" customWidth="1"/>
    <col min="4892" max="4892" width="21.28515625" customWidth="1"/>
    <col min="5143" max="5143" width="4" bestFit="1" customWidth="1"/>
    <col min="5144" max="5144" width="59.5703125" customWidth="1"/>
    <col min="5145" max="5145" width="54.5703125" customWidth="1"/>
    <col min="5146" max="5146" width="32.5703125" bestFit="1" customWidth="1"/>
    <col min="5147" max="5147" width="21.140625" customWidth="1"/>
    <col min="5148" max="5148" width="21.28515625" customWidth="1"/>
    <col min="5399" max="5399" width="4" bestFit="1" customWidth="1"/>
    <col min="5400" max="5400" width="59.5703125" customWidth="1"/>
    <col min="5401" max="5401" width="54.5703125" customWidth="1"/>
    <col min="5402" max="5402" width="32.5703125" bestFit="1" customWidth="1"/>
    <col min="5403" max="5403" width="21.140625" customWidth="1"/>
    <col min="5404" max="5404" width="21.28515625" customWidth="1"/>
    <col min="5655" max="5655" width="4" bestFit="1" customWidth="1"/>
    <col min="5656" max="5656" width="59.5703125" customWidth="1"/>
    <col min="5657" max="5657" width="54.5703125" customWidth="1"/>
    <col min="5658" max="5658" width="32.5703125" bestFit="1" customWidth="1"/>
    <col min="5659" max="5659" width="21.140625" customWidth="1"/>
    <col min="5660" max="5660" width="21.28515625" customWidth="1"/>
    <col min="5911" max="5911" width="4" bestFit="1" customWidth="1"/>
    <col min="5912" max="5912" width="59.5703125" customWidth="1"/>
    <col min="5913" max="5913" width="54.5703125" customWidth="1"/>
    <col min="5914" max="5914" width="32.5703125" bestFit="1" customWidth="1"/>
    <col min="5915" max="5915" width="21.140625" customWidth="1"/>
    <col min="5916" max="5916" width="21.28515625" customWidth="1"/>
    <col min="6167" max="6167" width="4" bestFit="1" customWidth="1"/>
    <col min="6168" max="6168" width="59.5703125" customWidth="1"/>
    <col min="6169" max="6169" width="54.5703125" customWidth="1"/>
    <col min="6170" max="6170" width="32.5703125" bestFit="1" customWidth="1"/>
    <col min="6171" max="6171" width="21.140625" customWidth="1"/>
    <col min="6172" max="6172" width="21.28515625" customWidth="1"/>
    <col min="6423" max="6423" width="4" bestFit="1" customWidth="1"/>
    <col min="6424" max="6424" width="59.5703125" customWidth="1"/>
    <col min="6425" max="6425" width="54.5703125" customWidth="1"/>
    <col min="6426" max="6426" width="32.5703125" bestFit="1" customWidth="1"/>
    <col min="6427" max="6427" width="21.140625" customWidth="1"/>
    <col min="6428" max="6428" width="21.28515625" customWidth="1"/>
    <col min="6679" max="6679" width="4" bestFit="1" customWidth="1"/>
    <col min="6680" max="6680" width="59.5703125" customWidth="1"/>
    <col min="6681" max="6681" width="54.5703125" customWidth="1"/>
    <col min="6682" max="6682" width="32.5703125" bestFit="1" customWidth="1"/>
    <col min="6683" max="6683" width="21.140625" customWidth="1"/>
    <col min="6684" max="6684" width="21.28515625" customWidth="1"/>
    <col min="6935" max="6935" width="4" bestFit="1" customWidth="1"/>
    <col min="6936" max="6936" width="59.5703125" customWidth="1"/>
    <col min="6937" max="6937" width="54.5703125" customWidth="1"/>
    <col min="6938" max="6938" width="32.5703125" bestFit="1" customWidth="1"/>
    <col min="6939" max="6939" width="21.140625" customWidth="1"/>
    <col min="6940" max="6940" width="21.28515625" customWidth="1"/>
    <col min="7191" max="7191" width="4" bestFit="1" customWidth="1"/>
    <col min="7192" max="7192" width="59.5703125" customWidth="1"/>
    <col min="7193" max="7193" width="54.5703125" customWidth="1"/>
    <col min="7194" max="7194" width="32.5703125" bestFit="1" customWidth="1"/>
    <col min="7195" max="7195" width="21.140625" customWidth="1"/>
    <col min="7196" max="7196" width="21.28515625" customWidth="1"/>
    <col min="7447" max="7447" width="4" bestFit="1" customWidth="1"/>
    <col min="7448" max="7448" width="59.5703125" customWidth="1"/>
    <col min="7449" max="7449" width="54.5703125" customWidth="1"/>
    <col min="7450" max="7450" width="32.5703125" bestFit="1" customWidth="1"/>
    <col min="7451" max="7451" width="21.140625" customWidth="1"/>
    <col min="7452" max="7452" width="21.28515625" customWidth="1"/>
    <col min="7703" max="7703" width="4" bestFit="1" customWidth="1"/>
    <col min="7704" max="7704" width="59.5703125" customWidth="1"/>
    <col min="7705" max="7705" width="54.5703125" customWidth="1"/>
    <col min="7706" max="7706" width="32.5703125" bestFit="1" customWidth="1"/>
    <col min="7707" max="7707" width="21.140625" customWidth="1"/>
    <col min="7708" max="7708" width="21.28515625" customWidth="1"/>
    <col min="7959" max="7959" width="4" bestFit="1" customWidth="1"/>
    <col min="7960" max="7960" width="59.5703125" customWidth="1"/>
    <col min="7961" max="7961" width="54.5703125" customWidth="1"/>
    <col min="7962" max="7962" width="32.5703125" bestFit="1" customWidth="1"/>
    <col min="7963" max="7963" width="21.140625" customWidth="1"/>
    <col min="7964" max="7964" width="21.28515625" customWidth="1"/>
    <col min="8215" max="8215" width="4" bestFit="1" customWidth="1"/>
    <col min="8216" max="8216" width="59.5703125" customWidth="1"/>
    <col min="8217" max="8217" width="54.5703125" customWidth="1"/>
    <col min="8218" max="8218" width="32.5703125" bestFit="1" customWidth="1"/>
    <col min="8219" max="8219" width="21.140625" customWidth="1"/>
    <col min="8220" max="8220" width="21.28515625" customWidth="1"/>
    <col min="8471" max="8471" width="4" bestFit="1" customWidth="1"/>
    <col min="8472" max="8472" width="59.5703125" customWidth="1"/>
    <col min="8473" max="8473" width="54.5703125" customWidth="1"/>
    <col min="8474" max="8474" width="32.5703125" bestFit="1" customWidth="1"/>
    <col min="8475" max="8475" width="21.140625" customWidth="1"/>
    <col min="8476" max="8476" width="21.28515625" customWidth="1"/>
    <col min="8727" max="8727" width="4" bestFit="1" customWidth="1"/>
    <col min="8728" max="8728" width="59.5703125" customWidth="1"/>
    <col min="8729" max="8729" width="54.5703125" customWidth="1"/>
    <col min="8730" max="8730" width="32.5703125" bestFit="1" customWidth="1"/>
    <col min="8731" max="8731" width="21.140625" customWidth="1"/>
    <col min="8732" max="8732" width="21.28515625" customWidth="1"/>
    <col min="8983" max="8983" width="4" bestFit="1" customWidth="1"/>
    <col min="8984" max="8984" width="59.5703125" customWidth="1"/>
    <col min="8985" max="8985" width="54.5703125" customWidth="1"/>
    <col min="8986" max="8986" width="32.5703125" bestFit="1" customWidth="1"/>
    <col min="8987" max="8987" width="21.140625" customWidth="1"/>
    <col min="8988" max="8988" width="21.28515625" customWidth="1"/>
    <col min="9239" max="9239" width="4" bestFit="1" customWidth="1"/>
    <col min="9240" max="9240" width="59.5703125" customWidth="1"/>
    <col min="9241" max="9241" width="54.5703125" customWidth="1"/>
    <col min="9242" max="9242" width="32.5703125" bestFit="1" customWidth="1"/>
    <col min="9243" max="9243" width="21.140625" customWidth="1"/>
    <col min="9244" max="9244" width="21.28515625" customWidth="1"/>
    <col min="9495" max="9495" width="4" bestFit="1" customWidth="1"/>
    <col min="9496" max="9496" width="59.5703125" customWidth="1"/>
    <col min="9497" max="9497" width="54.5703125" customWidth="1"/>
    <col min="9498" max="9498" width="32.5703125" bestFit="1" customWidth="1"/>
    <col min="9499" max="9499" width="21.140625" customWidth="1"/>
    <col min="9500" max="9500" width="21.28515625" customWidth="1"/>
    <col min="9751" max="9751" width="4" bestFit="1" customWidth="1"/>
    <col min="9752" max="9752" width="59.5703125" customWidth="1"/>
    <col min="9753" max="9753" width="54.5703125" customWidth="1"/>
    <col min="9754" max="9754" width="32.5703125" bestFit="1" customWidth="1"/>
    <col min="9755" max="9755" width="21.140625" customWidth="1"/>
    <col min="9756" max="9756" width="21.28515625" customWidth="1"/>
    <col min="10007" max="10007" width="4" bestFit="1" customWidth="1"/>
    <col min="10008" max="10008" width="59.5703125" customWidth="1"/>
    <col min="10009" max="10009" width="54.5703125" customWidth="1"/>
    <col min="10010" max="10010" width="32.5703125" bestFit="1" customWidth="1"/>
    <col min="10011" max="10011" width="21.140625" customWidth="1"/>
    <col min="10012" max="10012" width="21.28515625" customWidth="1"/>
    <col min="10263" max="10263" width="4" bestFit="1" customWidth="1"/>
    <col min="10264" max="10264" width="59.5703125" customWidth="1"/>
    <col min="10265" max="10265" width="54.5703125" customWidth="1"/>
    <col min="10266" max="10266" width="32.5703125" bestFit="1" customWidth="1"/>
    <col min="10267" max="10267" width="21.140625" customWidth="1"/>
    <col min="10268" max="10268" width="21.28515625" customWidth="1"/>
    <col min="10519" max="10519" width="4" bestFit="1" customWidth="1"/>
    <col min="10520" max="10520" width="59.5703125" customWidth="1"/>
    <col min="10521" max="10521" width="54.5703125" customWidth="1"/>
    <col min="10522" max="10522" width="32.5703125" bestFit="1" customWidth="1"/>
    <col min="10523" max="10523" width="21.140625" customWidth="1"/>
    <col min="10524" max="10524" width="21.28515625" customWidth="1"/>
    <col min="10775" max="10775" width="4" bestFit="1" customWidth="1"/>
    <col min="10776" max="10776" width="59.5703125" customWidth="1"/>
    <col min="10777" max="10777" width="54.5703125" customWidth="1"/>
    <col min="10778" max="10778" width="32.5703125" bestFit="1" customWidth="1"/>
    <col min="10779" max="10779" width="21.140625" customWidth="1"/>
    <col min="10780" max="10780" width="21.28515625" customWidth="1"/>
    <col min="11031" max="11031" width="4" bestFit="1" customWidth="1"/>
    <col min="11032" max="11032" width="59.5703125" customWidth="1"/>
    <col min="11033" max="11033" width="54.5703125" customWidth="1"/>
    <col min="11034" max="11034" width="32.5703125" bestFit="1" customWidth="1"/>
    <col min="11035" max="11035" width="21.140625" customWidth="1"/>
    <col min="11036" max="11036" width="21.28515625" customWidth="1"/>
    <col min="11287" max="11287" width="4" bestFit="1" customWidth="1"/>
    <col min="11288" max="11288" width="59.5703125" customWidth="1"/>
    <col min="11289" max="11289" width="54.5703125" customWidth="1"/>
    <col min="11290" max="11290" width="32.5703125" bestFit="1" customWidth="1"/>
    <col min="11291" max="11291" width="21.140625" customWidth="1"/>
    <col min="11292" max="11292" width="21.28515625" customWidth="1"/>
    <col min="11543" max="11543" width="4" bestFit="1" customWidth="1"/>
    <col min="11544" max="11544" width="59.5703125" customWidth="1"/>
    <col min="11545" max="11545" width="54.5703125" customWidth="1"/>
    <col min="11546" max="11546" width="32.5703125" bestFit="1" customWidth="1"/>
    <col min="11547" max="11547" width="21.140625" customWidth="1"/>
    <col min="11548" max="11548" width="21.28515625" customWidth="1"/>
    <col min="11799" max="11799" width="4" bestFit="1" customWidth="1"/>
    <col min="11800" max="11800" width="59.5703125" customWidth="1"/>
    <col min="11801" max="11801" width="54.5703125" customWidth="1"/>
    <col min="11802" max="11802" width="32.5703125" bestFit="1" customWidth="1"/>
    <col min="11803" max="11803" width="21.140625" customWidth="1"/>
    <col min="11804" max="11804" width="21.28515625" customWidth="1"/>
    <col min="12055" max="12055" width="4" bestFit="1" customWidth="1"/>
    <col min="12056" max="12056" width="59.5703125" customWidth="1"/>
    <col min="12057" max="12057" width="54.5703125" customWidth="1"/>
    <col min="12058" max="12058" width="32.5703125" bestFit="1" customWidth="1"/>
    <col min="12059" max="12059" width="21.140625" customWidth="1"/>
    <col min="12060" max="12060" width="21.28515625" customWidth="1"/>
    <col min="12311" max="12311" width="4" bestFit="1" customWidth="1"/>
    <col min="12312" max="12312" width="59.5703125" customWidth="1"/>
    <col min="12313" max="12313" width="54.5703125" customWidth="1"/>
    <col min="12314" max="12314" width="32.5703125" bestFit="1" customWidth="1"/>
    <col min="12315" max="12315" width="21.140625" customWidth="1"/>
    <col min="12316" max="12316" width="21.28515625" customWidth="1"/>
    <col min="12567" max="12567" width="4" bestFit="1" customWidth="1"/>
    <col min="12568" max="12568" width="59.5703125" customWidth="1"/>
    <col min="12569" max="12569" width="54.5703125" customWidth="1"/>
    <col min="12570" max="12570" width="32.5703125" bestFit="1" customWidth="1"/>
    <col min="12571" max="12571" width="21.140625" customWidth="1"/>
    <col min="12572" max="12572" width="21.28515625" customWidth="1"/>
    <col min="12823" max="12823" width="4" bestFit="1" customWidth="1"/>
    <col min="12824" max="12824" width="59.5703125" customWidth="1"/>
    <col min="12825" max="12825" width="54.5703125" customWidth="1"/>
    <col min="12826" max="12826" width="32.5703125" bestFit="1" customWidth="1"/>
    <col min="12827" max="12827" width="21.140625" customWidth="1"/>
    <col min="12828" max="12828" width="21.28515625" customWidth="1"/>
    <col min="13079" max="13079" width="4" bestFit="1" customWidth="1"/>
    <col min="13080" max="13080" width="59.5703125" customWidth="1"/>
    <col min="13081" max="13081" width="54.5703125" customWidth="1"/>
    <col min="13082" max="13082" width="32.5703125" bestFit="1" customWidth="1"/>
    <col min="13083" max="13083" width="21.140625" customWidth="1"/>
    <col min="13084" max="13084" width="21.28515625" customWidth="1"/>
    <col min="13335" max="13335" width="4" bestFit="1" customWidth="1"/>
    <col min="13336" max="13336" width="59.5703125" customWidth="1"/>
    <col min="13337" max="13337" width="54.5703125" customWidth="1"/>
    <col min="13338" max="13338" width="32.5703125" bestFit="1" customWidth="1"/>
    <col min="13339" max="13339" width="21.140625" customWidth="1"/>
    <col min="13340" max="13340" width="21.28515625" customWidth="1"/>
    <col min="13591" max="13591" width="4" bestFit="1" customWidth="1"/>
    <col min="13592" max="13592" width="59.5703125" customWidth="1"/>
    <col min="13593" max="13593" width="54.5703125" customWidth="1"/>
    <col min="13594" max="13594" width="32.5703125" bestFit="1" customWidth="1"/>
    <col min="13595" max="13595" width="21.140625" customWidth="1"/>
    <col min="13596" max="13596" width="21.28515625" customWidth="1"/>
    <col min="13847" max="13847" width="4" bestFit="1" customWidth="1"/>
    <col min="13848" max="13848" width="59.5703125" customWidth="1"/>
    <col min="13849" max="13849" width="54.5703125" customWidth="1"/>
    <col min="13850" max="13850" width="32.5703125" bestFit="1" customWidth="1"/>
    <col min="13851" max="13851" width="21.140625" customWidth="1"/>
    <col min="13852" max="13852" width="21.28515625" customWidth="1"/>
    <col min="14103" max="14103" width="4" bestFit="1" customWidth="1"/>
    <col min="14104" max="14104" width="59.5703125" customWidth="1"/>
    <col min="14105" max="14105" width="54.5703125" customWidth="1"/>
    <col min="14106" max="14106" width="32.5703125" bestFit="1" customWidth="1"/>
    <col min="14107" max="14107" width="21.140625" customWidth="1"/>
    <col min="14108" max="14108" width="21.28515625" customWidth="1"/>
    <col min="14359" max="14359" width="4" bestFit="1" customWidth="1"/>
    <col min="14360" max="14360" width="59.5703125" customWidth="1"/>
    <col min="14361" max="14361" width="54.5703125" customWidth="1"/>
    <col min="14362" max="14362" width="32.5703125" bestFit="1" customWidth="1"/>
    <col min="14363" max="14363" width="21.140625" customWidth="1"/>
    <col min="14364" max="14364" width="21.28515625" customWidth="1"/>
    <col min="14615" max="14615" width="4" bestFit="1" customWidth="1"/>
    <col min="14616" max="14616" width="59.5703125" customWidth="1"/>
    <col min="14617" max="14617" width="54.5703125" customWidth="1"/>
    <col min="14618" max="14618" width="32.5703125" bestFit="1" customWidth="1"/>
    <col min="14619" max="14619" width="21.140625" customWidth="1"/>
    <col min="14620" max="14620" width="21.28515625" customWidth="1"/>
    <col min="14871" max="14871" width="4" bestFit="1" customWidth="1"/>
    <col min="14872" max="14872" width="59.5703125" customWidth="1"/>
    <col min="14873" max="14873" width="54.5703125" customWidth="1"/>
    <col min="14874" max="14874" width="32.5703125" bestFit="1" customWidth="1"/>
    <col min="14875" max="14875" width="21.140625" customWidth="1"/>
    <col min="14876" max="14876" width="21.28515625" customWidth="1"/>
    <col min="15127" max="15127" width="4" bestFit="1" customWidth="1"/>
    <col min="15128" max="15128" width="59.5703125" customWidth="1"/>
    <col min="15129" max="15129" width="54.5703125" customWidth="1"/>
    <col min="15130" max="15130" width="32.5703125" bestFit="1" customWidth="1"/>
    <col min="15131" max="15131" width="21.140625" customWidth="1"/>
    <col min="15132" max="15132" width="21.28515625" customWidth="1"/>
    <col min="15383" max="15383" width="4" bestFit="1" customWidth="1"/>
    <col min="15384" max="15384" width="59.5703125" customWidth="1"/>
    <col min="15385" max="15385" width="54.5703125" customWidth="1"/>
    <col min="15386" max="15386" width="32.5703125" bestFit="1" customWidth="1"/>
    <col min="15387" max="15387" width="21.140625" customWidth="1"/>
    <col min="15388" max="15388" width="21.28515625" customWidth="1"/>
    <col min="15639" max="15639" width="4" bestFit="1" customWidth="1"/>
    <col min="15640" max="15640" width="59.5703125" customWidth="1"/>
    <col min="15641" max="15641" width="54.5703125" customWidth="1"/>
    <col min="15642" max="15642" width="32.5703125" bestFit="1" customWidth="1"/>
    <col min="15643" max="15643" width="21.140625" customWidth="1"/>
    <col min="15644" max="15644" width="21.28515625" customWidth="1"/>
    <col min="15895" max="15895" width="4" bestFit="1" customWidth="1"/>
    <col min="15896" max="15896" width="59.5703125" customWidth="1"/>
    <col min="15897" max="15897" width="54.5703125" customWidth="1"/>
    <col min="15898" max="15898" width="32.5703125" bestFit="1" customWidth="1"/>
    <col min="15899" max="15899" width="21.140625" customWidth="1"/>
    <col min="15900" max="15900" width="21.28515625" customWidth="1"/>
    <col min="16151" max="16151" width="4" bestFit="1" customWidth="1"/>
    <col min="16152" max="16152" width="59.5703125" customWidth="1"/>
    <col min="16153" max="16153" width="54.5703125" customWidth="1"/>
    <col min="16154" max="16154" width="32.5703125" bestFit="1" customWidth="1"/>
    <col min="16155" max="16155" width="21.140625" customWidth="1"/>
    <col min="16156" max="16156" width="21.28515625" customWidth="1"/>
  </cols>
  <sheetData>
    <row r="1" spans="1:35">
      <c r="B1" s="58">
        <f>SUM(C1:AI1)</f>
        <v>100</v>
      </c>
      <c r="C1" s="77">
        <v>5</v>
      </c>
      <c r="F1" s="62">
        <v>30</v>
      </c>
      <c r="I1" s="62">
        <v>15</v>
      </c>
      <c r="L1" s="62">
        <v>10</v>
      </c>
      <c r="O1" s="89">
        <v>10</v>
      </c>
      <c r="R1" s="58">
        <v>10</v>
      </c>
      <c r="U1" s="58">
        <v>10</v>
      </c>
      <c r="X1" s="58">
        <v>10</v>
      </c>
    </row>
    <row r="2" spans="1:35" s="88" customFormat="1" ht="75">
      <c r="A2" s="78" t="s">
        <v>597</v>
      </c>
      <c r="B2" s="78" t="s">
        <v>606</v>
      </c>
      <c r="C2" s="79" t="s">
        <v>347</v>
      </c>
      <c r="D2" s="78" t="s">
        <v>593</v>
      </c>
      <c r="E2" s="78" t="s">
        <v>607</v>
      </c>
      <c r="F2" s="80" t="s">
        <v>348</v>
      </c>
      <c r="G2" s="78" t="s">
        <v>593</v>
      </c>
      <c r="H2" s="78" t="s">
        <v>608</v>
      </c>
      <c r="I2" s="81" t="s">
        <v>349</v>
      </c>
      <c r="J2" s="78" t="s">
        <v>593</v>
      </c>
      <c r="K2" s="78" t="s">
        <v>609</v>
      </c>
      <c r="L2" s="81" t="s">
        <v>591</v>
      </c>
      <c r="M2" s="78" t="s">
        <v>593</v>
      </c>
      <c r="N2" s="78" t="s">
        <v>592</v>
      </c>
      <c r="O2" s="82" t="s">
        <v>605</v>
      </c>
      <c r="P2" s="78" t="s">
        <v>593</v>
      </c>
      <c r="Q2" s="78" t="s">
        <v>610</v>
      </c>
      <c r="R2" s="81" t="s">
        <v>350</v>
      </c>
      <c r="S2" s="78" t="s">
        <v>593</v>
      </c>
      <c r="T2" s="78" t="s">
        <v>611</v>
      </c>
      <c r="U2" s="83" t="s">
        <v>351</v>
      </c>
      <c r="V2" s="78" t="s">
        <v>593</v>
      </c>
      <c r="W2" s="78" t="s">
        <v>612</v>
      </c>
      <c r="X2" s="83" t="s">
        <v>352</v>
      </c>
      <c r="Y2" s="84"/>
      <c r="Z2" s="85" t="s">
        <v>353</v>
      </c>
      <c r="AA2" s="86" t="s">
        <v>354</v>
      </c>
      <c r="AB2" s="86" t="s">
        <v>355</v>
      </c>
      <c r="AC2" s="78" t="s">
        <v>356</v>
      </c>
      <c r="AD2" s="78" t="s">
        <v>357</v>
      </c>
      <c r="AE2" s="78" t="s">
        <v>358</v>
      </c>
      <c r="AF2" s="78"/>
      <c r="AG2" s="84"/>
      <c r="AH2" s="78" t="s">
        <v>593</v>
      </c>
      <c r="AI2" s="87" t="s">
        <v>594</v>
      </c>
    </row>
    <row r="3" spans="1:35" s="56" customFormat="1">
      <c r="A3" s="78" t="s">
        <v>597</v>
      </c>
      <c r="B3" s="64" t="s">
        <v>598</v>
      </c>
      <c r="C3" s="76">
        <v>1</v>
      </c>
      <c r="D3" s="64" t="s">
        <v>596</v>
      </c>
      <c r="E3" s="64" t="s">
        <v>599</v>
      </c>
      <c r="F3" s="67" t="s">
        <v>359</v>
      </c>
      <c r="G3" s="64" t="s">
        <v>596</v>
      </c>
      <c r="H3" s="64" t="s">
        <v>600</v>
      </c>
      <c r="I3" s="67" t="s">
        <v>614</v>
      </c>
      <c r="J3" s="64" t="s">
        <v>596</v>
      </c>
      <c r="K3" s="64" t="s">
        <v>601</v>
      </c>
      <c r="L3" s="69">
        <v>43833</v>
      </c>
      <c r="M3" s="64" t="s">
        <v>596</v>
      </c>
      <c r="N3" s="64" t="s">
        <v>601</v>
      </c>
      <c r="O3" s="69">
        <v>43837</v>
      </c>
      <c r="P3" s="64" t="s">
        <v>596</v>
      </c>
      <c r="Q3" s="64" t="s">
        <v>602</v>
      </c>
      <c r="R3" s="68" t="s">
        <v>361</v>
      </c>
      <c r="S3" s="64" t="s">
        <v>596</v>
      </c>
      <c r="T3" s="64" t="s">
        <v>603</v>
      </c>
      <c r="U3" s="68" t="s">
        <v>362</v>
      </c>
      <c r="V3" s="64" t="s">
        <v>596</v>
      </c>
      <c r="W3" s="64" t="s">
        <v>604</v>
      </c>
      <c r="X3" s="68" t="s">
        <v>363</v>
      </c>
      <c r="Y3" s="65"/>
      <c r="Z3" s="70"/>
      <c r="AA3" s="71"/>
      <c r="AB3" s="71"/>
      <c r="AC3" s="64"/>
      <c r="AD3" s="64">
        <f>4*500*5</f>
        <v>10000</v>
      </c>
      <c r="AE3" s="64"/>
      <c r="AF3" s="64"/>
      <c r="AG3" s="65"/>
      <c r="AH3" s="64" t="s">
        <v>596</v>
      </c>
      <c r="AI3" s="66" t="s">
        <v>594</v>
      </c>
    </row>
    <row r="4" spans="1:35" s="56" customFormat="1" ht="56.25" hidden="1">
      <c r="A4" s="78" t="s">
        <v>597</v>
      </c>
      <c r="B4" s="64" t="s">
        <v>598</v>
      </c>
      <c r="C4" s="76">
        <v>2</v>
      </c>
      <c r="D4" s="64" t="s">
        <v>596</v>
      </c>
      <c r="E4" s="64" t="s">
        <v>599</v>
      </c>
      <c r="F4" s="67" t="s">
        <v>364</v>
      </c>
      <c r="G4" s="64" t="s">
        <v>596</v>
      </c>
      <c r="H4" s="64" t="s">
        <v>600</v>
      </c>
      <c r="I4" s="90" t="s">
        <v>365</v>
      </c>
      <c r="J4" s="64" t="s">
        <v>596</v>
      </c>
      <c r="K4" s="64" t="s">
        <v>601</v>
      </c>
      <c r="L4" s="69">
        <v>43834</v>
      </c>
      <c r="M4" s="64" t="s">
        <v>596</v>
      </c>
      <c r="N4" s="64" t="s">
        <v>601</v>
      </c>
      <c r="O4" s="69">
        <v>43837</v>
      </c>
      <c r="P4" s="64" t="s">
        <v>596</v>
      </c>
      <c r="Q4" s="64" t="s">
        <v>602</v>
      </c>
      <c r="R4" s="68" t="s">
        <v>366</v>
      </c>
      <c r="S4" s="64" t="s">
        <v>596</v>
      </c>
      <c r="T4" s="64" t="s">
        <v>603</v>
      </c>
      <c r="U4" s="68" t="s">
        <v>367</v>
      </c>
      <c r="V4" s="64" t="s">
        <v>596</v>
      </c>
      <c r="W4" s="64" t="s">
        <v>604</v>
      </c>
      <c r="X4" s="68" t="s">
        <v>368</v>
      </c>
      <c r="Y4" s="65"/>
      <c r="Z4" s="70">
        <v>2</v>
      </c>
      <c r="AA4" s="71">
        <v>30000</v>
      </c>
      <c r="AB4" s="71">
        <f>Z4*AA4</f>
        <v>60000</v>
      </c>
      <c r="AC4" s="64"/>
      <c r="AD4" s="64"/>
      <c r="AE4" s="64"/>
      <c r="AF4" s="64"/>
      <c r="AG4" s="65"/>
      <c r="AH4" s="64" t="s">
        <v>596</v>
      </c>
      <c r="AI4" s="66" t="s">
        <v>594</v>
      </c>
    </row>
    <row r="5" spans="1:35" s="56" customFormat="1" ht="37.5" hidden="1">
      <c r="A5" s="78" t="s">
        <v>597</v>
      </c>
      <c r="B5" s="64" t="s">
        <v>598</v>
      </c>
      <c r="C5" s="76">
        <v>3</v>
      </c>
      <c r="D5" s="64" t="s">
        <v>596</v>
      </c>
      <c r="E5" s="64" t="s">
        <v>599</v>
      </c>
      <c r="F5" s="67" t="s">
        <v>369</v>
      </c>
      <c r="G5" s="64" t="s">
        <v>596</v>
      </c>
      <c r="H5" s="64" t="s">
        <v>600</v>
      </c>
      <c r="I5" s="90"/>
      <c r="J5" s="64" t="s">
        <v>596</v>
      </c>
      <c r="K5" s="64" t="s">
        <v>601</v>
      </c>
      <c r="L5" s="69">
        <v>43834</v>
      </c>
      <c r="M5" s="64" t="s">
        <v>596</v>
      </c>
      <c r="N5" s="64" t="s">
        <v>601</v>
      </c>
      <c r="O5" s="69">
        <v>43840</v>
      </c>
      <c r="P5" s="64" t="s">
        <v>596</v>
      </c>
      <c r="Q5" s="64" t="s">
        <v>602</v>
      </c>
      <c r="R5" s="68" t="s">
        <v>370</v>
      </c>
      <c r="S5" s="64" t="s">
        <v>596</v>
      </c>
      <c r="T5" s="64" t="s">
        <v>603</v>
      </c>
      <c r="U5" s="68" t="s">
        <v>371</v>
      </c>
      <c r="V5" s="64" t="s">
        <v>596</v>
      </c>
      <c r="W5" s="64" t="s">
        <v>604</v>
      </c>
      <c r="X5" s="68" t="s">
        <v>372</v>
      </c>
      <c r="Y5" s="65"/>
      <c r="Z5" s="70"/>
      <c r="AA5" s="71"/>
      <c r="AB5" s="71"/>
      <c r="AC5" s="64"/>
      <c r="AD5" s="64">
        <f>6*500*4</f>
        <v>12000</v>
      </c>
      <c r="AE5" s="64"/>
      <c r="AF5" s="64"/>
      <c r="AG5" s="65"/>
      <c r="AH5" s="64" t="s">
        <v>596</v>
      </c>
      <c r="AI5" s="66" t="s">
        <v>594</v>
      </c>
    </row>
    <row r="6" spans="1:35" s="56" customFormat="1">
      <c r="A6" s="78" t="s">
        <v>597</v>
      </c>
      <c r="B6" s="64" t="s">
        <v>598</v>
      </c>
      <c r="C6" s="76">
        <v>4</v>
      </c>
      <c r="D6" s="64" t="s">
        <v>596</v>
      </c>
      <c r="E6" s="64" t="s">
        <v>599</v>
      </c>
      <c r="F6" s="67" t="s">
        <v>373</v>
      </c>
      <c r="G6" s="64" t="s">
        <v>596</v>
      </c>
      <c r="H6" s="64" t="s">
        <v>600</v>
      </c>
      <c r="I6" s="67" t="s">
        <v>614</v>
      </c>
      <c r="J6" s="64" t="s">
        <v>596</v>
      </c>
      <c r="K6" s="64" t="s">
        <v>601</v>
      </c>
      <c r="L6" s="69">
        <v>43840</v>
      </c>
      <c r="M6" s="64" t="s">
        <v>596</v>
      </c>
      <c r="N6" s="64" t="s">
        <v>601</v>
      </c>
      <c r="O6" s="69">
        <v>43843</v>
      </c>
      <c r="P6" s="64" t="s">
        <v>596</v>
      </c>
      <c r="Q6" s="64" t="s">
        <v>602</v>
      </c>
      <c r="R6" s="68" t="s">
        <v>361</v>
      </c>
      <c r="S6" s="64" t="s">
        <v>596</v>
      </c>
      <c r="T6" s="64" t="s">
        <v>603</v>
      </c>
      <c r="U6" s="68" t="s">
        <v>374</v>
      </c>
      <c r="V6" s="64" t="s">
        <v>596</v>
      </c>
      <c r="W6" s="64" t="s">
        <v>604</v>
      </c>
      <c r="X6" s="68" t="s">
        <v>372</v>
      </c>
      <c r="Y6" s="65"/>
      <c r="Z6" s="70"/>
      <c r="AA6" s="71"/>
      <c r="AB6" s="71"/>
      <c r="AC6" s="64"/>
      <c r="AD6" s="64"/>
      <c r="AE6" s="64"/>
      <c r="AF6" s="64"/>
      <c r="AG6" s="65"/>
      <c r="AH6" s="64" t="s">
        <v>596</v>
      </c>
      <c r="AI6" s="66" t="s">
        <v>594</v>
      </c>
    </row>
    <row r="7" spans="1:35" s="56" customFormat="1" ht="37.5">
      <c r="A7" s="78" t="s">
        <v>597</v>
      </c>
      <c r="B7" s="64" t="s">
        <v>598</v>
      </c>
      <c r="C7" s="76">
        <v>5</v>
      </c>
      <c r="D7" s="64" t="s">
        <v>596</v>
      </c>
      <c r="E7" s="64" t="s">
        <v>599</v>
      </c>
      <c r="F7" s="67" t="s">
        <v>375</v>
      </c>
      <c r="G7" s="64" t="s">
        <v>596</v>
      </c>
      <c r="H7" s="64" t="s">
        <v>600</v>
      </c>
      <c r="I7" s="67" t="s">
        <v>376</v>
      </c>
      <c r="J7" s="64" t="s">
        <v>596</v>
      </c>
      <c r="K7" s="64" t="s">
        <v>601</v>
      </c>
      <c r="L7" s="69">
        <v>43848</v>
      </c>
      <c r="M7" s="64" t="s">
        <v>596</v>
      </c>
      <c r="N7" s="64" t="s">
        <v>601</v>
      </c>
      <c r="O7" s="69">
        <v>43848</v>
      </c>
      <c r="P7" s="64" t="s">
        <v>596</v>
      </c>
      <c r="Q7" s="64" t="s">
        <v>602</v>
      </c>
      <c r="R7" s="68" t="s">
        <v>361</v>
      </c>
      <c r="S7" s="64" t="s">
        <v>596</v>
      </c>
      <c r="T7" s="64" t="s">
        <v>603</v>
      </c>
      <c r="U7" s="68" t="s">
        <v>362</v>
      </c>
      <c r="V7" s="64" t="s">
        <v>596</v>
      </c>
      <c r="W7" s="64" t="s">
        <v>604</v>
      </c>
      <c r="X7" s="68" t="s">
        <v>377</v>
      </c>
      <c r="Y7" s="65"/>
      <c r="Z7" s="70"/>
      <c r="AA7" s="71"/>
      <c r="AB7" s="71"/>
      <c r="AC7" s="64"/>
      <c r="AD7" s="64"/>
      <c r="AE7" s="64"/>
      <c r="AF7" s="64"/>
      <c r="AG7" s="65"/>
      <c r="AH7" s="64" t="s">
        <v>596</v>
      </c>
      <c r="AI7" s="66" t="s">
        <v>594</v>
      </c>
    </row>
    <row r="8" spans="1:35" s="56" customFormat="1" hidden="1">
      <c r="A8" s="78" t="s">
        <v>597</v>
      </c>
      <c r="B8" s="64" t="s">
        <v>598</v>
      </c>
      <c r="C8" s="76">
        <v>6</v>
      </c>
      <c r="D8" s="64" t="s">
        <v>596</v>
      </c>
      <c r="E8" s="64" t="s">
        <v>599</v>
      </c>
      <c r="F8" s="67" t="s">
        <v>378</v>
      </c>
      <c r="G8" s="64" t="s">
        <v>596</v>
      </c>
      <c r="H8" s="64" t="s">
        <v>600</v>
      </c>
      <c r="I8" s="91"/>
      <c r="J8" s="64" t="s">
        <v>596</v>
      </c>
      <c r="K8" s="64" t="s">
        <v>601</v>
      </c>
      <c r="L8" s="69">
        <v>43848</v>
      </c>
      <c r="M8" s="64" t="s">
        <v>596</v>
      </c>
      <c r="N8" s="64" t="s">
        <v>601</v>
      </c>
      <c r="O8" s="69">
        <v>43858</v>
      </c>
      <c r="P8" s="64" t="s">
        <v>596</v>
      </c>
      <c r="Q8" s="64" t="s">
        <v>602</v>
      </c>
      <c r="R8" s="68" t="s">
        <v>379</v>
      </c>
      <c r="S8" s="64" t="s">
        <v>596</v>
      </c>
      <c r="T8" s="64" t="s">
        <v>603</v>
      </c>
      <c r="U8" s="68" t="s">
        <v>380</v>
      </c>
      <c r="V8" s="64" t="s">
        <v>596</v>
      </c>
      <c r="W8" s="64" t="s">
        <v>604</v>
      </c>
      <c r="X8" s="68" t="s">
        <v>381</v>
      </c>
      <c r="Y8" s="65"/>
      <c r="Z8" s="70"/>
      <c r="AA8" s="71"/>
      <c r="AB8" s="71"/>
      <c r="AC8" s="64"/>
      <c r="AD8" s="64"/>
      <c r="AE8" s="64"/>
      <c r="AF8" s="64"/>
      <c r="AG8" s="65"/>
      <c r="AH8" s="64" t="s">
        <v>596</v>
      </c>
      <c r="AI8" s="66" t="s">
        <v>594</v>
      </c>
    </row>
    <row r="9" spans="1:35" s="56" customFormat="1" ht="37.5">
      <c r="A9" s="78" t="s">
        <v>597</v>
      </c>
      <c r="B9" s="64" t="s">
        <v>598</v>
      </c>
      <c r="C9" s="76">
        <v>7</v>
      </c>
      <c r="D9" s="64" t="s">
        <v>596</v>
      </c>
      <c r="E9" s="64" t="s">
        <v>599</v>
      </c>
      <c r="F9" s="67" t="s">
        <v>382</v>
      </c>
      <c r="G9" s="64" t="s">
        <v>596</v>
      </c>
      <c r="H9" s="64" t="s">
        <v>600</v>
      </c>
      <c r="I9" s="67" t="s">
        <v>376</v>
      </c>
      <c r="J9" s="64" t="s">
        <v>596</v>
      </c>
      <c r="K9" s="64" t="s">
        <v>601</v>
      </c>
      <c r="L9" s="69">
        <v>43849</v>
      </c>
      <c r="M9" s="64" t="s">
        <v>596</v>
      </c>
      <c r="N9" s="64" t="s">
        <v>601</v>
      </c>
      <c r="O9" s="69">
        <v>43849</v>
      </c>
      <c r="P9" s="64" t="s">
        <v>596</v>
      </c>
      <c r="Q9" s="64" t="s">
        <v>602</v>
      </c>
      <c r="R9" s="68" t="s">
        <v>361</v>
      </c>
      <c r="S9" s="64" t="s">
        <v>596</v>
      </c>
      <c r="T9" s="64" t="s">
        <v>603</v>
      </c>
      <c r="U9" s="68" t="s">
        <v>362</v>
      </c>
      <c r="V9" s="64" t="s">
        <v>596</v>
      </c>
      <c r="W9" s="64" t="s">
        <v>604</v>
      </c>
      <c r="X9" s="68" t="s">
        <v>377</v>
      </c>
      <c r="Y9" s="65"/>
      <c r="Z9" s="70">
        <v>1</v>
      </c>
      <c r="AA9" s="71">
        <v>20000</v>
      </c>
      <c r="AB9" s="71">
        <f>Z9*AA9</f>
        <v>20000</v>
      </c>
      <c r="AC9" s="64"/>
      <c r="AD9" s="64"/>
      <c r="AE9" s="64">
        <f>3*600*9</f>
        <v>16200</v>
      </c>
      <c r="AF9" s="64"/>
      <c r="AG9" s="65"/>
      <c r="AH9" s="64" t="s">
        <v>596</v>
      </c>
      <c r="AI9" s="66" t="s">
        <v>594</v>
      </c>
    </row>
    <row r="10" spans="1:35" s="56" customFormat="1" ht="37.5">
      <c r="A10" s="78" t="s">
        <v>597</v>
      </c>
      <c r="B10" s="64" t="s">
        <v>598</v>
      </c>
      <c r="C10" s="76">
        <v>8</v>
      </c>
      <c r="D10" s="64" t="s">
        <v>596</v>
      </c>
      <c r="E10" s="64" t="s">
        <v>599</v>
      </c>
      <c r="F10" s="67" t="s">
        <v>383</v>
      </c>
      <c r="G10" s="64" t="s">
        <v>596</v>
      </c>
      <c r="H10" s="64" t="s">
        <v>600</v>
      </c>
      <c r="I10" s="67" t="s">
        <v>384</v>
      </c>
      <c r="J10" s="64" t="s">
        <v>596</v>
      </c>
      <c r="K10" s="64" t="s">
        <v>601</v>
      </c>
      <c r="L10" s="69">
        <v>43850</v>
      </c>
      <c r="M10" s="64" t="s">
        <v>596</v>
      </c>
      <c r="N10" s="64" t="s">
        <v>601</v>
      </c>
      <c r="O10" s="69">
        <v>43853</v>
      </c>
      <c r="P10" s="64" t="s">
        <v>596</v>
      </c>
      <c r="Q10" s="64" t="s">
        <v>602</v>
      </c>
      <c r="R10" s="68" t="s">
        <v>366</v>
      </c>
      <c r="S10" s="64" t="s">
        <v>596</v>
      </c>
      <c r="T10" s="64" t="s">
        <v>603</v>
      </c>
      <c r="U10" s="68" t="s">
        <v>367</v>
      </c>
      <c r="V10" s="64" t="s">
        <v>596</v>
      </c>
      <c r="W10" s="64" t="s">
        <v>604</v>
      </c>
      <c r="X10" s="68" t="s">
        <v>368</v>
      </c>
      <c r="Y10" s="65"/>
      <c r="Z10" s="70"/>
      <c r="AA10" s="71"/>
      <c r="AB10" s="71"/>
      <c r="AC10" s="64"/>
      <c r="AD10" s="64"/>
      <c r="AE10" s="64"/>
      <c r="AF10" s="64"/>
      <c r="AG10" s="65"/>
      <c r="AH10" s="64" t="s">
        <v>596</v>
      </c>
      <c r="AI10" s="66" t="s">
        <v>594</v>
      </c>
    </row>
    <row r="11" spans="1:35" s="56" customFormat="1" ht="37.5">
      <c r="A11" s="78" t="s">
        <v>597</v>
      </c>
      <c r="B11" s="64" t="s">
        <v>598</v>
      </c>
      <c r="C11" s="76">
        <v>9</v>
      </c>
      <c r="D11" s="64" t="s">
        <v>596</v>
      </c>
      <c r="E11" s="64" t="s">
        <v>599</v>
      </c>
      <c r="F11" s="67" t="s">
        <v>385</v>
      </c>
      <c r="G11" s="64" t="s">
        <v>596</v>
      </c>
      <c r="H11" s="64" t="s">
        <v>600</v>
      </c>
      <c r="I11" s="67" t="s">
        <v>613</v>
      </c>
      <c r="J11" s="64" t="s">
        <v>596</v>
      </c>
      <c r="K11" s="64" t="s">
        <v>601</v>
      </c>
      <c r="L11" s="69">
        <v>43855</v>
      </c>
      <c r="M11" s="64" t="s">
        <v>596</v>
      </c>
      <c r="N11" s="64" t="s">
        <v>601</v>
      </c>
      <c r="O11" s="69">
        <v>43866</v>
      </c>
      <c r="P11" s="64" t="s">
        <v>596</v>
      </c>
      <c r="Q11" s="64" t="s">
        <v>602</v>
      </c>
      <c r="R11" s="68" t="s">
        <v>370</v>
      </c>
      <c r="S11" s="64" t="s">
        <v>596</v>
      </c>
      <c r="T11" s="64" t="s">
        <v>603</v>
      </c>
      <c r="U11" s="68" t="s">
        <v>386</v>
      </c>
      <c r="V11" s="64" t="s">
        <v>596</v>
      </c>
      <c r="W11" s="64" t="s">
        <v>604</v>
      </c>
      <c r="X11" s="68" t="s">
        <v>387</v>
      </c>
      <c r="Y11" s="65"/>
      <c r="Z11" s="70"/>
      <c r="AA11" s="71"/>
      <c r="AB11" s="71"/>
      <c r="AC11" s="64"/>
      <c r="AD11" s="64"/>
      <c r="AE11" s="64"/>
      <c r="AF11" s="64"/>
      <c r="AG11" s="65"/>
      <c r="AH11" s="64" t="s">
        <v>596</v>
      </c>
      <c r="AI11" s="66" t="s">
        <v>594</v>
      </c>
    </row>
    <row r="12" spans="1:35" s="56" customFormat="1" ht="56.25" hidden="1">
      <c r="A12" s="78" t="s">
        <v>597</v>
      </c>
      <c r="B12" s="64" t="s">
        <v>598</v>
      </c>
      <c r="C12" s="76">
        <v>10</v>
      </c>
      <c r="D12" s="64" t="s">
        <v>596</v>
      </c>
      <c r="E12" s="64" t="s">
        <v>599</v>
      </c>
      <c r="F12" s="67" t="s">
        <v>388</v>
      </c>
      <c r="G12" s="64" t="s">
        <v>596</v>
      </c>
      <c r="H12" s="64" t="s">
        <v>600</v>
      </c>
      <c r="I12" s="93"/>
      <c r="J12" s="64" t="s">
        <v>596</v>
      </c>
      <c r="K12" s="64" t="s">
        <v>601</v>
      </c>
      <c r="L12" s="69">
        <v>43862</v>
      </c>
      <c r="M12" s="64" t="s">
        <v>596</v>
      </c>
      <c r="N12" s="64" t="s">
        <v>601</v>
      </c>
      <c r="O12" s="69">
        <v>43862</v>
      </c>
      <c r="P12" s="64" t="s">
        <v>596</v>
      </c>
      <c r="Q12" s="64" t="s">
        <v>602</v>
      </c>
      <c r="R12" s="69" t="s">
        <v>389</v>
      </c>
      <c r="S12" s="64" t="s">
        <v>596</v>
      </c>
      <c r="T12" s="64" t="s">
        <v>603</v>
      </c>
      <c r="U12" s="68" t="s">
        <v>362</v>
      </c>
      <c r="V12" s="64" t="s">
        <v>596</v>
      </c>
      <c r="W12" s="64" t="s">
        <v>604</v>
      </c>
      <c r="X12" s="68" t="s">
        <v>390</v>
      </c>
      <c r="Y12" s="72"/>
      <c r="Z12" s="73">
        <v>13</v>
      </c>
      <c r="AA12" s="74">
        <v>35000</v>
      </c>
      <c r="AB12" s="74">
        <f>Z12*AA12</f>
        <v>455000</v>
      </c>
      <c r="AC12" s="64"/>
      <c r="AD12" s="64"/>
      <c r="AE12" s="64"/>
      <c r="AF12" s="64"/>
      <c r="AG12" s="65"/>
      <c r="AH12" s="64" t="s">
        <v>596</v>
      </c>
      <c r="AI12" s="66" t="s">
        <v>594</v>
      </c>
    </row>
    <row r="13" spans="1:35" s="56" customFormat="1" ht="37.5">
      <c r="A13" s="78" t="s">
        <v>597</v>
      </c>
      <c r="B13" s="64" t="s">
        <v>598</v>
      </c>
      <c r="C13" s="76">
        <v>11</v>
      </c>
      <c r="D13" s="64" t="s">
        <v>596</v>
      </c>
      <c r="E13" s="64" t="s">
        <v>599</v>
      </c>
      <c r="F13" s="67" t="s">
        <v>391</v>
      </c>
      <c r="G13" s="64" t="s">
        <v>596</v>
      </c>
      <c r="H13" s="64" t="s">
        <v>600</v>
      </c>
      <c r="I13" s="67" t="s">
        <v>376</v>
      </c>
      <c r="J13" s="64" t="s">
        <v>596</v>
      </c>
      <c r="K13" s="64" t="s">
        <v>601</v>
      </c>
      <c r="L13" s="69">
        <v>43862</v>
      </c>
      <c r="M13" s="64" t="s">
        <v>596</v>
      </c>
      <c r="N13" s="64" t="s">
        <v>601</v>
      </c>
      <c r="O13" s="69">
        <v>43862</v>
      </c>
      <c r="P13" s="64" t="s">
        <v>596</v>
      </c>
      <c r="Q13" s="64" t="s">
        <v>602</v>
      </c>
      <c r="R13" s="69" t="s">
        <v>361</v>
      </c>
      <c r="S13" s="64" t="s">
        <v>596</v>
      </c>
      <c r="T13" s="64" t="s">
        <v>603</v>
      </c>
      <c r="U13" s="68" t="s">
        <v>362</v>
      </c>
      <c r="V13" s="64" t="s">
        <v>596</v>
      </c>
      <c r="W13" s="64" t="s">
        <v>604</v>
      </c>
      <c r="X13" s="68" t="s">
        <v>377</v>
      </c>
      <c r="Y13" s="65"/>
      <c r="Z13" s="70"/>
      <c r="AA13" s="71"/>
      <c r="AB13" s="71"/>
      <c r="AC13" s="64"/>
      <c r="AD13" s="64"/>
      <c r="AE13" s="64">
        <f>3*400*3</f>
        <v>3600</v>
      </c>
      <c r="AF13" s="64"/>
      <c r="AG13" s="65"/>
      <c r="AH13" s="64" t="s">
        <v>596</v>
      </c>
      <c r="AI13" s="66" t="s">
        <v>594</v>
      </c>
    </row>
    <row r="14" spans="1:35" s="56" customFormat="1" ht="37.5">
      <c r="A14" s="78" t="s">
        <v>597</v>
      </c>
      <c r="B14" s="64" t="s">
        <v>598</v>
      </c>
      <c r="C14" s="76">
        <v>12</v>
      </c>
      <c r="D14" s="64" t="s">
        <v>596</v>
      </c>
      <c r="E14" s="64" t="s">
        <v>599</v>
      </c>
      <c r="F14" s="67" t="s">
        <v>392</v>
      </c>
      <c r="G14" s="64" t="s">
        <v>596</v>
      </c>
      <c r="H14" s="64" t="s">
        <v>600</v>
      </c>
      <c r="I14" s="67" t="s">
        <v>376</v>
      </c>
      <c r="J14" s="64" t="s">
        <v>596</v>
      </c>
      <c r="K14" s="64" t="s">
        <v>601</v>
      </c>
      <c r="L14" s="69">
        <v>43863</v>
      </c>
      <c r="M14" s="64" t="s">
        <v>596</v>
      </c>
      <c r="N14" s="64" t="s">
        <v>601</v>
      </c>
      <c r="O14" s="69">
        <v>43863</v>
      </c>
      <c r="P14" s="64" t="s">
        <v>596</v>
      </c>
      <c r="Q14" s="64" t="s">
        <v>602</v>
      </c>
      <c r="R14" s="69" t="s">
        <v>361</v>
      </c>
      <c r="S14" s="64" t="s">
        <v>596</v>
      </c>
      <c r="T14" s="64" t="s">
        <v>603</v>
      </c>
      <c r="U14" s="68" t="s">
        <v>362</v>
      </c>
      <c r="V14" s="64" t="s">
        <v>596</v>
      </c>
      <c r="W14" s="64" t="s">
        <v>604</v>
      </c>
      <c r="X14" s="68" t="s">
        <v>377</v>
      </c>
      <c r="Y14" s="65"/>
      <c r="Z14" s="70"/>
      <c r="AA14" s="71"/>
      <c r="AB14" s="71"/>
      <c r="AC14" s="64"/>
      <c r="AD14" s="64"/>
      <c r="AE14" s="64"/>
      <c r="AF14" s="64"/>
      <c r="AG14" s="65"/>
      <c r="AH14" s="64" t="s">
        <v>596</v>
      </c>
      <c r="AI14" s="66" t="s">
        <v>594</v>
      </c>
    </row>
    <row r="15" spans="1:35" s="56" customFormat="1" ht="37.5">
      <c r="A15" s="78" t="s">
        <v>597</v>
      </c>
      <c r="B15" s="64" t="s">
        <v>598</v>
      </c>
      <c r="C15" s="76">
        <v>13</v>
      </c>
      <c r="D15" s="64" t="s">
        <v>596</v>
      </c>
      <c r="E15" s="64" t="s">
        <v>599</v>
      </c>
      <c r="F15" s="67" t="s">
        <v>393</v>
      </c>
      <c r="G15" s="64" t="s">
        <v>596</v>
      </c>
      <c r="H15" s="64" t="s">
        <v>600</v>
      </c>
      <c r="I15" s="67" t="s">
        <v>613</v>
      </c>
      <c r="J15" s="64" t="s">
        <v>596</v>
      </c>
      <c r="K15" s="64" t="s">
        <v>601</v>
      </c>
      <c r="L15" s="69">
        <v>43878</v>
      </c>
      <c r="M15" s="64" t="s">
        <v>596</v>
      </c>
      <c r="N15" s="64" t="s">
        <v>601</v>
      </c>
      <c r="O15" s="69">
        <v>43890</v>
      </c>
      <c r="P15" s="64" t="s">
        <v>596</v>
      </c>
      <c r="Q15" s="64" t="s">
        <v>602</v>
      </c>
      <c r="R15" s="69" t="s">
        <v>370</v>
      </c>
      <c r="S15" s="64" t="s">
        <v>596</v>
      </c>
      <c r="T15" s="64" t="s">
        <v>603</v>
      </c>
      <c r="U15" s="68" t="s">
        <v>386</v>
      </c>
      <c r="V15" s="64" t="s">
        <v>596</v>
      </c>
      <c r="W15" s="64" t="s">
        <v>604</v>
      </c>
      <c r="X15" s="68" t="s">
        <v>387</v>
      </c>
      <c r="Y15" s="65"/>
      <c r="Z15" s="70"/>
      <c r="AA15" s="71"/>
      <c r="AB15" s="71"/>
      <c r="AC15" s="64"/>
      <c r="AD15" s="64"/>
      <c r="AE15" s="64"/>
      <c r="AF15" s="64"/>
      <c r="AG15" s="65"/>
      <c r="AH15" s="64" t="s">
        <v>596</v>
      </c>
      <c r="AI15" s="66" t="s">
        <v>594</v>
      </c>
    </row>
    <row r="16" spans="1:35" s="56" customFormat="1" ht="56.25" hidden="1">
      <c r="A16" s="78" t="s">
        <v>597</v>
      </c>
      <c r="B16" s="64" t="s">
        <v>598</v>
      </c>
      <c r="C16" s="76">
        <v>14</v>
      </c>
      <c r="D16" s="64" t="s">
        <v>596</v>
      </c>
      <c r="E16" s="64" t="s">
        <v>599</v>
      </c>
      <c r="F16" s="67" t="s">
        <v>394</v>
      </c>
      <c r="G16" s="64" t="s">
        <v>596</v>
      </c>
      <c r="H16" s="64" t="s">
        <v>600</v>
      </c>
      <c r="I16" s="93"/>
      <c r="J16" s="64" t="s">
        <v>596</v>
      </c>
      <c r="K16" s="64" t="s">
        <v>601</v>
      </c>
      <c r="L16" s="69">
        <v>43881</v>
      </c>
      <c r="M16" s="64" t="s">
        <v>596</v>
      </c>
      <c r="N16" s="64" t="s">
        <v>601</v>
      </c>
      <c r="O16" s="69">
        <v>43884</v>
      </c>
      <c r="P16" s="64" t="s">
        <v>596</v>
      </c>
      <c r="Q16" s="64" t="s">
        <v>602</v>
      </c>
      <c r="R16" s="68" t="s">
        <v>389</v>
      </c>
      <c r="S16" s="64" t="s">
        <v>596</v>
      </c>
      <c r="T16" s="64" t="s">
        <v>603</v>
      </c>
      <c r="U16" s="68" t="s">
        <v>395</v>
      </c>
      <c r="V16" s="64" t="s">
        <v>596</v>
      </c>
      <c r="W16" s="64" t="s">
        <v>604</v>
      </c>
      <c r="X16" s="68" t="s">
        <v>396</v>
      </c>
      <c r="Y16" s="72"/>
      <c r="Z16" s="73">
        <v>5</v>
      </c>
      <c r="AA16" s="74">
        <v>45000</v>
      </c>
      <c r="AB16" s="74">
        <f>Z16*AA16</f>
        <v>225000</v>
      </c>
      <c r="AC16" s="64"/>
      <c r="AD16" s="64"/>
      <c r="AE16" s="64"/>
      <c r="AF16" s="64"/>
      <c r="AG16" s="65"/>
      <c r="AH16" s="64" t="s">
        <v>596</v>
      </c>
      <c r="AI16" s="66" t="s">
        <v>594</v>
      </c>
    </row>
    <row r="17" spans="1:35" s="56" customFormat="1" ht="37.5" hidden="1">
      <c r="A17" s="78" t="s">
        <v>597</v>
      </c>
      <c r="B17" s="64" t="s">
        <v>598</v>
      </c>
      <c r="C17" s="76">
        <v>15</v>
      </c>
      <c r="D17" s="64" t="s">
        <v>596</v>
      </c>
      <c r="E17" s="64" t="s">
        <v>599</v>
      </c>
      <c r="F17" s="67" t="s">
        <v>397</v>
      </c>
      <c r="G17" s="64" t="s">
        <v>596</v>
      </c>
      <c r="H17" s="64" t="s">
        <v>600</v>
      </c>
      <c r="I17" s="90" t="s">
        <v>398</v>
      </c>
      <c r="J17" s="64" t="s">
        <v>596</v>
      </c>
      <c r="K17" s="64" t="s">
        <v>601</v>
      </c>
      <c r="L17" s="69">
        <v>43882</v>
      </c>
      <c r="M17" s="64" t="s">
        <v>596</v>
      </c>
      <c r="N17" s="64" t="s">
        <v>601</v>
      </c>
      <c r="O17" s="69">
        <v>43886</v>
      </c>
      <c r="P17" s="64" t="s">
        <v>596</v>
      </c>
      <c r="Q17" s="64" t="s">
        <v>602</v>
      </c>
      <c r="R17" s="68" t="s">
        <v>366</v>
      </c>
      <c r="S17" s="64" t="s">
        <v>596</v>
      </c>
      <c r="T17" s="64" t="s">
        <v>603</v>
      </c>
      <c r="U17" s="68" t="s">
        <v>362</v>
      </c>
      <c r="V17" s="64" t="s">
        <v>596</v>
      </c>
      <c r="W17" s="64" t="s">
        <v>604</v>
      </c>
      <c r="X17" s="68" t="s">
        <v>368</v>
      </c>
      <c r="Y17" s="65"/>
      <c r="Z17" s="70"/>
      <c r="AA17" s="71"/>
      <c r="AB17" s="71"/>
      <c r="AC17" s="64"/>
      <c r="AD17" s="64"/>
      <c r="AE17" s="64"/>
      <c r="AF17" s="64"/>
      <c r="AG17" s="65"/>
      <c r="AH17" s="64" t="s">
        <v>596</v>
      </c>
      <c r="AI17" s="66" t="s">
        <v>594</v>
      </c>
    </row>
    <row r="18" spans="1:35" s="56" customFormat="1" ht="37.5">
      <c r="A18" s="78" t="s">
        <v>597</v>
      </c>
      <c r="B18" s="64" t="s">
        <v>598</v>
      </c>
      <c r="C18" s="76">
        <v>16</v>
      </c>
      <c r="D18" s="64" t="s">
        <v>596</v>
      </c>
      <c r="E18" s="64" t="s">
        <v>599</v>
      </c>
      <c r="F18" s="67" t="s">
        <v>399</v>
      </c>
      <c r="G18" s="64" t="s">
        <v>596</v>
      </c>
      <c r="H18" s="64" t="s">
        <v>600</v>
      </c>
      <c r="I18" s="67"/>
      <c r="J18" s="64" t="s">
        <v>596</v>
      </c>
      <c r="K18" s="64" t="s">
        <v>601</v>
      </c>
      <c r="L18" s="69">
        <v>43889</v>
      </c>
      <c r="M18" s="64" t="s">
        <v>596</v>
      </c>
      <c r="N18" s="64" t="s">
        <v>601</v>
      </c>
      <c r="O18" s="69">
        <v>43893</v>
      </c>
      <c r="P18" s="64" t="s">
        <v>596</v>
      </c>
      <c r="Q18" s="64" t="s">
        <v>602</v>
      </c>
      <c r="R18" s="69" t="s">
        <v>361</v>
      </c>
      <c r="S18" s="64" t="s">
        <v>596</v>
      </c>
      <c r="T18" s="64" t="s">
        <v>603</v>
      </c>
      <c r="U18" s="68" t="s">
        <v>362</v>
      </c>
      <c r="V18" s="64" t="s">
        <v>596</v>
      </c>
      <c r="W18" s="64" t="s">
        <v>604</v>
      </c>
      <c r="X18" s="68" t="s">
        <v>400</v>
      </c>
      <c r="Y18" s="65"/>
      <c r="Z18" s="70"/>
      <c r="AA18" s="71"/>
      <c r="AB18" s="71"/>
      <c r="AC18" s="64">
        <v>10000</v>
      </c>
      <c r="AD18" s="64">
        <f>3*400*4</f>
        <v>4800</v>
      </c>
      <c r="AE18" s="64"/>
      <c r="AF18" s="64"/>
      <c r="AG18" s="65"/>
      <c r="AH18" s="64" t="s">
        <v>596</v>
      </c>
      <c r="AI18" s="66" t="s">
        <v>594</v>
      </c>
    </row>
    <row r="19" spans="1:35" s="56" customFormat="1" ht="56.25">
      <c r="A19" s="78" t="s">
        <v>597</v>
      </c>
      <c r="B19" s="64" t="s">
        <v>598</v>
      </c>
      <c r="C19" s="76">
        <v>17</v>
      </c>
      <c r="D19" s="64" t="s">
        <v>596</v>
      </c>
      <c r="E19" s="64" t="s">
        <v>599</v>
      </c>
      <c r="F19" s="67" t="s">
        <v>401</v>
      </c>
      <c r="G19" s="64" t="s">
        <v>596</v>
      </c>
      <c r="H19" s="64" t="s">
        <v>600</v>
      </c>
      <c r="I19" s="67" t="s">
        <v>402</v>
      </c>
      <c r="J19" s="64" t="s">
        <v>596</v>
      </c>
      <c r="K19" s="64" t="s">
        <v>601</v>
      </c>
      <c r="L19" s="69">
        <v>43891</v>
      </c>
      <c r="M19" s="64" t="s">
        <v>596</v>
      </c>
      <c r="N19" s="64" t="s">
        <v>601</v>
      </c>
      <c r="O19" s="69">
        <v>43899</v>
      </c>
      <c r="P19" s="64" t="s">
        <v>596</v>
      </c>
      <c r="Q19" s="64" t="s">
        <v>602</v>
      </c>
      <c r="R19" s="68" t="s">
        <v>403</v>
      </c>
      <c r="S19" s="64" t="s">
        <v>596</v>
      </c>
      <c r="T19" s="64" t="s">
        <v>603</v>
      </c>
      <c r="U19" s="68" t="s">
        <v>404</v>
      </c>
      <c r="V19" s="64" t="s">
        <v>596</v>
      </c>
      <c r="W19" s="64" t="s">
        <v>604</v>
      </c>
      <c r="X19" s="68" t="s">
        <v>235</v>
      </c>
      <c r="Y19" s="65"/>
      <c r="Z19" s="70"/>
      <c r="AA19" s="71"/>
      <c r="AB19" s="71"/>
      <c r="AC19" s="64">
        <v>300000</v>
      </c>
      <c r="AD19" s="64">
        <v>50000</v>
      </c>
      <c r="AE19" s="64"/>
      <c r="AF19" s="64"/>
      <c r="AG19" s="65"/>
      <c r="AH19" s="64" t="s">
        <v>596</v>
      </c>
      <c r="AI19" s="66" t="s">
        <v>594</v>
      </c>
    </row>
    <row r="20" spans="1:35" s="56" customFormat="1" ht="56.25" hidden="1">
      <c r="A20" s="78" t="s">
        <v>597</v>
      </c>
      <c r="B20" s="64" t="s">
        <v>598</v>
      </c>
      <c r="C20" s="76">
        <v>18</v>
      </c>
      <c r="D20" s="64" t="s">
        <v>596</v>
      </c>
      <c r="E20" s="64" t="s">
        <v>599</v>
      </c>
      <c r="F20" s="67" t="s">
        <v>405</v>
      </c>
      <c r="G20" s="64" t="s">
        <v>596</v>
      </c>
      <c r="H20" s="64" t="s">
        <v>600</v>
      </c>
      <c r="I20" s="90" t="s">
        <v>615</v>
      </c>
      <c r="J20" s="64" t="s">
        <v>596</v>
      </c>
      <c r="K20" s="64" t="s">
        <v>601</v>
      </c>
      <c r="L20" s="69">
        <v>43891</v>
      </c>
      <c r="M20" s="64" t="s">
        <v>596</v>
      </c>
      <c r="N20" s="64" t="s">
        <v>601</v>
      </c>
      <c r="O20" s="69">
        <v>43921</v>
      </c>
      <c r="P20" s="64" t="s">
        <v>596</v>
      </c>
      <c r="Q20" s="64" t="s">
        <v>602</v>
      </c>
      <c r="R20" s="68" t="s">
        <v>403</v>
      </c>
      <c r="S20" s="64" t="s">
        <v>596</v>
      </c>
      <c r="T20" s="64" t="s">
        <v>603</v>
      </c>
      <c r="U20" s="68" t="s">
        <v>406</v>
      </c>
      <c r="V20" s="64" t="s">
        <v>596</v>
      </c>
      <c r="W20" s="64" t="s">
        <v>604</v>
      </c>
      <c r="X20" s="68" t="s">
        <v>368</v>
      </c>
      <c r="Y20" s="65"/>
      <c r="Z20" s="70">
        <v>3</v>
      </c>
      <c r="AA20" s="71">
        <v>15000</v>
      </c>
      <c r="AB20" s="71">
        <f>Z20*AA20</f>
        <v>45000</v>
      </c>
      <c r="AC20" s="64"/>
      <c r="AD20" s="64"/>
      <c r="AE20" s="64">
        <f>3*30000</f>
        <v>90000</v>
      </c>
      <c r="AF20" s="64"/>
      <c r="AG20" s="65"/>
      <c r="AH20" s="64" t="s">
        <v>596</v>
      </c>
      <c r="AI20" s="66" t="s">
        <v>594</v>
      </c>
    </row>
    <row r="21" spans="1:35" s="56" customFormat="1" ht="37.5" hidden="1">
      <c r="A21" s="78" t="s">
        <v>597</v>
      </c>
      <c r="B21" s="64" t="s">
        <v>598</v>
      </c>
      <c r="C21" s="76">
        <v>19</v>
      </c>
      <c r="D21" s="64" t="s">
        <v>596</v>
      </c>
      <c r="E21" s="64" t="s">
        <v>599</v>
      </c>
      <c r="F21" s="67" t="s">
        <v>407</v>
      </c>
      <c r="G21" s="64" t="s">
        <v>596</v>
      </c>
      <c r="H21" s="64" t="s">
        <v>600</v>
      </c>
      <c r="I21" s="94"/>
      <c r="J21" s="64" t="s">
        <v>596</v>
      </c>
      <c r="K21" s="64" t="s">
        <v>601</v>
      </c>
      <c r="L21" s="69">
        <v>43892</v>
      </c>
      <c r="M21" s="64" t="s">
        <v>596</v>
      </c>
      <c r="N21" s="64" t="s">
        <v>601</v>
      </c>
      <c r="O21" s="69">
        <v>43894</v>
      </c>
      <c r="P21" s="64" t="s">
        <v>596</v>
      </c>
      <c r="Q21" s="64" t="s">
        <v>602</v>
      </c>
      <c r="R21" s="68" t="s">
        <v>370</v>
      </c>
      <c r="S21" s="64" t="s">
        <v>596</v>
      </c>
      <c r="T21" s="64" t="s">
        <v>603</v>
      </c>
      <c r="U21" s="68" t="s">
        <v>408</v>
      </c>
      <c r="V21" s="64" t="s">
        <v>596</v>
      </c>
      <c r="W21" s="64" t="s">
        <v>604</v>
      </c>
      <c r="X21" s="68" t="s">
        <v>409</v>
      </c>
      <c r="Y21" s="65"/>
      <c r="Z21" s="70">
        <v>5</v>
      </c>
      <c r="AA21" s="71">
        <v>30000</v>
      </c>
      <c r="AB21" s="71">
        <f>Z21*AA21</f>
        <v>150000</v>
      </c>
      <c r="AC21" s="64"/>
      <c r="AD21" s="64"/>
      <c r="AE21" s="64">
        <f>5*20000</f>
        <v>100000</v>
      </c>
      <c r="AF21" s="64"/>
      <c r="AG21" s="65"/>
      <c r="AH21" s="64" t="s">
        <v>596</v>
      </c>
      <c r="AI21" s="66" t="s">
        <v>594</v>
      </c>
    </row>
    <row r="22" spans="1:35" s="56" customFormat="1" ht="37.5" hidden="1">
      <c r="A22" s="78" t="s">
        <v>597</v>
      </c>
      <c r="B22" s="64" t="s">
        <v>598</v>
      </c>
      <c r="C22" s="76">
        <v>20</v>
      </c>
      <c r="D22" s="64" t="s">
        <v>596</v>
      </c>
      <c r="E22" s="64" t="s">
        <v>599</v>
      </c>
      <c r="F22" s="67" t="s">
        <v>410</v>
      </c>
      <c r="G22" s="64" t="s">
        <v>596</v>
      </c>
      <c r="H22" s="64" t="s">
        <v>600</v>
      </c>
      <c r="I22" s="94"/>
      <c r="J22" s="64" t="s">
        <v>596</v>
      </c>
      <c r="K22" s="64" t="s">
        <v>601</v>
      </c>
      <c r="L22" s="69">
        <v>43893</v>
      </c>
      <c r="M22" s="64" t="s">
        <v>596</v>
      </c>
      <c r="N22" s="64" t="s">
        <v>601</v>
      </c>
      <c r="O22" s="69">
        <v>43896</v>
      </c>
      <c r="P22" s="64" t="s">
        <v>596</v>
      </c>
      <c r="Q22" s="64" t="s">
        <v>602</v>
      </c>
      <c r="R22" s="68" t="s">
        <v>370</v>
      </c>
      <c r="S22" s="64" t="s">
        <v>596</v>
      </c>
      <c r="T22" s="64" t="s">
        <v>603</v>
      </c>
      <c r="U22" s="68" t="s">
        <v>408</v>
      </c>
      <c r="V22" s="64" t="s">
        <v>596</v>
      </c>
      <c r="W22" s="64" t="s">
        <v>604</v>
      </c>
      <c r="X22" s="68" t="s">
        <v>409</v>
      </c>
      <c r="Y22" s="65"/>
      <c r="Z22" s="70">
        <v>6</v>
      </c>
      <c r="AA22" s="71">
        <v>3000</v>
      </c>
      <c r="AB22" s="71">
        <f>Z22*AA22</f>
        <v>18000</v>
      </c>
      <c r="AC22" s="64"/>
      <c r="AD22" s="64"/>
      <c r="AE22" s="64">
        <f>5*3000</f>
        <v>15000</v>
      </c>
      <c r="AF22" s="64"/>
      <c r="AG22" s="65"/>
      <c r="AH22" s="64" t="s">
        <v>596</v>
      </c>
      <c r="AI22" s="66" t="s">
        <v>594</v>
      </c>
    </row>
    <row r="23" spans="1:35" s="56" customFormat="1" ht="75" hidden="1">
      <c r="A23" s="78" t="s">
        <v>597</v>
      </c>
      <c r="B23" s="64" t="s">
        <v>598</v>
      </c>
      <c r="C23" s="76">
        <v>21</v>
      </c>
      <c r="D23" s="64" t="s">
        <v>596</v>
      </c>
      <c r="E23" s="64" t="s">
        <v>599</v>
      </c>
      <c r="F23" s="67" t="s">
        <v>411</v>
      </c>
      <c r="G23" s="64" t="s">
        <v>596</v>
      </c>
      <c r="H23" s="64" t="s">
        <v>600</v>
      </c>
      <c r="I23" s="94"/>
      <c r="J23" s="64" t="s">
        <v>596</v>
      </c>
      <c r="K23" s="64" t="s">
        <v>601</v>
      </c>
      <c r="L23" s="69">
        <v>43898</v>
      </c>
      <c r="M23" s="64" t="s">
        <v>596</v>
      </c>
      <c r="N23" s="64" t="s">
        <v>601</v>
      </c>
      <c r="O23" s="69">
        <v>43898</v>
      </c>
      <c r="P23" s="64" t="s">
        <v>596</v>
      </c>
      <c r="Q23" s="64" t="s">
        <v>602</v>
      </c>
      <c r="R23" s="69" t="s">
        <v>412</v>
      </c>
      <c r="S23" s="64" t="s">
        <v>596</v>
      </c>
      <c r="T23" s="64" t="s">
        <v>603</v>
      </c>
      <c r="U23" s="68" t="s">
        <v>362</v>
      </c>
      <c r="V23" s="64" t="s">
        <v>596</v>
      </c>
      <c r="W23" s="64" t="s">
        <v>604</v>
      </c>
      <c r="X23" s="68" t="s">
        <v>413</v>
      </c>
      <c r="Y23" s="65"/>
      <c r="Z23" s="70">
        <v>6</v>
      </c>
      <c r="AA23" s="71">
        <v>6000</v>
      </c>
      <c r="AB23" s="71">
        <f>Z23*AA23</f>
        <v>36000</v>
      </c>
      <c r="AC23" s="64"/>
      <c r="AD23" s="64"/>
      <c r="AE23" s="64">
        <f>5*3000</f>
        <v>15000</v>
      </c>
      <c r="AF23" s="64"/>
      <c r="AG23" s="65"/>
      <c r="AH23" s="64" t="s">
        <v>596</v>
      </c>
      <c r="AI23" s="66" t="s">
        <v>594</v>
      </c>
    </row>
    <row r="24" spans="1:35" s="56" customFormat="1" ht="56.25" hidden="1">
      <c r="A24" s="78" t="s">
        <v>597</v>
      </c>
      <c r="B24" s="64" t="s">
        <v>598</v>
      </c>
      <c r="C24" s="76">
        <v>22</v>
      </c>
      <c r="D24" s="64" t="s">
        <v>596</v>
      </c>
      <c r="E24" s="64" t="s">
        <v>599</v>
      </c>
      <c r="F24" s="67" t="s">
        <v>414</v>
      </c>
      <c r="G24" s="64" t="s">
        <v>596</v>
      </c>
      <c r="H24" s="64" t="s">
        <v>600</v>
      </c>
      <c r="I24" s="92"/>
      <c r="J24" s="64" t="s">
        <v>596</v>
      </c>
      <c r="K24" s="64" t="s">
        <v>601</v>
      </c>
      <c r="L24" s="69">
        <v>43899</v>
      </c>
      <c r="M24" s="64" t="s">
        <v>596</v>
      </c>
      <c r="N24" s="64" t="s">
        <v>601</v>
      </c>
      <c r="O24" s="69">
        <v>43903</v>
      </c>
      <c r="P24" s="64" t="s">
        <v>596</v>
      </c>
      <c r="Q24" s="64" t="s">
        <v>602</v>
      </c>
      <c r="R24" s="75" t="s">
        <v>415</v>
      </c>
      <c r="S24" s="64" t="s">
        <v>596</v>
      </c>
      <c r="T24" s="64" t="s">
        <v>603</v>
      </c>
      <c r="U24" s="68" t="s">
        <v>362</v>
      </c>
      <c r="V24" s="64" t="s">
        <v>596</v>
      </c>
      <c r="W24" s="64" t="s">
        <v>604</v>
      </c>
      <c r="X24" s="68" t="s">
        <v>243</v>
      </c>
      <c r="Y24" s="65"/>
      <c r="Z24" s="70"/>
      <c r="AA24" s="71"/>
      <c r="AB24" s="71"/>
      <c r="AC24" s="64">
        <v>10000</v>
      </c>
      <c r="AD24" s="64"/>
      <c r="AE24" s="64"/>
      <c r="AF24" s="64"/>
      <c r="AG24" s="65"/>
      <c r="AH24" s="64" t="s">
        <v>596</v>
      </c>
      <c r="AI24" s="66" t="s">
        <v>594</v>
      </c>
    </row>
    <row r="25" spans="1:35" s="56" customFormat="1" ht="37.5" hidden="1">
      <c r="A25" s="78" t="s">
        <v>597</v>
      </c>
      <c r="B25" s="64" t="s">
        <v>598</v>
      </c>
      <c r="C25" s="76">
        <v>23</v>
      </c>
      <c r="D25" s="64" t="s">
        <v>596</v>
      </c>
      <c r="E25" s="64" t="s">
        <v>599</v>
      </c>
      <c r="F25" s="67" t="s">
        <v>416</v>
      </c>
      <c r="G25" s="64" t="s">
        <v>596</v>
      </c>
      <c r="H25" s="64" t="s">
        <v>600</v>
      </c>
      <c r="I25" s="94"/>
      <c r="J25" s="64" t="s">
        <v>596</v>
      </c>
      <c r="K25" s="64" t="s">
        <v>601</v>
      </c>
      <c r="L25" s="69">
        <v>43903</v>
      </c>
      <c r="M25" s="64" t="s">
        <v>596</v>
      </c>
      <c r="N25" s="64" t="s">
        <v>601</v>
      </c>
      <c r="O25" s="69">
        <v>43911</v>
      </c>
      <c r="P25" s="64" t="s">
        <v>596</v>
      </c>
      <c r="Q25" s="64" t="s">
        <v>602</v>
      </c>
      <c r="R25" s="69" t="s">
        <v>370</v>
      </c>
      <c r="S25" s="64" t="s">
        <v>596</v>
      </c>
      <c r="T25" s="64" t="s">
        <v>603</v>
      </c>
      <c r="U25" s="68" t="s">
        <v>417</v>
      </c>
      <c r="V25" s="64" t="s">
        <v>596</v>
      </c>
      <c r="W25" s="64" t="s">
        <v>604</v>
      </c>
      <c r="X25" s="68" t="s">
        <v>372</v>
      </c>
      <c r="Y25" s="65"/>
      <c r="Z25" s="70"/>
      <c r="AA25" s="71"/>
      <c r="AB25" s="71"/>
      <c r="AC25" s="64"/>
      <c r="AD25" s="64"/>
      <c r="AE25" s="64"/>
      <c r="AF25" s="64"/>
      <c r="AG25" s="65"/>
      <c r="AH25" s="64" t="s">
        <v>596</v>
      </c>
      <c r="AI25" s="66" t="s">
        <v>594</v>
      </c>
    </row>
    <row r="26" spans="1:35" s="56" customFormat="1" ht="37.5">
      <c r="A26" s="78" t="s">
        <v>597</v>
      </c>
      <c r="B26" s="64" t="s">
        <v>598</v>
      </c>
      <c r="C26" s="76">
        <v>24</v>
      </c>
      <c r="D26" s="64" t="s">
        <v>596</v>
      </c>
      <c r="E26" s="64" t="s">
        <v>599</v>
      </c>
      <c r="F26" s="67" t="s">
        <v>418</v>
      </c>
      <c r="G26" s="64" t="s">
        <v>596</v>
      </c>
      <c r="H26" s="64" t="s">
        <v>600</v>
      </c>
      <c r="I26" s="67" t="s">
        <v>616</v>
      </c>
      <c r="J26" s="64" t="s">
        <v>596</v>
      </c>
      <c r="K26" s="64" t="s">
        <v>601</v>
      </c>
      <c r="L26" s="69">
        <v>43904</v>
      </c>
      <c r="M26" s="64" t="s">
        <v>596</v>
      </c>
      <c r="N26" s="64" t="s">
        <v>601</v>
      </c>
      <c r="O26" s="69">
        <v>43913</v>
      </c>
      <c r="P26" s="64" t="s">
        <v>596</v>
      </c>
      <c r="Q26" s="64" t="s">
        <v>602</v>
      </c>
      <c r="R26" s="69" t="s">
        <v>403</v>
      </c>
      <c r="S26" s="64" t="s">
        <v>596</v>
      </c>
      <c r="T26" s="64" t="s">
        <v>603</v>
      </c>
      <c r="U26" s="68" t="s">
        <v>419</v>
      </c>
      <c r="V26" s="64" t="s">
        <v>596</v>
      </c>
      <c r="W26" s="64" t="s">
        <v>604</v>
      </c>
      <c r="X26" s="68" t="s">
        <v>235</v>
      </c>
      <c r="Y26" s="65"/>
      <c r="Z26" s="70">
        <v>6</v>
      </c>
      <c r="AA26" s="71">
        <v>20000</v>
      </c>
      <c r="AB26" s="71">
        <f>Z26*AA26</f>
        <v>120000</v>
      </c>
      <c r="AC26" s="64">
        <v>50000</v>
      </c>
      <c r="AD26" s="64">
        <f>4*650</f>
        <v>2600</v>
      </c>
      <c r="AE26" s="64"/>
      <c r="AF26" s="64"/>
      <c r="AG26" s="65"/>
      <c r="AH26" s="64" t="s">
        <v>596</v>
      </c>
      <c r="AI26" s="66" t="s">
        <v>594</v>
      </c>
    </row>
    <row r="27" spans="1:35" s="56" customFormat="1" ht="37.5">
      <c r="A27" s="78" t="s">
        <v>597</v>
      </c>
      <c r="B27" s="64" t="s">
        <v>598</v>
      </c>
      <c r="C27" s="76">
        <v>25</v>
      </c>
      <c r="D27" s="64" t="s">
        <v>596</v>
      </c>
      <c r="E27" s="64" t="s">
        <v>599</v>
      </c>
      <c r="F27" s="67" t="s">
        <v>420</v>
      </c>
      <c r="G27" s="64" t="s">
        <v>596</v>
      </c>
      <c r="H27" s="64" t="s">
        <v>600</v>
      </c>
      <c r="I27" s="67" t="s">
        <v>376</v>
      </c>
      <c r="J27" s="64" t="s">
        <v>596</v>
      </c>
      <c r="K27" s="64" t="s">
        <v>601</v>
      </c>
      <c r="L27" s="69">
        <v>43904</v>
      </c>
      <c r="M27" s="64" t="s">
        <v>596</v>
      </c>
      <c r="N27" s="64" t="s">
        <v>601</v>
      </c>
      <c r="O27" s="69">
        <v>43904</v>
      </c>
      <c r="P27" s="64" t="s">
        <v>596</v>
      </c>
      <c r="Q27" s="64" t="s">
        <v>602</v>
      </c>
      <c r="R27" s="69" t="s">
        <v>361</v>
      </c>
      <c r="S27" s="64" t="s">
        <v>596</v>
      </c>
      <c r="T27" s="64" t="s">
        <v>603</v>
      </c>
      <c r="U27" s="68" t="s">
        <v>362</v>
      </c>
      <c r="V27" s="64" t="s">
        <v>596</v>
      </c>
      <c r="W27" s="64" t="s">
        <v>604</v>
      </c>
      <c r="X27" s="68" t="s">
        <v>421</v>
      </c>
      <c r="Y27" s="65"/>
      <c r="Z27" s="70"/>
      <c r="AA27" s="71"/>
      <c r="AB27" s="71"/>
      <c r="AC27" s="64"/>
      <c r="AD27" s="64"/>
      <c r="AE27" s="64"/>
      <c r="AF27" s="64"/>
      <c r="AG27" s="65"/>
      <c r="AH27" s="64" t="s">
        <v>596</v>
      </c>
      <c r="AI27" s="66" t="s">
        <v>594</v>
      </c>
    </row>
    <row r="28" spans="1:35" s="56" customFormat="1" ht="37.5">
      <c r="A28" s="78" t="s">
        <v>597</v>
      </c>
      <c r="B28" s="64" t="s">
        <v>598</v>
      </c>
      <c r="C28" s="76">
        <v>26</v>
      </c>
      <c r="D28" s="64" t="s">
        <v>596</v>
      </c>
      <c r="E28" s="64" t="s">
        <v>599</v>
      </c>
      <c r="F28" s="67" t="s">
        <v>422</v>
      </c>
      <c r="G28" s="64" t="s">
        <v>596</v>
      </c>
      <c r="H28" s="64" t="s">
        <v>600</v>
      </c>
      <c r="I28" s="67" t="s">
        <v>376</v>
      </c>
      <c r="J28" s="64" t="s">
        <v>596</v>
      </c>
      <c r="K28" s="64" t="s">
        <v>601</v>
      </c>
      <c r="L28" s="69">
        <v>43905</v>
      </c>
      <c r="M28" s="64" t="s">
        <v>596</v>
      </c>
      <c r="N28" s="64" t="s">
        <v>601</v>
      </c>
      <c r="O28" s="69">
        <v>43905</v>
      </c>
      <c r="P28" s="64" t="s">
        <v>596</v>
      </c>
      <c r="Q28" s="64" t="s">
        <v>602</v>
      </c>
      <c r="R28" s="69" t="s">
        <v>361</v>
      </c>
      <c r="S28" s="64" t="s">
        <v>596</v>
      </c>
      <c r="T28" s="64" t="s">
        <v>603</v>
      </c>
      <c r="U28" s="68" t="s">
        <v>362</v>
      </c>
      <c r="V28" s="64" t="s">
        <v>596</v>
      </c>
      <c r="W28" s="64" t="s">
        <v>604</v>
      </c>
      <c r="X28" s="68" t="s">
        <v>421</v>
      </c>
      <c r="Y28" s="65"/>
      <c r="Z28" s="70"/>
      <c r="AA28" s="71"/>
      <c r="AB28" s="71"/>
      <c r="AC28" s="64"/>
      <c r="AD28" s="64"/>
      <c r="AE28" s="64"/>
      <c r="AF28" s="64"/>
      <c r="AG28" s="65"/>
      <c r="AH28" s="64" t="s">
        <v>596</v>
      </c>
      <c r="AI28" s="66" t="s">
        <v>594</v>
      </c>
    </row>
    <row r="29" spans="1:35" s="56" customFormat="1" ht="37.5" hidden="1">
      <c r="A29" s="78" t="s">
        <v>597</v>
      </c>
      <c r="B29" s="64" t="s">
        <v>598</v>
      </c>
      <c r="C29" s="76">
        <v>27</v>
      </c>
      <c r="D29" s="64" t="s">
        <v>596</v>
      </c>
      <c r="E29" s="64" t="s">
        <v>599</v>
      </c>
      <c r="F29" s="67" t="s">
        <v>423</v>
      </c>
      <c r="G29" s="64" t="s">
        <v>596</v>
      </c>
      <c r="H29" s="64" t="s">
        <v>600</v>
      </c>
      <c r="I29" s="90" t="s">
        <v>424</v>
      </c>
      <c r="J29" s="64" t="s">
        <v>596</v>
      </c>
      <c r="K29" s="64" t="s">
        <v>601</v>
      </c>
      <c r="L29" s="69">
        <v>43910</v>
      </c>
      <c r="M29" s="64" t="s">
        <v>596</v>
      </c>
      <c r="N29" s="64" t="s">
        <v>601</v>
      </c>
      <c r="O29" s="69">
        <v>43916</v>
      </c>
      <c r="P29" s="64" t="s">
        <v>596</v>
      </c>
      <c r="Q29" s="64" t="s">
        <v>602</v>
      </c>
      <c r="R29" s="68" t="s">
        <v>366</v>
      </c>
      <c r="S29" s="64" t="s">
        <v>596</v>
      </c>
      <c r="T29" s="64" t="s">
        <v>603</v>
      </c>
      <c r="U29" s="68" t="s">
        <v>362</v>
      </c>
      <c r="V29" s="64" t="s">
        <v>596</v>
      </c>
      <c r="W29" s="64" t="s">
        <v>604</v>
      </c>
      <c r="X29" s="68" t="s">
        <v>390</v>
      </c>
      <c r="Y29" s="65"/>
      <c r="Z29" s="70"/>
      <c r="AA29" s="71"/>
      <c r="AB29" s="71"/>
      <c r="AC29" s="64"/>
      <c r="AD29" s="64"/>
      <c r="AE29" s="64"/>
      <c r="AF29" s="64"/>
      <c r="AG29" s="65"/>
      <c r="AH29" s="64" t="s">
        <v>596</v>
      </c>
      <c r="AI29" s="66" t="s">
        <v>594</v>
      </c>
    </row>
    <row r="30" spans="1:35" s="56" customFormat="1" ht="37.5" hidden="1">
      <c r="A30" s="78" t="s">
        <v>597</v>
      </c>
      <c r="B30" s="64" t="s">
        <v>598</v>
      </c>
      <c r="C30" s="76">
        <v>28</v>
      </c>
      <c r="D30" s="64" t="s">
        <v>596</v>
      </c>
      <c r="E30" s="64" t="s">
        <v>599</v>
      </c>
      <c r="F30" s="67" t="s">
        <v>425</v>
      </c>
      <c r="G30" s="64" t="s">
        <v>596</v>
      </c>
      <c r="H30" s="64" t="s">
        <v>600</v>
      </c>
      <c r="I30" s="90" t="s">
        <v>426</v>
      </c>
      <c r="J30" s="64" t="s">
        <v>596</v>
      </c>
      <c r="K30" s="64" t="s">
        <v>601</v>
      </c>
      <c r="L30" s="69">
        <v>43913</v>
      </c>
      <c r="M30" s="64" t="s">
        <v>596</v>
      </c>
      <c r="N30" s="64" t="s">
        <v>601</v>
      </c>
      <c r="O30" s="69">
        <v>43919</v>
      </c>
      <c r="P30" s="64" t="s">
        <v>596</v>
      </c>
      <c r="Q30" s="64" t="s">
        <v>602</v>
      </c>
      <c r="R30" s="68" t="s">
        <v>370</v>
      </c>
      <c r="S30" s="64" t="s">
        <v>596</v>
      </c>
      <c r="T30" s="64" t="s">
        <v>603</v>
      </c>
      <c r="U30" s="68" t="s">
        <v>371</v>
      </c>
      <c r="V30" s="64" t="s">
        <v>596</v>
      </c>
      <c r="W30" s="64" t="s">
        <v>604</v>
      </c>
      <c r="X30" s="68" t="s">
        <v>377</v>
      </c>
      <c r="Y30" s="65"/>
      <c r="Z30" s="70"/>
      <c r="AA30" s="71"/>
      <c r="AB30" s="71"/>
      <c r="AC30" s="64">
        <v>30000</v>
      </c>
      <c r="AD30" s="64">
        <f>4*650*5</f>
        <v>13000</v>
      </c>
      <c r="AE30" s="64"/>
      <c r="AF30" s="64"/>
      <c r="AG30" s="65"/>
      <c r="AH30" s="64" t="s">
        <v>596</v>
      </c>
      <c r="AI30" s="66" t="s">
        <v>594</v>
      </c>
    </row>
    <row r="31" spans="1:35" s="56" customFormat="1" ht="37.5" hidden="1">
      <c r="A31" s="78" t="s">
        <v>597</v>
      </c>
      <c r="B31" s="64" t="s">
        <v>598</v>
      </c>
      <c r="C31" s="76">
        <v>29</v>
      </c>
      <c r="D31" s="64" t="s">
        <v>596</v>
      </c>
      <c r="E31" s="64" t="s">
        <v>599</v>
      </c>
      <c r="F31" s="67" t="s">
        <v>427</v>
      </c>
      <c r="G31" s="64" t="s">
        <v>596</v>
      </c>
      <c r="H31" s="64" t="s">
        <v>600</v>
      </c>
      <c r="I31" s="90" t="s">
        <v>428</v>
      </c>
      <c r="J31" s="64" t="s">
        <v>596</v>
      </c>
      <c r="K31" s="64" t="s">
        <v>601</v>
      </c>
      <c r="L31" s="69">
        <v>43916</v>
      </c>
      <c r="M31" s="64" t="s">
        <v>596</v>
      </c>
      <c r="N31" s="64" t="s">
        <v>601</v>
      </c>
      <c r="O31" s="69">
        <v>43923</v>
      </c>
      <c r="P31" s="64" t="s">
        <v>596</v>
      </c>
      <c r="Q31" s="64" t="s">
        <v>602</v>
      </c>
      <c r="R31" s="69" t="s">
        <v>403</v>
      </c>
      <c r="S31" s="64" t="s">
        <v>596</v>
      </c>
      <c r="T31" s="64" t="s">
        <v>603</v>
      </c>
      <c r="U31" s="68" t="s">
        <v>429</v>
      </c>
      <c r="V31" s="64" t="s">
        <v>596</v>
      </c>
      <c r="W31" s="64" t="s">
        <v>604</v>
      </c>
      <c r="X31" s="68" t="s">
        <v>235</v>
      </c>
      <c r="Y31" s="65"/>
      <c r="Z31" s="70">
        <v>17</v>
      </c>
      <c r="AA31" s="71">
        <v>15000</v>
      </c>
      <c r="AB31" s="71">
        <f>Z31*AA31</f>
        <v>255000</v>
      </c>
      <c r="AC31" s="64"/>
      <c r="AD31" s="64"/>
      <c r="AE31" s="64"/>
      <c r="AF31" s="64"/>
      <c r="AG31" s="65"/>
      <c r="AH31" s="64" t="s">
        <v>596</v>
      </c>
      <c r="AI31" s="66" t="s">
        <v>594</v>
      </c>
    </row>
    <row r="32" spans="1:35" s="56" customFormat="1" ht="37.5" hidden="1">
      <c r="A32" s="78" t="s">
        <v>597</v>
      </c>
      <c r="B32" s="64" t="s">
        <v>598</v>
      </c>
      <c r="C32" s="76">
        <v>30</v>
      </c>
      <c r="D32" s="64" t="s">
        <v>596</v>
      </c>
      <c r="E32" s="64" t="s">
        <v>599</v>
      </c>
      <c r="F32" s="67" t="s">
        <v>430</v>
      </c>
      <c r="G32" s="64" t="s">
        <v>596</v>
      </c>
      <c r="H32" s="64" t="s">
        <v>600</v>
      </c>
      <c r="I32" s="92" t="s">
        <v>617</v>
      </c>
      <c r="J32" s="64" t="s">
        <v>596</v>
      </c>
      <c r="K32" s="64" t="s">
        <v>601</v>
      </c>
      <c r="L32" s="69">
        <v>43919</v>
      </c>
      <c r="M32" s="64" t="s">
        <v>596</v>
      </c>
      <c r="N32" s="64" t="s">
        <v>601</v>
      </c>
      <c r="O32" s="69">
        <v>43919</v>
      </c>
      <c r="P32" s="64" t="s">
        <v>596</v>
      </c>
      <c r="Q32" s="64" t="s">
        <v>602</v>
      </c>
      <c r="R32" s="69" t="s">
        <v>415</v>
      </c>
      <c r="S32" s="64" t="s">
        <v>596</v>
      </c>
      <c r="T32" s="64" t="s">
        <v>603</v>
      </c>
      <c r="U32" s="68" t="s">
        <v>362</v>
      </c>
      <c r="V32" s="64" t="s">
        <v>596</v>
      </c>
      <c r="W32" s="64" t="s">
        <v>604</v>
      </c>
      <c r="X32" s="68" t="s">
        <v>243</v>
      </c>
      <c r="Y32" s="65"/>
      <c r="Z32" s="70"/>
      <c r="AA32" s="71"/>
      <c r="AB32" s="71"/>
      <c r="AC32" s="64"/>
      <c r="AD32" s="64"/>
      <c r="AE32" s="64"/>
      <c r="AF32" s="64"/>
      <c r="AG32" s="65"/>
      <c r="AH32" s="64" t="s">
        <v>596</v>
      </c>
      <c r="AI32" s="66" t="s">
        <v>594</v>
      </c>
    </row>
    <row r="33" spans="1:35" s="56" customFormat="1" ht="37.5" hidden="1">
      <c r="A33" s="78" t="s">
        <v>597</v>
      </c>
      <c r="B33" s="64" t="s">
        <v>598</v>
      </c>
      <c r="C33" s="76">
        <v>31</v>
      </c>
      <c r="D33" s="64" t="s">
        <v>596</v>
      </c>
      <c r="E33" s="64" t="s">
        <v>599</v>
      </c>
      <c r="F33" s="67" t="s">
        <v>431</v>
      </c>
      <c r="G33" s="64" t="s">
        <v>596</v>
      </c>
      <c r="H33" s="64" t="s">
        <v>600</v>
      </c>
      <c r="I33" s="90" t="s">
        <v>432</v>
      </c>
      <c r="J33" s="64" t="s">
        <v>596</v>
      </c>
      <c r="K33" s="64" t="s">
        <v>601</v>
      </c>
      <c r="L33" s="69">
        <v>43922</v>
      </c>
      <c r="M33" s="64" t="s">
        <v>596</v>
      </c>
      <c r="N33" s="64" t="s">
        <v>601</v>
      </c>
      <c r="O33" s="69">
        <v>43951</v>
      </c>
      <c r="P33" s="64" t="s">
        <v>596</v>
      </c>
      <c r="Q33" s="64" t="s">
        <v>602</v>
      </c>
      <c r="R33" s="69" t="s">
        <v>403</v>
      </c>
      <c r="S33" s="64" t="s">
        <v>596</v>
      </c>
      <c r="T33" s="64" t="s">
        <v>603</v>
      </c>
      <c r="U33" s="68" t="s">
        <v>226</v>
      </c>
      <c r="V33" s="64" t="s">
        <v>596</v>
      </c>
      <c r="W33" s="64" t="s">
        <v>604</v>
      </c>
      <c r="X33" s="68" t="s">
        <v>235</v>
      </c>
      <c r="Y33" s="65"/>
      <c r="Z33" s="70"/>
      <c r="AA33" s="71"/>
      <c r="AB33" s="71"/>
      <c r="AC33" s="64"/>
      <c r="AD33" s="64"/>
      <c r="AE33" s="64"/>
      <c r="AF33" s="64"/>
      <c r="AG33" s="65"/>
      <c r="AH33" s="64" t="s">
        <v>596</v>
      </c>
      <c r="AI33" s="66" t="s">
        <v>594</v>
      </c>
    </row>
    <row r="34" spans="1:35" s="56" customFormat="1" ht="56.25">
      <c r="A34" s="78" t="s">
        <v>597</v>
      </c>
      <c r="B34" s="64" t="s">
        <v>598</v>
      </c>
      <c r="C34" s="76">
        <v>32</v>
      </c>
      <c r="D34" s="64" t="s">
        <v>596</v>
      </c>
      <c r="E34" s="64" t="s">
        <v>599</v>
      </c>
      <c r="F34" s="67" t="s">
        <v>433</v>
      </c>
      <c r="G34" s="64" t="s">
        <v>596</v>
      </c>
      <c r="H34" s="64" t="s">
        <v>600</v>
      </c>
      <c r="I34" s="67"/>
      <c r="J34" s="64" t="s">
        <v>596</v>
      </c>
      <c r="K34" s="64" t="s">
        <v>601</v>
      </c>
      <c r="L34" s="69">
        <v>43922</v>
      </c>
      <c r="M34" s="64" t="s">
        <v>596</v>
      </c>
      <c r="N34" s="64" t="s">
        <v>601</v>
      </c>
      <c r="O34" s="69">
        <v>43951</v>
      </c>
      <c r="P34" s="64" t="s">
        <v>596</v>
      </c>
      <c r="Q34" s="64" t="s">
        <v>602</v>
      </c>
      <c r="R34" s="69" t="s">
        <v>403</v>
      </c>
      <c r="S34" s="64" t="s">
        <v>596</v>
      </c>
      <c r="T34" s="64" t="s">
        <v>603</v>
      </c>
      <c r="U34" s="68" t="s">
        <v>226</v>
      </c>
      <c r="V34" s="64" t="s">
        <v>596</v>
      </c>
      <c r="W34" s="64" t="s">
        <v>604</v>
      </c>
      <c r="X34" s="68" t="s">
        <v>235</v>
      </c>
      <c r="Y34" s="65"/>
      <c r="Z34" s="70"/>
      <c r="AA34" s="71"/>
      <c r="AB34" s="71"/>
      <c r="AC34" s="64"/>
      <c r="AD34" s="64"/>
      <c r="AE34" s="64"/>
      <c r="AF34" s="64"/>
      <c r="AG34" s="65"/>
      <c r="AH34" s="64" t="s">
        <v>596</v>
      </c>
      <c r="AI34" s="66" t="s">
        <v>594</v>
      </c>
    </row>
    <row r="35" spans="1:35" s="56" customFormat="1" ht="75" hidden="1">
      <c r="A35" s="78" t="s">
        <v>597</v>
      </c>
      <c r="B35" s="64" t="s">
        <v>598</v>
      </c>
      <c r="C35" s="76">
        <v>33</v>
      </c>
      <c r="D35" s="64" t="s">
        <v>596</v>
      </c>
      <c r="E35" s="64" t="s">
        <v>599</v>
      </c>
      <c r="F35" s="67" t="s">
        <v>434</v>
      </c>
      <c r="G35" s="64" t="s">
        <v>596</v>
      </c>
      <c r="H35" s="64" t="s">
        <v>600</v>
      </c>
      <c r="I35" s="90" t="s">
        <v>435</v>
      </c>
      <c r="J35" s="64" t="s">
        <v>596</v>
      </c>
      <c r="K35" s="64" t="s">
        <v>601</v>
      </c>
      <c r="L35" s="69">
        <v>43922</v>
      </c>
      <c r="M35" s="64" t="s">
        <v>596</v>
      </c>
      <c r="N35" s="64" t="s">
        <v>601</v>
      </c>
      <c r="O35" s="69">
        <v>43925</v>
      </c>
      <c r="P35" s="64" t="s">
        <v>596</v>
      </c>
      <c r="Q35" s="64" t="s">
        <v>602</v>
      </c>
      <c r="R35" s="68" t="s">
        <v>366</v>
      </c>
      <c r="S35" s="64" t="s">
        <v>596</v>
      </c>
      <c r="T35" s="64" t="s">
        <v>603</v>
      </c>
      <c r="U35" s="68" t="s">
        <v>362</v>
      </c>
      <c r="V35" s="64" t="s">
        <v>596</v>
      </c>
      <c r="W35" s="64" t="s">
        <v>604</v>
      </c>
      <c r="X35" s="68" t="s">
        <v>368</v>
      </c>
      <c r="Y35" s="65"/>
      <c r="Z35" s="70"/>
      <c r="AA35" s="71"/>
      <c r="AB35" s="71"/>
      <c r="AC35" s="64"/>
      <c r="AD35" s="64"/>
      <c r="AE35" s="64"/>
      <c r="AF35" s="64"/>
      <c r="AG35" s="65"/>
      <c r="AH35" s="64" t="s">
        <v>596</v>
      </c>
      <c r="AI35" s="66" t="s">
        <v>594</v>
      </c>
    </row>
    <row r="36" spans="1:35" s="56" customFormat="1" ht="37.5" hidden="1">
      <c r="A36" s="78" t="s">
        <v>597</v>
      </c>
      <c r="B36" s="64" t="s">
        <v>598</v>
      </c>
      <c r="C36" s="76">
        <v>34</v>
      </c>
      <c r="D36" s="64" t="s">
        <v>596</v>
      </c>
      <c r="E36" s="64" t="s">
        <v>599</v>
      </c>
      <c r="F36" s="67" t="s">
        <v>436</v>
      </c>
      <c r="G36" s="64" t="s">
        <v>596</v>
      </c>
      <c r="H36" s="64" t="s">
        <v>600</v>
      </c>
      <c r="I36" s="93" t="s">
        <v>437</v>
      </c>
      <c r="J36" s="64" t="s">
        <v>596</v>
      </c>
      <c r="K36" s="64" t="s">
        <v>601</v>
      </c>
      <c r="L36" s="69">
        <v>43926</v>
      </c>
      <c r="M36" s="64" t="s">
        <v>596</v>
      </c>
      <c r="N36" s="64" t="s">
        <v>601</v>
      </c>
      <c r="O36" s="69">
        <v>43929</v>
      </c>
      <c r="P36" s="64" t="s">
        <v>596</v>
      </c>
      <c r="Q36" s="64" t="s">
        <v>602</v>
      </c>
      <c r="R36" s="68" t="s">
        <v>389</v>
      </c>
      <c r="S36" s="64" t="s">
        <v>596</v>
      </c>
      <c r="T36" s="64" t="s">
        <v>603</v>
      </c>
      <c r="U36" s="68" t="s">
        <v>362</v>
      </c>
      <c r="V36" s="64" t="s">
        <v>596</v>
      </c>
      <c r="W36" s="64" t="s">
        <v>604</v>
      </c>
      <c r="X36" s="68" t="s">
        <v>396</v>
      </c>
      <c r="Y36" s="65"/>
      <c r="Z36" s="70">
        <f>34*5</f>
        <v>170</v>
      </c>
      <c r="AA36" s="71">
        <f>700*4</f>
        <v>2800</v>
      </c>
      <c r="AB36" s="71">
        <f>Z36*AA36</f>
        <v>476000</v>
      </c>
      <c r="AC36" s="64"/>
      <c r="AD36" s="64">
        <f>8*400*4</f>
        <v>12800</v>
      </c>
      <c r="AE36" s="64">
        <f>200*700*4</f>
        <v>560000</v>
      </c>
      <c r="AF36" s="64"/>
      <c r="AG36" s="65"/>
      <c r="AH36" s="64" t="s">
        <v>596</v>
      </c>
      <c r="AI36" s="66" t="s">
        <v>594</v>
      </c>
    </row>
    <row r="37" spans="1:35" s="56" customFormat="1" ht="37.5" hidden="1">
      <c r="A37" s="78" t="s">
        <v>597</v>
      </c>
      <c r="B37" s="64" t="s">
        <v>598</v>
      </c>
      <c r="C37" s="76">
        <v>35</v>
      </c>
      <c r="D37" s="64" t="s">
        <v>596</v>
      </c>
      <c r="E37" s="64" t="s">
        <v>599</v>
      </c>
      <c r="F37" s="67" t="s">
        <v>438</v>
      </c>
      <c r="G37" s="64" t="s">
        <v>596</v>
      </c>
      <c r="H37" s="64" t="s">
        <v>600</v>
      </c>
      <c r="I37" s="90" t="s">
        <v>426</v>
      </c>
      <c r="J37" s="64" t="s">
        <v>596</v>
      </c>
      <c r="K37" s="64" t="s">
        <v>601</v>
      </c>
      <c r="L37" s="69">
        <v>43930</v>
      </c>
      <c r="M37" s="64" t="s">
        <v>596</v>
      </c>
      <c r="N37" s="64" t="s">
        <v>601</v>
      </c>
      <c r="O37" s="69">
        <v>43933</v>
      </c>
      <c r="P37" s="64" t="s">
        <v>596</v>
      </c>
      <c r="Q37" s="64" t="s">
        <v>602</v>
      </c>
      <c r="R37" s="75" t="s">
        <v>439</v>
      </c>
      <c r="S37" s="64" t="s">
        <v>596</v>
      </c>
      <c r="T37" s="64" t="s">
        <v>603</v>
      </c>
      <c r="U37" s="68" t="s">
        <v>362</v>
      </c>
      <c r="V37" s="64" t="s">
        <v>596</v>
      </c>
      <c r="W37" s="64" t="s">
        <v>604</v>
      </c>
      <c r="X37" s="68" t="s">
        <v>440</v>
      </c>
      <c r="Y37" s="65"/>
      <c r="Z37" s="70"/>
      <c r="AA37" s="71"/>
      <c r="AB37" s="71"/>
      <c r="AC37" s="64"/>
      <c r="AD37" s="64"/>
      <c r="AE37" s="64"/>
      <c r="AF37" s="64"/>
      <c r="AG37" s="65"/>
      <c r="AH37" s="64" t="s">
        <v>596</v>
      </c>
      <c r="AI37" s="66" t="s">
        <v>594</v>
      </c>
    </row>
    <row r="38" spans="1:35" s="56" customFormat="1" ht="37.5" hidden="1">
      <c r="A38" s="78" t="s">
        <v>597</v>
      </c>
      <c r="B38" s="64" t="s">
        <v>598</v>
      </c>
      <c r="C38" s="76">
        <v>36</v>
      </c>
      <c r="D38" s="64" t="s">
        <v>596</v>
      </c>
      <c r="E38" s="64" t="s">
        <v>599</v>
      </c>
      <c r="F38" s="67" t="s">
        <v>441</v>
      </c>
      <c r="G38" s="64" t="s">
        <v>596</v>
      </c>
      <c r="H38" s="64" t="s">
        <v>600</v>
      </c>
      <c r="I38" s="90" t="s">
        <v>426</v>
      </c>
      <c r="J38" s="64" t="s">
        <v>596</v>
      </c>
      <c r="K38" s="64" t="s">
        <v>601</v>
      </c>
      <c r="L38" s="69">
        <v>43938</v>
      </c>
      <c r="M38" s="64" t="s">
        <v>596</v>
      </c>
      <c r="N38" s="64" t="s">
        <v>601</v>
      </c>
      <c r="O38" s="69">
        <v>43951</v>
      </c>
      <c r="P38" s="64" t="s">
        <v>596</v>
      </c>
      <c r="Q38" s="64" t="s">
        <v>602</v>
      </c>
      <c r="R38" s="68" t="s">
        <v>366</v>
      </c>
      <c r="S38" s="64" t="s">
        <v>596</v>
      </c>
      <c r="T38" s="64" t="s">
        <v>603</v>
      </c>
      <c r="U38" s="68" t="s">
        <v>406</v>
      </c>
      <c r="V38" s="64" t="s">
        <v>596</v>
      </c>
      <c r="W38" s="64" t="s">
        <v>604</v>
      </c>
      <c r="X38" s="68" t="s">
        <v>368</v>
      </c>
      <c r="Y38" s="65"/>
      <c r="Z38" s="70"/>
      <c r="AA38" s="71"/>
      <c r="AB38" s="71"/>
      <c r="AC38" s="64"/>
      <c r="AD38" s="64"/>
      <c r="AE38" s="64"/>
      <c r="AF38" s="64"/>
      <c r="AG38" s="65"/>
      <c r="AH38" s="64" t="s">
        <v>596</v>
      </c>
      <c r="AI38" s="66" t="s">
        <v>594</v>
      </c>
    </row>
    <row r="39" spans="1:35" s="56" customFormat="1" ht="56.25" hidden="1">
      <c r="A39" s="78" t="s">
        <v>597</v>
      </c>
      <c r="B39" s="64" t="s">
        <v>598</v>
      </c>
      <c r="C39" s="76">
        <v>37</v>
      </c>
      <c r="D39" s="64" t="s">
        <v>596</v>
      </c>
      <c r="E39" s="64" t="s">
        <v>599</v>
      </c>
      <c r="F39" s="67" t="s">
        <v>442</v>
      </c>
      <c r="G39" s="64" t="s">
        <v>596</v>
      </c>
      <c r="H39" s="64" t="s">
        <v>600</v>
      </c>
      <c r="I39" s="93" t="s">
        <v>443</v>
      </c>
      <c r="J39" s="64" t="s">
        <v>596</v>
      </c>
      <c r="K39" s="64" t="s">
        <v>601</v>
      </c>
      <c r="L39" s="69">
        <v>43939</v>
      </c>
      <c r="M39" s="64" t="s">
        <v>596</v>
      </c>
      <c r="N39" s="64" t="s">
        <v>601</v>
      </c>
      <c r="O39" s="69">
        <v>43939</v>
      </c>
      <c r="P39" s="64" t="s">
        <v>596</v>
      </c>
      <c r="Q39" s="64" t="s">
        <v>602</v>
      </c>
      <c r="R39" s="69" t="s">
        <v>389</v>
      </c>
      <c r="S39" s="64" t="s">
        <v>596</v>
      </c>
      <c r="T39" s="64" t="s">
        <v>603</v>
      </c>
      <c r="U39" s="68" t="s">
        <v>444</v>
      </c>
      <c r="V39" s="64" t="s">
        <v>596</v>
      </c>
      <c r="W39" s="64" t="s">
        <v>604</v>
      </c>
      <c r="X39" s="68" t="s">
        <v>396</v>
      </c>
      <c r="Y39" s="65"/>
      <c r="Z39" s="70">
        <v>10</v>
      </c>
      <c r="AA39" s="71">
        <v>40000</v>
      </c>
      <c r="AB39" s="71">
        <f>Z39*AA39</f>
        <v>400000</v>
      </c>
      <c r="AC39" s="64"/>
      <c r="AD39" s="64"/>
      <c r="AE39" s="64">
        <f>8*25000</f>
        <v>200000</v>
      </c>
      <c r="AF39" s="64"/>
      <c r="AG39" s="65"/>
      <c r="AH39" s="64" t="s">
        <v>596</v>
      </c>
      <c r="AI39" s="66" t="s">
        <v>594</v>
      </c>
    </row>
    <row r="40" spans="1:35" s="56" customFormat="1" ht="60.75" hidden="1" customHeight="1">
      <c r="A40" s="78" t="s">
        <v>597</v>
      </c>
      <c r="B40" s="64" t="s">
        <v>598</v>
      </c>
      <c r="C40" s="76">
        <v>38</v>
      </c>
      <c r="D40" s="64" t="s">
        <v>596</v>
      </c>
      <c r="E40" s="64" t="s">
        <v>599</v>
      </c>
      <c r="F40" s="67" t="s">
        <v>445</v>
      </c>
      <c r="G40" s="64" t="s">
        <v>596</v>
      </c>
      <c r="H40" s="64" t="s">
        <v>600</v>
      </c>
      <c r="I40" s="93" t="s">
        <v>443</v>
      </c>
      <c r="J40" s="64" t="s">
        <v>596</v>
      </c>
      <c r="K40" s="64" t="s">
        <v>601</v>
      </c>
      <c r="L40" s="69">
        <v>43939</v>
      </c>
      <c r="M40" s="64" t="s">
        <v>596</v>
      </c>
      <c r="N40" s="64" t="s">
        <v>601</v>
      </c>
      <c r="O40" s="69">
        <v>43939</v>
      </c>
      <c r="P40" s="64" t="s">
        <v>596</v>
      </c>
      <c r="Q40" s="64" t="s">
        <v>602</v>
      </c>
      <c r="R40" s="69" t="s">
        <v>389</v>
      </c>
      <c r="S40" s="64" t="s">
        <v>596</v>
      </c>
      <c r="T40" s="64" t="s">
        <v>603</v>
      </c>
      <c r="U40" s="68" t="s">
        <v>446</v>
      </c>
      <c r="V40" s="64" t="s">
        <v>596</v>
      </c>
      <c r="W40" s="64" t="s">
        <v>604</v>
      </c>
      <c r="X40" s="68" t="s">
        <v>396</v>
      </c>
      <c r="Y40" s="65"/>
      <c r="Z40" s="70"/>
      <c r="AA40" s="71"/>
      <c r="AB40" s="71"/>
      <c r="AC40" s="64"/>
      <c r="AD40" s="64"/>
      <c r="AE40" s="64"/>
      <c r="AF40" s="64"/>
      <c r="AG40" s="65"/>
      <c r="AH40" s="64" t="s">
        <v>596</v>
      </c>
      <c r="AI40" s="66" t="s">
        <v>594</v>
      </c>
    </row>
    <row r="41" spans="1:35" s="56" customFormat="1" ht="60.75" hidden="1" customHeight="1">
      <c r="A41" s="78" t="s">
        <v>597</v>
      </c>
      <c r="B41" s="64" t="s">
        <v>598</v>
      </c>
      <c r="C41" s="76">
        <v>39</v>
      </c>
      <c r="D41" s="64" t="s">
        <v>596</v>
      </c>
      <c r="E41" s="64" t="s">
        <v>599</v>
      </c>
      <c r="F41" s="67" t="s">
        <v>447</v>
      </c>
      <c r="G41" s="64" t="s">
        <v>596</v>
      </c>
      <c r="H41" s="64" t="s">
        <v>600</v>
      </c>
      <c r="I41" s="93" t="s">
        <v>443</v>
      </c>
      <c r="J41" s="64" t="s">
        <v>596</v>
      </c>
      <c r="K41" s="64" t="s">
        <v>601</v>
      </c>
      <c r="L41" s="69">
        <v>43940</v>
      </c>
      <c r="M41" s="64" t="s">
        <v>596</v>
      </c>
      <c r="N41" s="64" t="s">
        <v>601</v>
      </c>
      <c r="O41" s="69">
        <v>43940</v>
      </c>
      <c r="P41" s="64" t="s">
        <v>596</v>
      </c>
      <c r="Q41" s="64" t="s">
        <v>602</v>
      </c>
      <c r="R41" s="69" t="s">
        <v>389</v>
      </c>
      <c r="S41" s="64" t="s">
        <v>596</v>
      </c>
      <c r="T41" s="64" t="s">
        <v>603</v>
      </c>
      <c r="U41" s="68" t="s">
        <v>444</v>
      </c>
      <c r="V41" s="64" t="s">
        <v>596</v>
      </c>
      <c r="W41" s="64" t="s">
        <v>604</v>
      </c>
      <c r="X41" s="68" t="s">
        <v>396</v>
      </c>
      <c r="Y41" s="65"/>
      <c r="Z41" s="70"/>
      <c r="AA41" s="71"/>
      <c r="AB41" s="71"/>
      <c r="AC41" s="64"/>
      <c r="AD41" s="64"/>
      <c r="AE41" s="64"/>
      <c r="AF41" s="64"/>
      <c r="AG41" s="65"/>
      <c r="AH41" s="64" t="s">
        <v>596</v>
      </c>
      <c r="AI41" s="66" t="s">
        <v>594</v>
      </c>
    </row>
    <row r="42" spans="1:35" s="56" customFormat="1" ht="58.5" hidden="1" customHeight="1">
      <c r="A42" s="78" t="s">
        <v>597</v>
      </c>
      <c r="B42" s="64" t="s">
        <v>598</v>
      </c>
      <c r="C42" s="76">
        <v>40</v>
      </c>
      <c r="D42" s="64" t="s">
        <v>596</v>
      </c>
      <c r="E42" s="64" t="s">
        <v>599</v>
      </c>
      <c r="F42" s="67" t="s">
        <v>448</v>
      </c>
      <c r="G42" s="64" t="s">
        <v>596</v>
      </c>
      <c r="H42" s="64" t="s">
        <v>600</v>
      </c>
      <c r="I42" s="93" t="s">
        <v>443</v>
      </c>
      <c r="J42" s="64" t="s">
        <v>596</v>
      </c>
      <c r="K42" s="64" t="s">
        <v>601</v>
      </c>
      <c r="L42" s="69">
        <v>43940</v>
      </c>
      <c r="M42" s="64" t="s">
        <v>596</v>
      </c>
      <c r="N42" s="64" t="s">
        <v>601</v>
      </c>
      <c r="O42" s="69">
        <v>43940</v>
      </c>
      <c r="P42" s="64" t="s">
        <v>596</v>
      </c>
      <c r="Q42" s="64" t="s">
        <v>602</v>
      </c>
      <c r="R42" s="69" t="s">
        <v>389</v>
      </c>
      <c r="S42" s="64" t="s">
        <v>596</v>
      </c>
      <c r="T42" s="64" t="s">
        <v>603</v>
      </c>
      <c r="U42" s="68" t="s">
        <v>446</v>
      </c>
      <c r="V42" s="64" t="s">
        <v>596</v>
      </c>
      <c r="W42" s="64" t="s">
        <v>604</v>
      </c>
      <c r="X42" s="68" t="s">
        <v>396</v>
      </c>
      <c r="Y42" s="65"/>
      <c r="Z42" s="70"/>
      <c r="AA42" s="71"/>
      <c r="AB42" s="71"/>
      <c r="AC42" s="64"/>
      <c r="AD42" s="64"/>
      <c r="AE42" s="64"/>
      <c r="AF42" s="64"/>
      <c r="AG42" s="65"/>
      <c r="AH42" s="64" t="s">
        <v>596</v>
      </c>
      <c r="AI42" s="66" t="s">
        <v>594</v>
      </c>
    </row>
    <row r="43" spans="1:35" s="56" customFormat="1" ht="61.5" hidden="1" customHeight="1">
      <c r="A43" s="78" t="s">
        <v>597</v>
      </c>
      <c r="B43" s="64" t="s">
        <v>598</v>
      </c>
      <c r="C43" s="76">
        <v>41</v>
      </c>
      <c r="D43" s="64" t="s">
        <v>596</v>
      </c>
      <c r="E43" s="64" t="s">
        <v>599</v>
      </c>
      <c r="F43" s="67" t="s">
        <v>449</v>
      </c>
      <c r="G43" s="64" t="s">
        <v>596</v>
      </c>
      <c r="H43" s="64" t="s">
        <v>600</v>
      </c>
      <c r="I43" s="90" t="s">
        <v>626</v>
      </c>
      <c r="J43" s="64" t="s">
        <v>596</v>
      </c>
      <c r="K43" s="64" t="s">
        <v>601</v>
      </c>
      <c r="L43" s="69">
        <v>43944</v>
      </c>
      <c r="M43" s="64" t="s">
        <v>596</v>
      </c>
      <c r="N43" s="64" t="s">
        <v>601</v>
      </c>
      <c r="O43" s="69">
        <v>43947</v>
      </c>
      <c r="P43" s="64" t="s">
        <v>596</v>
      </c>
      <c r="Q43" s="64" t="s">
        <v>602</v>
      </c>
      <c r="R43" s="69" t="s">
        <v>366</v>
      </c>
      <c r="S43" s="64" t="s">
        <v>596</v>
      </c>
      <c r="T43" s="64" t="s">
        <v>603</v>
      </c>
      <c r="U43" s="68" t="s">
        <v>362</v>
      </c>
      <c r="V43" s="64" t="s">
        <v>596</v>
      </c>
      <c r="W43" s="64" t="s">
        <v>604</v>
      </c>
      <c r="X43" s="68" t="s">
        <v>368</v>
      </c>
      <c r="Y43" s="65"/>
      <c r="Z43" s="70"/>
      <c r="AA43" s="71"/>
      <c r="AB43" s="71"/>
      <c r="AC43" s="64"/>
      <c r="AD43" s="64"/>
      <c r="AE43" s="64"/>
      <c r="AF43" s="64"/>
      <c r="AG43" s="65"/>
      <c r="AH43" s="64" t="s">
        <v>596</v>
      </c>
      <c r="AI43" s="66" t="s">
        <v>594</v>
      </c>
    </row>
    <row r="44" spans="1:35" s="56" customFormat="1" ht="61.5" hidden="1" customHeight="1">
      <c r="A44" s="78" t="s">
        <v>597</v>
      </c>
      <c r="B44" s="64" t="s">
        <v>598</v>
      </c>
      <c r="C44" s="76">
        <v>42</v>
      </c>
      <c r="D44" s="64" t="s">
        <v>596</v>
      </c>
      <c r="E44" s="64" t="s">
        <v>599</v>
      </c>
      <c r="F44" s="67" t="s">
        <v>450</v>
      </c>
      <c r="G44" s="64" t="s">
        <v>596</v>
      </c>
      <c r="H44" s="64" t="s">
        <v>600</v>
      </c>
      <c r="I44" s="90" t="s">
        <v>618</v>
      </c>
      <c r="J44" s="64" t="s">
        <v>596</v>
      </c>
      <c r="K44" s="64" t="s">
        <v>601</v>
      </c>
      <c r="L44" s="69">
        <v>43949</v>
      </c>
      <c r="M44" s="64" t="s">
        <v>596</v>
      </c>
      <c r="N44" s="64" t="s">
        <v>601</v>
      </c>
      <c r="O44" s="69">
        <v>43951</v>
      </c>
      <c r="P44" s="64" t="s">
        <v>596</v>
      </c>
      <c r="Q44" s="64" t="s">
        <v>602</v>
      </c>
      <c r="R44" s="69" t="s">
        <v>439</v>
      </c>
      <c r="S44" s="64" t="s">
        <v>596</v>
      </c>
      <c r="T44" s="64" t="s">
        <v>603</v>
      </c>
      <c r="U44" s="68" t="s">
        <v>451</v>
      </c>
      <c r="V44" s="64" t="s">
        <v>596</v>
      </c>
      <c r="W44" s="64" t="s">
        <v>604</v>
      </c>
      <c r="X44" s="68" t="s">
        <v>440</v>
      </c>
      <c r="Y44" s="65"/>
      <c r="Z44" s="70"/>
      <c r="AA44" s="71"/>
      <c r="AB44" s="71"/>
      <c r="AC44" s="64"/>
      <c r="AD44" s="64"/>
      <c r="AE44" s="64"/>
      <c r="AF44" s="64"/>
      <c r="AG44" s="65"/>
      <c r="AH44" s="64" t="s">
        <v>596</v>
      </c>
      <c r="AI44" s="66" t="s">
        <v>594</v>
      </c>
    </row>
    <row r="45" spans="1:35" s="56" customFormat="1" ht="61.5" customHeight="1">
      <c r="A45" s="78" t="s">
        <v>597</v>
      </c>
      <c r="B45" s="64" t="s">
        <v>598</v>
      </c>
      <c r="C45" s="76">
        <v>43</v>
      </c>
      <c r="D45" s="64" t="s">
        <v>596</v>
      </c>
      <c r="E45" s="64" t="s">
        <v>599</v>
      </c>
      <c r="F45" s="67" t="s">
        <v>452</v>
      </c>
      <c r="G45" s="64" t="s">
        <v>596</v>
      </c>
      <c r="H45" s="64" t="s">
        <v>600</v>
      </c>
      <c r="I45" s="67" t="s">
        <v>453</v>
      </c>
      <c r="J45" s="64" t="s">
        <v>596</v>
      </c>
      <c r="K45" s="64" t="s">
        <v>601</v>
      </c>
      <c r="L45" s="69">
        <v>43951</v>
      </c>
      <c r="M45" s="64" t="s">
        <v>596</v>
      </c>
      <c r="N45" s="64" t="s">
        <v>601</v>
      </c>
      <c r="O45" s="69">
        <v>43961</v>
      </c>
      <c r="P45" s="64" t="s">
        <v>596</v>
      </c>
      <c r="Q45" s="64" t="s">
        <v>602</v>
      </c>
      <c r="R45" s="68" t="s">
        <v>370</v>
      </c>
      <c r="S45" s="64" t="s">
        <v>596</v>
      </c>
      <c r="T45" s="64" t="s">
        <v>603</v>
      </c>
      <c r="U45" s="68" t="s">
        <v>406</v>
      </c>
      <c r="V45" s="64" t="s">
        <v>596</v>
      </c>
      <c r="W45" s="64" t="s">
        <v>604</v>
      </c>
      <c r="X45" s="68" t="s">
        <v>368</v>
      </c>
      <c r="Y45" s="65"/>
      <c r="Z45" s="70"/>
      <c r="AA45" s="71"/>
      <c r="AB45" s="71"/>
      <c r="AC45" s="64"/>
      <c r="AD45" s="64"/>
      <c r="AE45" s="64"/>
      <c r="AF45" s="64"/>
      <c r="AG45" s="65"/>
      <c r="AH45" s="64" t="s">
        <v>596</v>
      </c>
      <c r="AI45" s="66" t="s">
        <v>594</v>
      </c>
    </row>
    <row r="46" spans="1:35" s="56" customFormat="1" ht="37.5" hidden="1">
      <c r="A46" s="78" t="s">
        <v>597</v>
      </c>
      <c r="B46" s="64" t="s">
        <v>598</v>
      </c>
      <c r="C46" s="76">
        <v>44</v>
      </c>
      <c r="D46" s="64" t="s">
        <v>596</v>
      </c>
      <c r="E46" s="64" t="s">
        <v>599</v>
      </c>
      <c r="F46" s="67" t="s">
        <v>454</v>
      </c>
      <c r="G46" s="64" t="s">
        <v>596</v>
      </c>
      <c r="H46" s="64" t="s">
        <v>600</v>
      </c>
      <c r="I46" s="90" t="s">
        <v>426</v>
      </c>
      <c r="J46" s="64" t="s">
        <v>596</v>
      </c>
      <c r="K46" s="64" t="s">
        <v>601</v>
      </c>
      <c r="L46" s="69">
        <v>43953</v>
      </c>
      <c r="M46" s="64" t="s">
        <v>596</v>
      </c>
      <c r="N46" s="64" t="s">
        <v>601</v>
      </c>
      <c r="O46" s="69">
        <v>43959</v>
      </c>
      <c r="P46" s="64" t="s">
        <v>596</v>
      </c>
      <c r="Q46" s="64" t="s">
        <v>602</v>
      </c>
      <c r="R46" s="68" t="s">
        <v>366</v>
      </c>
      <c r="S46" s="64" t="s">
        <v>596</v>
      </c>
      <c r="T46" s="64" t="s">
        <v>603</v>
      </c>
      <c r="U46" s="68" t="s">
        <v>362</v>
      </c>
      <c r="V46" s="64" t="s">
        <v>596</v>
      </c>
      <c r="W46" s="64" t="s">
        <v>604</v>
      </c>
      <c r="X46" s="68" t="s">
        <v>368</v>
      </c>
      <c r="Y46" s="65"/>
      <c r="Z46" s="70">
        <v>8</v>
      </c>
      <c r="AA46" s="71">
        <v>40000</v>
      </c>
      <c r="AB46" s="71">
        <f>Z46*AA46</f>
        <v>320000</v>
      </c>
      <c r="AC46" s="64"/>
      <c r="AD46" s="64"/>
      <c r="AE46" s="64">
        <f>5*40000</f>
        <v>200000</v>
      </c>
      <c r="AF46" s="64"/>
      <c r="AG46" s="65"/>
      <c r="AH46" s="64" t="s">
        <v>596</v>
      </c>
      <c r="AI46" s="66" t="s">
        <v>594</v>
      </c>
    </row>
    <row r="47" spans="1:35" s="56" customFormat="1" hidden="1">
      <c r="A47" s="78" t="s">
        <v>597</v>
      </c>
      <c r="B47" s="64" t="s">
        <v>598</v>
      </c>
      <c r="C47" s="76">
        <v>45</v>
      </c>
      <c r="D47" s="64" t="s">
        <v>596</v>
      </c>
      <c r="E47" s="64" t="s">
        <v>599</v>
      </c>
      <c r="F47" s="67" t="s">
        <v>455</v>
      </c>
      <c r="G47" s="64" t="s">
        <v>596</v>
      </c>
      <c r="H47" s="64" t="s">
        <v>600</v>
      </c>
      <c r="I47" s="91" t="s">
        <v>456</v>
      </c>
      <c r="J47" s="64" t="s">
        <v>596</v>
      </c>
      <c r="K47" s="64" t="s">
        <v>601</v>
      </c>
      <c r="L47" s="69">
        <v>43960</v>
      </c>
      <c r="M47" s="64" t="s">
        <v>596</v>
      </c>
      <c r="N47" s="64" t="s">
        <v>601</v>
      </c>
      <c r="O47" s="69">
        <v>43960</v>
      </c>
      <c r="P47" s="64" t="s">
        <v>596</v>
      </c>
      <c r="Q47" s="64" t="s">
        <v>602</v>
      </c>
      <c r="R47" s="69" t="s">
        <v>379</v>
      </c>
      <c r="S47" s="64" t="s">
        <v>596</v>
      </c>
      <c r="T47" s="64" t="s">
        <v>603</v>
      </c>
      <c r="U47" s="68" t="s">
        <v>362</v>
      </c>
      <c r="V47" s="64" t="s">
        <v>596</v>
      </c>
      <c r="W47" s="64" t="s">
        <v>604</v>
      </c>
      <c r="X47" s="68" t="s">
        <v>457</v>
      </c>
      <c r="Y47" s="65"/>
      <c r="Z47" s="70"/>
      <c r="AA47" s="71"/>
      <c r="AB47" s="71"/>
      <c r="AC47" s="64">
        <v>40000</v>
      </c>
      <c r="AD47" s="64"/>
      <c r="AE47" s="64"/>
      <c r="AF47" s="64"/>
      <c r="AG47" s="65"/>
      <c r="AH47" s="64" t="s">
        <v>596</v>
      </c>
      <c r="AI47" s="66" t="s">
        <v>594</v>
      </c>
    </row>
    <row r="48" spans="1:35" s="56" customFormat="1" ht="37.5" hidden="1">
      <c r="A48" s="78" t="s">
        <v>597</v>
      </c>
      <c r="B48" s="64" t="s">
        <v>598</v>
      </c>
      <c r="C48" s="76">
        <v>46</v>
      </c>
      <c r="D48" s="64" t="s">
        <v>596</v>
      </c>
      <c r="E48" s="64" t="s">
        <v>599</v>
      </c>
      <c r="F48" s="67" t="s">
        <v>458</v>
      </c>
      <c r="G48" s="64" t="s">
        <v>596</v>
      </c>
      <c r="H48" s="64" t="s">
        <v>600</v>
      </c>
      <c r="I48" s="90" t="s">
        <v>426</v>
      </c>
      <c r="J48" s="64" t="s">
        <v>596</v>
      </c>
      <c r="K48" s="64" t="s">
        <v>601</v>
      </c>
      <c r="L48" s="69">
        <v>43962</v>
      </c>
      <c r="M48" s="64" t="s">
        <v>596</v>
      </c>
      <c r="N48" s="64" t="s">
        <v>601</v>
      </c>
      <c r="O48" s="69">
        <v>43965</v>
      </c>
      <c r="P48" s="64" t="s">
        <v>596</v>
      </c>
      <c r="Q48" s="64" t="s">
        <v>602</v>
      </c>
      <c r="R48" s="68" t="s">
        <v>366</v>
      </c>
      <c r="S48" s="64" t="s">
        <v>596</v>
      </c>
      <c r="T48" s="64" t="s">
        <v>603</v>
      </c>
      <c r="U48" s="68" t="s">
        <v>367</v>
      </c>
      <c r="V48" s="64" t="s">
        <v>596</v>
      </c>
      <c r="W48" s="64" t="s">
        <v>604</v>
      </c>
      <c r="X48" s="68" t="s">
        <v>368</v>
      </c>
      <c r="Y48" s="65"/>
      <c r="Z48" s="70"/>
      <c r="AA48" s="71"/>
      <c r="AB48" s="71"/>
      <c r="AC48" s="64">
        <v>10000</v>
      </c>
      <c r="AD48" s="64"/>
      <c r="AE48" s="64"/>
      <c r="AF48" s="64"/>
      <c r="AG48" s="65"/>
      <c r="AH48" s="64" t="s">
        <v>596</v>
      </c>
      <c r="AI48" s="66" t="s">
        <v>594</v>
      </c>
    </row>
    <row r="49" spans="1:35" s="56" customFormat="1" ht="56.25">
      <c r="A49" s="78" t="s">
        <v>597</v>
      </c>
      <c r="B49" s="64" t="s">
        <v>598</v>
      </c>
      <c r="C49" s="76">
        <v>47</v>
      </c>
      <c r="D49" s="64" t="s">
        <v>596</v>
      </c>
      <c r="E49" s="64" t="s">
        <v>599</v>
      </c>
      <c r="F49" s="67" t="s">
        <v>459</v>
      </c>
      <c r="G49" s="64" t="s">
        <v>596</v>
      </c>
      <c r="H49" s="64" t="s">
        <v>600</v>
      </c>
      <c r="I49" s="67" t="s">
        <v>619</v>
      </c>
      <c r="J49" s="64" t="s">
        <v>596</v>
      </c>
      <c r="K49" s="64" t="s">
        <v>601</v>
      </c>
      <c r="L49" s="69">
        <v>43966</v>
      </c>
      <c r="M49" s="64" t="s">
        <v>596</v>
      </c>
      <c r="N49" s="64" t="s">
        <v>601</v>
      </c>
      <c r="O49" s="69">
        <v>43972</v>
      </c>
      <c r="P49" s="64" t="s">
        <v>596</v>
      </c>
      <c r="Q49" s="64" t="s">
        <v>602</v>
      </c>
      <c r="R49" s="68" t="s">
        <v>226</v>
      </c>
      <c r="S49" s="64" t="s">
        <v>596</v>
      </c>
      <c r="T49" s="64" t="s">
        <v>603</v>
      </c>
      <c r="U49" s="68" t="s">
        <v>367</v>
      </c>
      <c r="V49" s="64" t="s">
        <v>596</v>
      </c>
      <c r="W49" s="64" t="s">
        <v>604</v>
      </c>
      <c r="X49" s="68" t="s">
        <v>460</v>
      </c>
      <c r="Y49" s="65"/>
      <c r="Z49" s="70"/>
      <c r="AA49" s="71"/>
      <c r="AB49" s="71"/>
      <c r="AC49" s="64"/>
      <c r="AD49" s="64"/>
      <c r="AE49" s="64"/>
      <c r="AF49" s="64"/>
      <c r="AG49" s="65"/>
      <c r="AH49" s="64" t="s">
        <v>596</v>
      </c>
      <c r="AI49" s="66" t="s">
        <v>594</v>
      </c>
    </row>
    <row r="50" spans="1:35" s="56" customFormat="1" ht="61.5" customHeight="1">
      <c r="A50" s="78" t="s">
        <v>597</v>
      </c>
      <c r="B50" s="64" t="s">
        <v>598</v>
      </c>
      <c r="C50" s="76">
        <v>48</v>
      </c>
      <c r="D50" s="64" t="s">
        <v>596</v>
      </c>
      <c r="E50" s="64" t="s">
        <v>599</v>
      </c>
      <c r="F50" s="67" t="s">
        <v>461</v>
      </c>
      <c r="G50" s="64" t="s">
        <v>596</v>
      </c>
      <c r="H50" s="64" t="s">
        <v>600</v>
      </c>
      <c r="I50" s="67" t="s">
        <v>462</v>
      </c>
      <c r="J50" s="64" t="s">
        <v>596</v>
      </c>
      <c r="K50" s="64" t="s">
        <v>601</v>
      </c>
      <c r="L50" s="69">
        <v>43973</v>
      </c>
      <c r="M50" s="64" t="s">
        <v>596</v>
      </c>
      <c r="N50" s="64" t="s">
        <v>601</v>
      </c>
      <c r="O50" s="69">
        <v>43973</v>
      </c>
      <c r="P50" s="64" t="s">
        <v>596</v>
      </c>
      <c r="Q50" s="64" t="s">
        <v>602</v>
      </c>
      <c r="R50" s="68" t="s">
        <v>226</v>
      </c>
      <c r="S50" s="64" t="s">
        <v>596</v>
      </c>
      <c r="T50" s="64" t="s">
        <v>603</v>
      </c>
      <c r="U50" s="68" t="s">
        <v>367</v>
      </c>
      <c r="V50" s="64" t="s">
        <v>596</v>
      </c>
      <c r="W50" s="64" t="s">
        <v>604</v>
      </c>
      <c r="X50" s="68" t="s">
        <v>460</v>
      </c>
      <c r="Y50" s="65"/>
      <c r="Z50" s="70"/>
      <c r="AA50" s="71"/>
      <c r="AB50" s="71"/>
      <c r="AC50" s="64">
        <v>20000</v>
      </c>
      <c r="AD50" s="64"/>
      <c r="AE50" s="64"/>
      <c r="AF50" s="64"/>
      <c r="AG50" s="65"/>
      <c r="AH50" s="64" t="s">
        <v>596</v>
      </c>
      <c r="AI50" s="66" t="s">
        <v>594</v>
      </c>
    </row>
    <row r="51" spans="1:35" s="56" customFormat="1" ht="61.5" hidden="1" customHeight="1">
      <c r="A51" s="78" t="s">
        <v>597</v>
      </c>
      <c r="B51" s="64" t="s">
        <v>598</v>
      </c>
      <c r="C51" s="76">
        <v>49</v>
      </c>
      <c r="D51" s="64" t="s">
        <v>596</v>
      </c>
      <c r="E51" s="64" t="s">
        <v>599</v>
      </c>
      <c r="F51" s="67" t="s">
        <v>463</v>
      </c>
      <c r="G51" s="64" t="s">
        <v>596</v>
      </c>
      <c r="H51" s="64" t="s">
        <v>600</v>
      </c>
      <c r="I51" s="93" t="s">
        <v>464</v>
      </c>
      <c r="J51" s="64" t="s">
        <v>596</v>
      </c>
      <c r="K51" s="64" t="s">
        <v>601</v>
      </c>
      <c r="L51" s="69">
        <v>43974</v>
      </c>
      <c r="M51" s="64" t="s">
        <v>596</v>
      </c>
      <c r="N51" s="64" t="s">
        <v>601</v>
      </c>
      <c r="O51" s="69">
        <v>43974</v>
      </c>
      <c r="P51" s="64" t="s">
        <v>596</v>
      </c>
      <c r="Q51" s="64" t="s">
        <v>602</v>
      </c>
      <c r="R51" s="69" t="s">
        <v>389</v>
      </c>
      <c r="S51" s="64" t="s">
        <v>596</v>
      </c>
      <c r="T51" s="64" t="s">
        <v>603</v>
      </c>
      <c r="U51" s="68" t="s">
        <v>371</v>
      </c>
      <c r="V51" s="64" t="s">
        <v>596</v>
      </c>
      <c r="W51" s="64" t="s">
        <v>604</v>
      </c>
      <c r="X51" s="68" t="s">
        <v>396</v>
      </c>
      <c r="Y51" s="65"/>
      <c r="Z51" s="70"/>
      <c r="AA51" s="71"/>
      <c r="AB51" s="71"/>
      <c r="AC51" s="64"/>
      <c r="AD51" s="64"/>
      <c r="AE51" s="64"/>
      <c r="AF51" s="64"/>
      <c r="AG51" s="65"/>
      <c r="AH51" s="64" t="s">
        <v>596</v>
      </c>
      <c r="AI51" s="66" t="s">
        <v>594</v>
      </c>
    </row>
    <row r="52" spans="1:35" s="56" customFormat="1" ht="75" hidden="1">
      <c r="A52" s="78" t="s">
        <v>597</v>
      </c>
      <c r="B52" s="64" t="s">
        <v>598</v>
      </c>
      <c r="C52" s="76">
        <v>50</v>
      </c>
      <c r="D52" s="64" t="s">
        <v>596</v>
      </c>
      <c r="E52" s="64" t="s">
        <v>599</v>
      </c>
      <c r="F52" s="67" t="s">
        <v>465</v>
      </c>
      <c r="G52" s="64" t="s">
        <v>596</v>
      </c>
      <c r="H52" s="64" t="s">
        <v>600</v>
      </c>
      <c r="I52" s="93" t="s">
        <v>464</v>
      </c>
      <c r="J52" s="64" t="s">
        <v>596</v>
      </c>
      <c r="K52" s="64" t="s">
        <v>601</v>
      </c>
      <c r="L52" s="69">
        <v>43974</v>
      </c>
      <c r="M52" s="64" t="s">
        <v>596</v>
      </c>
      <c r="N52" s="64" t="s">
        <v>601</v>
      </c>
      <c r="O52" s="69">
        <v>43974</v>
      </c>
      <c r="P52" s="64" t="s">
        <v>596</v>
      </c>
      <c r="Q52" s="64" t="s">
        <v>602</v>
      </c>
      <c r="R52" s="69" t="s">
        <v>389</v>
      </c>
      <c r="S52" s="64" t="s">
        <v>596</v>
      </c>
      <c r="T52" s="64" t="s">
        <v>603</v>
      </c>
      <c r="U52" s="68" t="s">
        <v>371</v>
      </c>
      <c r="V52" s="64" t="s">
        <v>596</v>
      </c>
      <c r="W52" s="64" t="s">
        <v>604</v>
      </c>
      <c r="X52" s="68" t="s">
        <v>396</v>
      </c>
      <c r="Y52" s="65"/>
      <c r="Z52" s="70"/>
      <c r="AA52" s="71"/>
      <c r="AB52" s="71"/>
      <c r="AC52" s="64"/>
      <c r="AD52" s="64"/>
      <c r="AE52" s="64"/>
      <c r="AF52" s="64"/>
      <c r="AG52" s="65"/>
      <c r="AH52" s="64" t="s">
        <v>596</v>
      </c>
      <c r="AI52" s="66" t="s">
        <v>594</v>
      </c>
    </row>
    <row r="53" spans="1:35" s="56" customFormat="1" ht="37.5">
      <c r="A53" s="78" t="s">
        <v>597</v>
      </c>
      <c r="B53" s="64" t="s">
        <v>598</v>
      </c>
      <c r="C53" s="76">
        <v>51</v>
      </c>
      <c r="D53" s="64" t="s">
        <v>596</v>
      </c>
      <c r="E53" s="64" t="s">
        <v>599</v>
      </c>
      <c r="F53" s="67" t="s">
        <v>466</v>
      </c>
      <c r="G53" s="64" t="s">
        <v>596</v>
      </c>
      <c r="H53" s="64" t="s">
        <v>600</v>
      </c>
      <c r="I53" s="67" t="s">
        <v>376</v>
      </c>
      <c r="J53" s="64" t="s">
        <v>596</v>
      </c>
      <c r="K53" s="64" t="s">
        <v>601</v>
      </c>
      <c r="L53" s="69">
        <v>43974</v>
      </c>
      <c r="M53" s="64" t="s">
        <v>596</v>
      </c>
      <c r="N53" s="64" t="s">
        <v>601</v>
      </c>
      <c r="O53" s="69">
        <v>43974</v>
      </c>
      <c r="P53" s="64" t="s">
        <v>596</v>
      </c>
      <c r="Q53" s="64" t="s">
        <v>602</v>
      </c>
      <c r="R53" s="69" t="s">
        <v>361</v>
      </c>
      <c r="S53" s="64" t="s">
        <v>596</v>
      </c>
      <c r="T53" s="64" t="s">
        <v>603</v>
      </c>
      <c r="U53" s="68" t="s">
        <v>362</v>
      </c>
      <c r="V53" s="64" t="s">
        <v>596</v>
      </c>
      <c r="W53" s="64" t="s">
        <v>604</v>
      </c>
      <c r="X53" s="68" t="s">
        <v>377</v>
      </c>
      <c r="Y53" s="65"/>
      <c r="Z53" s="70"/>
      <c r="AA53" s="71"/>
      <c r="AB53" s="71"/>
      <c r="AC53" s="64"/>
      <c r="AD53" s="64"/>
      <c r="AE53" s="64"/>
      <c r="AF53" s="64"/>
      <c r="AG53" s="65"/>
      <c r="AH53" s="64" t="s">
        <v>596</v>
      </c>
      <c r="AI53" s="66" t="s">
        <v>594</v>
      </c>
    </row>
    <row r="54" spans="1:35" s="56" customFormat="1" ht="61.5" customHeight="1">
      <c r="A54" s="78" t="s">
        <v>597</v>
      </c>
      <c r="B54" s="64" t="s">
        <v>598</v>
      </c>
      <c r="C54" s="76">
        <v>52</v>
      </c>
      <c r="D54" s="64" t="s">
        <v>596</v>
      </c>
      <c r="E54" s="64" t="s">
        <v>599</v>
      </c>
      <c r="F54" s="67" t="s">
        <v>467</v>
      </c>
      <c r="G54" s="64" t="s">
        <v>596</v>
      </c>
      <c r="H54" s="64" t="s">
        <v>600</v>
      </c>
      <c r="I54" s="67" t="s">
        <v>462</v>
      </c>
      <c r="J54" s="64" t="s">
        <v>596</v>
      </c>
      <c r="K54" s="64" t="s">
        <v>601</v>
      </c>
      <c r="L54" s="69">
        <v>43974</v>
      </c>
      <c r="M54" s="64" t="s">
        <v>596</v>
      </c>
      <c r="N54" s="64" t="s">
        <v>601</v>
      </c>
      <c r="O54" s="69">
        <v>43974</v>
      </c>
      <c r="P54" s="64" t="s">
        <v>596</v>
      </c>
      <c r="Q54" s="64" t="s">
        <v>602</v>
      </c>
      <c r="R54" s="68" t="s">
        <v>226</v>
      </c>
      <c r="S54" s="64" t="s">
        <v>596</v>
      </c>
      <c r="T54" s="64" t="s">
        <v>603</v>
      </c>
      <c r="U54" s="68" t="s">
        <v>367</v>
      </c>
      <c r="V54" s="64" t="s">
        <v>596</v>
      </c>
      <c r="W54" s="64" t="s">
        <v>604</v>
      </c>
      <c r="X54" s="68" t="s">
        <v>460</v>
      </c>
      <c r="Y54" s="65"/>
      <c r="Z54" s="70"/>
      <c r="AA54" s="71"/>
      <c r="AB54" s="71"/>
      <c r="AC54" s="64"/>
      <c r="AD54" s="64"/>
      <c r="AE54" s="64"/>
      <c r="AF54" s="64"/>
      <c r="AG54" s="65"/>
      <c r="AH54" s="64" t="s">
        <v>596</v>
      </c>
      <c r="AI54" s="66" t="s">
        <v>594</v>
      </c>
    </row>
    <row r="55" spans="1:35" s="56" customFormat="1" ht="37.5" hidden="1">
      <c r="A55" s="78" t="s">
        <v>597</v>
      </c>
      <c r="B55" s="64" t="s">
        <v>598</v>
      </c>
      <c r="C55" s="76">
        <v>53</v>
      </c>
      <c r="D55" s="64" t="s">
        <v>596</v>
      </c>
      <c r="E55" s="64" t="s">
        <v>599</v>
      </c>
      <c r="F55" s="67" t="s">
        <v>468</v>
      </c>
      <c r="G55" s="64" t="s">
        <v>596</v>
      </c>
      <c r="H55" s="64" t="s">
        <v>600</v>
      </c>
      <c r="I55" s="90" t="s">
        <v>426</v>
      </c>
      <c r="J55" s="64" t="s">
        <v>596</v>
      </c>
      <c r="K55" s="64" t="s">
        <v>601</v>
      </c>
      <c r="L55" s="69">
        <v>43974</v>
      </c>
      <c r="M55" s="64" t="s">
        <v>596</v>
      </c>
      <c r="N55" s="64" t="s">
        <v>601</v>
      </c>
      <c r="O55" s="69">
        <v>43977</v>
      </c>
      <c r="P55" s="64" t="s">
        <v>596</v>
      </c>
      <c r="Q55" s="64" t="s">
        <v>602</v>
      </c>
      <c r="R55" s="68" t="s">
        <v>366</v>
      </c>
      <c r="S55" s="64" t="s">
        <v>596</v>
      </c>
      <c r="T55" s="64" t="s">
        <v>603</v>
      </c>
      <c r="U55" s="68" t="s">
        <v>367</v>
      </c>
      <c r="V55" s="64" t="s">
        <v>596</v>
      </c>
      <c r="W55" s="64" t="s">
        <v>604</v>
      </c>
      <c r="X55" s="68" t="s">
        <v>368</v>
      </c>
      <c r="Y55" s="65"/>
      <c r="Z55" s="70"/>
      <c r="AA55" s="71"/>
      <c r="AB55" s="71"/>
      <c r="AC55" s="64"/>
      <c r="AD55" s="64"/>
      <c r="AE55" s="64"/>
      <c r="AF55" s="64"/>
      <c r="AG55" s="65"/>
      <c r="AH55" s="64" t="s">
        <v>596</v>
      </c>
      <c r="AI55" s="66" t="s">
        <v>594</v>
      </c>
    </row>
    <row r="56" spans="1:35" s="56" customFormat="1" ht="37.5">
      <c r="A56" s="78" t="s">
        <v>597</v>
      </c>
      <c r="B56" s="64" t="s">
        <v>598</v>
      </c>
      <c r="C56" s="76">
        <v>54</v>
      </c>
      <c r="D56" s="64" t="s">
        <v>596</v>
      </c>
      <c r="E56" s="64" t="s">
        <v>599</v>
      </c>
      <c r="F56" s="67" t="s">
        <v>469</v>
      </c>
      <c r="G56" s="64" t="s">
        <v>596</v>
      </c>
      <c r="H56" s="64" t="s">
        <v>600</v>
      </c>
      <c r="I56" s="67" t="s">
        <v>376</v>
      </c>
      <c r="J56" s="64" t="s">
        <v>596</v>
      </c>
      <c r="K56" s="64" t="s">
        <v>601</v>
      </c>
      <c r="L56" s="69">
        <v>43975</v>
      </c>
      <c r="M56" s="64" t="s">
        <v>596</v>
      </c>
      <c r="N56" s="64" t="s">
        <v>601</v>
      </c>
      <c r="O56" s="69">
        <v>43975</v>
      </c>
      <c r="P56" s="64" t="s">
        <v>596</v>
      </c>
      <c r="Q56" s="64" t="s">
        <v>602</v>
      </c>
      <c r="R56" s="69" t="s">
        <v>361</v>
      </c>
      <c r="S56" s="64" t="s">
        <v>596</v>
      </c>
      <c r="T56" s="64" t="s">
        <v>603</v>
      </c>
      <c r="U56" s="68" t="s">
        <v>362</v>
      </c>
      <c r="V56" s="64" t="s">
        <v>596</v>
      </c>
      <c r="W56" s="64" t="s">
        <v>604</v>
      </c>
      <c r="X56" s="68" t="s">
        <v>377</v>
      </c>
      <c r="Y56" s="65"/>
      <c r="Z56" s="70"/>
      <c r="AA56" s="71"/>
      <c r="AB56" s="71"/>
      <c r="AC56" s="64"/>
      <c r="AD56" s="64"/>
      <c r="AE56" s="64"/>
      <c r="AF56" s="64"/>
      <c r="AG56" s="65"/>
      <c r="AH56" s="64" t="s">
        <v>596</v>
      </c>
      <c r="AI56" s="66" t="s">
        <v>594</v>
      </c>
    </row>
    <row r="57" spans="1:35" s="56" customFormat="1" ht="56.25" hidden="1">
      <c r="A57" s="78" t="s">
        <v>597</v>
      </c>
      <c r="B57" s="64" t="s">
        <v>598</v>
      </c>
      <c r="C57" s="76">
        <v>55</v>
      </c>
      <c r="D57" s="64" t="s">
        <v>596</v>
      </c>
      <c r="E57" s="64" t="s">
        <v>599</v>
      </c>
      <c r="F57" s="67" t="s">
        <v>470</v>
      </c>
      <c r="G57" s="64" t="s">
        <v>596</v>
      </c>
      <c r="H57" s="64" t="s">
        <v>600</v>
      </c>
      <c r="I57" s="90" t="s">
        <v>620</v>
      </c>
      <c r="J57" s="64" t="s">
        <v>596</v>
      </c>
      <c r="K57" s="64" t="s">
        <v>601</v>
      </c>
      <c r="L57" s="69">
        <v>43979</v>
      </c>
      <c r="M57" s="64" t="s">
        <v>596</v>
      </c>
      <c r="N57" s="64" t="s">
        <v>601</v>
      </c>
      <c r="O57" s="69">
        <v>43982</v>
      </c>
      <c r="P57" s="64" t="s">
        <v>596</v>
      </c>
      <c r="Q57" s="64" t="s">
        <v>602</v>
      </c>
      <c r="R57" s="69" t="s">
        <v>366</v>
      </c>
      <c r="S57" s="64" t="s">
        <v>596</v>
      </c>
      <c r="T57" s="64" t="s">
        <v>603</v>
      </c>
      <c r="U57" s="68" t="s">
        <v>362</v>
      </c>
      <c r="V57" s="64" t="s">
        <v>596</v>
      </c>
      <c r="W57" s="64" t="s">
        <v>604</v>
      </c>
      <c r="X57" s="68" t="s">
        <v>368</v>
      </c>
      <c r="Y57" s="65"/>
      <c r="Z57" s="70"/>
      <c r="AA57" s="71"/>
      <c r="AB57" s="71"/>
      <c r="AC57" s="64"/>
      <c r="AD57" s="64"/>
      <c r="AE57" s="64"/>
      <c r="AF57" s="64"/>
      <c r="AG57" s="65"/>
      <c r="AH57" s="64" t="s">
        <v>596</v>
      </c>
      <c r="AI57" s="66" t="s">
        <v>594</v>
      </c>
    </row>
    <row r="58" spans="1:35" s="56" customFormat="1" ht="56.25" hidden="1">
      <c r="A58" s="78" t="s">
        <v>597</v>
      </c>
      <c r="B58" s="64" t="s">
        <v>598</v>
      </c>
      <c r="C58" s="76">
        <v>56</v>
      </c>
      <c r="D58" s="64" t="s">
        <v>596</v>
      </c>
      <c r="E58" s="64" t="s">
        <v>599</v>
      </c>
      <c r="F58" s="67" t="s">
        <v>471</v>
      </c>
      <c r="G58" s="64" t="s">
        <v>596</v>
      </c>
      <c r="H58" s="64" t="s">
        <v>600</v>
      </c>
      <c r="I58" s="90" t="s">
        <v>472</v>
      </c>
      <c r="J58" s="64" t="s">
        <v>596</v>
      </c>
      <c r="K58" s="64" t="s">
        <v>601</v>
      </c>
      <c r="L58" s="69">
        <v>43983</v>
      </c>
      <c r="M58" s="64" t="s">
        <v>596</v>
      </c>
      <c r="N58" s="64" t="s">
        <v>601</v>
      </c>
      <c r="O58" s="69">
        <v>43983</v>
      </c>
      <c r="P58" s="64" t="s">
        <v>596</v>
      </c>
      <c r="Q58" s="64" t="s">
        <v>602</v>
      </c>
      <c r="R58" s="68" t="s">
        <v>366</v>
      </c>
      <c r="S58" s="64" t="s">
        <v>596</v>
      </c>
      <c r="T58" s="64" t="s">
        <v>603</v>
      </c>
      <c r="U58" s="68" t="s">
        <v>473</v>
      </c>
      <c r="V58" s="64" t="s">
        <v>596</v>
      </c>
      <c r="W58" s="64" t="s">
        <v>604</v>
      </c>
      <c r="X58" s="68" t="s">
        <v>368</v>
      </c>
      <c r="Y58" s="65"/>
      <c r="Z58" s="70"/>
      <c r="AA58" s="71"/>
      <c r="AB58" s="71"/>
      <c r="AC58" s="64"/>
      <c r="AD58" s="64"/>
      <c r="AE58" s="64"/>
      <c r="AF58" s="64"/>
      <c r="AG58" s="65"/>
      <c r="AH58" s="64" t="s">
        <v>596</v>
      </c>
      <c r="AI58" s="66" t="s">
        <v>594</v>
      </c>
    </row>
    <row r="59" spans="1:35" s="56" customFormat="1" hidden="1">
      <c r="A59" s="78" t="s">
        <v>597</v>
      </c>
      <c r="B59" s="64" t="s">
        <v>598</v>
      </c>
      <c r="C59" s="76">
        <v>57</v>
      </c>
      <c r="D59" s="64" t="s">
        <v>596</v>
      </c>
      <c r="E59" s="64" t="s">
        <v>599</v>
      </c>
      <c r="F59" s="67" t="s">
        <v>474</v>
      </c>
      <c r="G59" s="64" t="s">
        <v>596</v>
      </c>
      <c r="H59" s="64" t="s">
        <v>600</v>
      </c>
      <c r="I59" s="90" t="s">
        <v>426</v>
      </c>
      <c r="J59" s="64" t="s">
        <v>596</v>
      </c>
      <c r="K59" s="64" t="s">
        <v>601</v>
      </c>
      <c r="L59" s="69">
        <v>43983</v>
      </c>
      <c r="M59" s="64" t="s">
        <v>596</v>
      </c>
      <c r="N59" s="64" t="s">
        <v>601</v>
      </c>
      <c r="O59" s="69">
        <v>44012</v>
      </c>
      <c r="P59" s="64" t="s">
        <v>596</v>
      </c>
      <c r="Q59" s="64" t="s">
        <v>602</v>
      </c>
      <c r="R59" s="68" t="s">
        <v>366</v>
      </c>
      <c r="S59" s="64" t="s">
        <v>596</v>
      </c>
      <c r="T59" s="64" t="s">
        <v>603</v>
      </c>
      <c r="U59" s="68" t="s">
        <v>226</v>
      </c>
      <c r="V59" s="64" t="s">
        <v>596</v>
      </c>
      <c r="W59" s="64" t="s">
        <v>604</v>
      </c>
      <c r="X59" s="68" t="s">
        <v>368</v>
      </c>
      <c r="Y59" s="65"/>
      <c r="Z59" s="70">
        <v>5</v>
      </c>
      <c r="AA59" s="71">
        <v>30000</v>
      </c>
      <c r="AB59" s="71">
        <f>AA59*Z59</f>
        <v>150000</v>
      </c>
      <c r="AC59" s="64">
        <v>50000</v>
      </c>
      <c r="AD59" s="64">
        <v>5000</v>
      </c>
      <c r="AE59" s="64"/>
      <c r="AF59" s="64"/>
      <c r="AG59" s="65"/>
      <c r="AH59" s="64" t="s">
        <v>596</v>
      </c>
      <c r="AI59" s="66" t="s">
        <v>594</v>
      </c>
    </row>
    <row r="60" spans="1:35" s="56" customFormat="1" ht="56.25" hidden="1">
      <c r="A60" s="78" t="s">
        <v>597</v>
      </c>
      <c r="B60" s="64" t="s">
        <v>598</v>
      </c>
      <c r="C60" s="76">
        <v>58</v>
      </c>
      <c r="D60" s="64" t="s">
        <v>596</v>
      </c>
      <c r="E60" s="64" t="s">
        <v>599</v>
      </c>
      <c r="F60" s="67" t="s">
        <v>475</v>
      </c>
      <c r="G60" s="64" t="s">
        <v>596</v>
      </c>
      <c r="H60" s="64" t="s">
        <v>600</v>
      </c>
      <c r="I60" s="90" t="s">
        <v>615</v>
      </c>
      <c r="J60" s="64" t="s">
        <v>596</v>
      </c>
      <c r="K60" s="64" t="s">
        <v>601</v>
      </c>
      <c r="L60" s="69">
        <v>43983</v>
      </c>
      <c r="M60" s="64" t="s">
        <v>596</v>
      </c>
      <c r="N60" s="64" t="s">
        <v>601</v>
      </c>
      <c r="O60" s="69">
        <v>43991</v>
      </c>
      <c r="P60" s="64" t="s">
        <v>596</v>
      </c>
      <c r="Q60" s="64" t="s">
        <v>602</v>
      </c>
      <c r="R60" s="68" t="s">
        <v>366</v>
      </c>
      <c r="S60" s="64" t="s">
        <v>596</v>
      </c>
      <c r="T60" s="64" t="s">
        <v>603</v>
      </c>
      <c r="U60" s="68" t="s">
        <v>406</v>
      </c>
      <c r="V60" s="64" t="s">
        <v>596</v>
      </c>
      <c r="W60" s="64" t="s">
        <v>604</v>
      </c>
      <c r="X60" s="68" t="s">
        <v>368</v>
      </c>
      <c r="Y60" s="65"/>
      <c r="Z60" s="70"/>
      <c r="AA60" s="71"/>
      <c r="AB60" s="71"/>
      <c r="AC60" s="64"/>
      <c r="AD60" s="64"/>
      <c r="AE60" s="64"/>
      <c r="AF60" s="64"/>
      <c r="AG60" s="65"/>
      <c r="AH60" s="64" t="s">
        <v>596</v>
      </c>
      <c r="AI60" s="66" t="s">
        <v>594</v>
      </c>
    </row>
    <row r="61" spans="1:35" s="56" customFormat="1">
      <c r="A61" s="78" t="s">
        <v>597</v>
      </c>
      <c r="B61" s="64" t="s">
        <v>598</v>
      </c>
      <c r="C61" s="76">
        <v>59</v>
      </c>
      <c r="D61" s="64" t="s">
        <v>596</v>
      </c>
      <c r="E61" s="64" t="s">
        <v>599</v>
      </c>
      <c r="F61" s="67" t="s">
        <v>476</v>
      </c>
      <c r="G61" s="64" t="s">
        <v>596</v>
      </c>
      <c r="H61" s="64" t="s">
        <v>600</v>
      </c>
      <c r="I61" s="67" t="s">
        <v>614</v>
      </c>
      <c r="J61" s="64" t="s">
        <v>596</v>
      </c>
      <c r="K61" s="64" t="s">
        <v>601</v>
      </c>
      <c r="L61" s="69">
        <v>43994</v>
      </c>
      <c r="M61" s="64" t="s">
        <v>596</v>
      </c>
      <c r="N61" s="64" t="s">
        <v>601</v>
      </c>
      <c r="O61" s="69">
        <v>43994</v>
      </c>
      <c r="P61" s="64" t="s">
        <v>596</v>
      </c>
      <c r="Q61" s="64" t="s">
        <v>602</v>
      </c>
      <c r="R61" s="69" t="s">
        <v>361</v>
      </c>
      <c r="S61" s="64" t="s">
        <v>596</v>
      </c>
      <c r="T61" s="64" t="s">
        <v>603</v>
      </c>
      <c r="U61" s="68" t="s">
        <v>362</v>
      </c>
      <c r="V61" s="64" t="s">
        <v>596</v>
      </c>
      <c r="W61" s="64" t="s">
        <v>604</v>
      </c>
      <c r="X61" s="68" t="s">
        <v>377</v>
      </c>
      <c r="Y61" s="65"/>
      <c r="Z61" s="70"/>
      <c r="AA61" s="71"/>
      <c r="AB61" s="71"/>
      <c r="AC61" s="64"/>
      <c r="AD61" s="64"/>
      <c r="AE61" s="64"/>
      <c r="AF61" s="64"/>
      <c r="AG61" s="65"/>
      <c r="AH61" s="64" t="s">
        <v>596</v>
      </c>
      <c r="AI61" s="66" t="s">
        <v>594</v>
      </c>
    </row>
    <row r="62" spans="1:35" s="56" customFormat="1" ht="37.5" hidden="1">
      <c r="A62" s="78" t="s">
        <v>597</v>
      </c>
      <c r="B62" s="64" t="s">
        <v>598</v>
      </c>
      <c r="C62" s="76">
        <v>60</v>
      </c>
      <c r="D62" s="64" t="s">
        <v>596</v>
      </c>
      <c r="E62" s="64" t="s">
        <v>599</v>
      </c>
      <c r="F62" s="67" t="s">
        <v>477</v>
      </c>
      <c r="G62" s="64" t="s">
        <v>596</v>
      </c>
      <c r="H62" s="64" t="s">
        <v>600</v>
      </c>
      <c r="I62" s="90" t="s">
        <v>478</v>
      </c>
      <c r="J62" s="64" t="s">
        <v>596</v>
      </c>
      <c r="K62" s="64" t="s">
        <v>601</v>
      </c>
      <c r="L62" s="69">
        <v>43994</v>
      </c>
      <c r="M62" s="64" t="s">
        <v>596</v>
      </c>
      <c r="N62" s="64" t="s">
        <v>601</v>
      </c>
      <c r="O62" s="69">
        <v>44004</v>
      </c>
      <c r="P62" s="64" t="s">
        <v>596</v>
      </c>
      <c r="Q62" s="64" t="s">
        <v>602</v>
      </c>
      <c r="R62" s="69" t="s">
        <v>366</v>
      </c>
      <c r="S62" s="64" t="s">
        <v>596</v>
      </c>
      <c r="T62" s="64" t="s">
        <v>603</v>
      </c>
      <c r="U62" s="68" t="s">
        <v>479</v>
      </c>
      <c r="V62" s="64" t="s">
        <v>596</v>
      </c>
      <c r="W62" s="64" t="s">
        <v>604</v>
      </c>
      <c r="X62" s="68" t="s">
        <v>480</v>
      </c>
      <c r="Y62" s="65"/>
      <c r="Z62" s="70"/>
      <c r="AA62" s="71"/>
      <c r="AB62" s="71"/>
      <c r="AC62" s="64">
        <v>10000</v>
      </c>
      <c r="AD62" s="64"/>
      <c r="AE62" s="64"/>
      <c r="AF62" s="64"/>
      <c r="AG62" s="65"/>
      <c r="AH62" s="64" t="s">
        <v>596</v>
      </c>
      <c r="AI62" s="66" t="s">
        <v>594</v>
      </c>
    </row>
    <row r="63" spans="1:35" s="56" customFormat="1" ht="37.5" hidden="1">
      <c r="A63" s="78" t="s">
        <v>597</v>
      </c>
      <c r="B63" s="64" t="s">
        <v>598</v>
      </c>
      <c r="C63" s="76">
        <v>61</v>
      </c>
      <c r="D63" s="64" t="s">
        <v>596</v>
      </c>
      <c r="E63" s="64" t="s">
        <v>599</v>
      </c>
      <c r="F63" s="67" t="s">
        <v>481</v>
      </c>
      <c r="G63" s="64" t="s">
        <v>596</v>
      </c>
      <c r="H63" s="64" t="s">
        <v>600</v>
      </c>
      <c r="I63" s="93"/>
      <c r="J63" s="64" t="s">
        <v>596</v>
      </c>
      <c r="K63" s="64" t="s">
        <v>601</v>
      </c>
      <c r="L63" s="69">
        <v>43999</v>
      </c>
      <c r="M63" s="64" t="s">
        <v>596</v>
      </c>
      <c r="N63" s="64" t="s">
        <v>601</v>
      </c>
      <c r="O63" s="69">
        <v>44003</v>
      </c>
      <c r="P63" s="64" t="s">
        <v>596</v>
      </c>
      <c r="Q63" s="64" t="s">
        <v>602</v>
      </c>
      <c r="R63" s="69" t="s">
        <v>389</v>
      </c>
      <c r="S63" s="64" t="s">
        <v>596</v>
      </c>
      <c r="T63" s="64" t="s">
        <v>603</v>
      </c>
      <c r="U63" s="68" t="s">
        <v>313</v>
      </c>
      <c r="V63" s="64" t="s">
        <v>596</v>
      </c>
      <c r="W63" s="64" t="s">
        <v>604</v>
      </c>
      <c r="X63" s="68" t="s">
        <v>396</v>
      </c>
      <c r="Y63" s="65"/>
      <c r="Z63" s="70">
        <v>15</v>
      </c>
      <c r="AA63" s="71">
        <v>15000</v>
      </c>
      <c r="AB63" s="71">
        <f>AA63*Z63</f>
        <v>225000</v>
      </c>
      <c r="AC63" s="64"/>
      <c r="AD63" s="64"/>
      <c r="AE63" s="64"/>
      <c r="AF63" s="64"/>
      <c r="AG63" s="65"/>
      <c r="AH63" s="64" t="s">
        <v>596</v>
      </c>
      <c r="AI63" s="66" t="s">
        <v>594</v>
      </c>
    </row>
    <row r="64" spans="1:35" s="56" customFormat="1" ht="37.5">
      <c r="A64" s="78" t="s">
        <v>597</v>
      </c>
      <c r="B64" s="64" t="s">
        <v>598</v>
      </c>
      <c r="C64" s="76">
        <v>62</v>
      </c>
      <c r="D64" s="64" t="s">
        <v>596</v>
      </c>
      <c r="E64" s="64" t="s">
        <v>599</v>
      </c>
      <c r="F64" s="67" t="s">
        <v>482</v>
      </c>
      <c r="G64" s="64" t="s">
        <v>596</v>
      </c>
      <c r="H64" s="64" t="s">
        <v>600</v>
      </c>
      <c r="I64" s="67" t="s">
        <v>376</v>
      </c>
      <c r="J64" s="64" t="s">
        <v>596</v>
      </c>
      <c r="K64" s="64" t="s">
        <v>601</v>
      </c>
      <c r="L64" s="69">
        <v>44002</v>
      </c>
      <c r="M64" s="64" t="s">
        <v>596</v>
      </c>
      <c r="N64" s="64" t="s">
        <v>601</v>
      </c>
      <c r="O64" s="69">
        <v>44002</v>
      </c>
      <c r="P64" s="64" t="s">
        <v>596</v>
      </c>
      <c r="Q64" s="64" t="s">
        <v>602</v>
      </c>
      <c r="R64" s="69" t="s">
        <v>361</v>
      </c>
      <c r="S64" s="64" t="s">
        <v>596</v>
      </c>
      <c r="T64" s="64" t="s">
        <v>603</v>
      </c>
      <c r="U64" s="68" t="s">
        <v>362</v>
      </c>
      <c r="V64" s="64" t="s">
        <v>596</v>
      </c>
      <c r="W64" s="64" t="s">
        <v>604</v>
      </c>
      <c r="X64" s="68" t="s">
        <v>377</v>
      </c>
      <c r="Y64" s="65"/>
      <c r="Z64" s="70"/>
      <c r="AA64" s="71"/>
      <c r="AB64" s="71"/>
      <c r="AC64" s="64">
        <v>10000</v>
      </c>
      <c r="AD64" s="64"/>
      <c r="AE64" s="64"/>
      <c r="AF64" s="64"/>
      <c r="AG64" s="65"/>
      <c r="AH64" s="64" t="s">
        <v>596</v>
      </c>
      <c r="AI64" s="66" t="s">
        <v>594</v>
      </c>
    </row>
    <row r="65" spans="1:35" s="56" customFormat="1" ht="37.5">
      <c r="A65" s="78" t="s">
        <v>597</v>
      </c>
      <c r="B65" s="64" t="s">
        <v>598</v>
      </c>
      <c r="C65" s="76">
        <v>63</v>
      </c>
      <c r="D65" s="64" t="s">
        <v>596</v>
      </c>
      <c r="E65" s="64" t="s">
        <v>599</v>
      </c>
      <c r="F65" s="67" t="s">
        <v>483</v>
      </c>
      <c r="G65" s="64" t="s">
        <v>596</v>
      </c>
      <c r="H65" s="64" t="s">
        <v>600</v>
      </c>
      <c r="I65" s="67" t="s">
        <v>376</v>
      </c>
      <c r="J65" s="64" t="s">
        <v>596</v>
      </c>
      <c r="K65" s="64" t="s">
        <v>601</v>
      </c>
      <c r="L65" s="69">
        <v>44003</v>
      </c>
      <c r="M65" s="64" t="s">
        <v>596</v>
      </c>
      <c r="N65" s="64" t="s">
        <v>601</v>
      </c>
      <c r="O65" s="69">
        <v>44003</v>
      </c>
      <c r="P65" s="64" t="s">
        <v>596</v>
      </c>
      <c r="Q65" s="64" t="s">
        <v>602</v>
      </c>
      <c r="R65" s="69" t="s">
        <v>361</v>
      </c>
      <c r="S65" s="64" t="s">
        <v>596</v>
      </c>
      <c r="T65" s="64" t="s">
        <v>603</v>
      </c>
      <c r="U65" s="68" t="s">
        <v>362</v>
      </c>
      <c r="V65" s="64" t="s">
        <v>596</v>
      </c>
      <c r="W65" s="64" t="s">
        <v>604</v>
      </c>
      <c r="X65" s="68" t="s">
        <v>377</v>
      </c>
      <c r="Y65" s="65"/>
      <c r="Z65" s="70"/>
      <c r="AA65" s="71"/>
      <c r="AB65" s="71"/>
      <c r="AC65" s="64"/>
      <c r="AD65" s="64"/>
      <c r="AE65" s="64"/>
      <c r="AF65" s="64"/>
      <c r="AG65" s="65"/>
      <c r="AH65" s="64" t="s">
        <v>596</v>
      </c>
      <c r="AI65" s="66" t="s">
        <v>594</v>
      </c>
    </row>
    <row r="66" spans="1:35" s="56" customFormat="1" ht="56.25" hidden="1">
      <c r="A66" s="78" t="s">
        <v>597</v>
      </c>
      <c r="B66" s="64" t="s">
        <v>598</v>
      </c>
      <c r="C66" s="76">
        <v>64</v>
      </c>
      <c r="D66" s="64" t="s">
        <v>596</v>
      </c>
      <c r="E66" s="64" t="s">
        <v>599</v>
      </c>
      <c r="F66" s="67" t="s">
        <v>484</v>
      </c>
      <c r="G66" s="64" t="s">
        <v>596</v>
      </c>
      <c r="H66" s="64" t="s">
        <v>600</v>
      </c>
      <c r="I66" s="90" t="s">
        <v>485</v>
      </c>
      <c r="J66" s="64" t="s">
        <v>596</v>
      </c>
      <c r="K66" s="64" t="s">
        <v>601</v>
      </c>
      <c r="L66" s="69">
        <v>44013</v>
      </c>
      <c r="M66" s="64" t="s">
        <v>596</v>
      </c>
      <c r="N66" s="64" t="s">
        <v>601</v>
      </c>
      <c r="O66" s="69">
        <v>44073</v>
      </c>
      <c r="P66" s="64" t="s">
        <v>596</v>
      </c>
      <c r="Q66" s="64" t="s">
        <v>602</v>
      </c>
      <c r="R66" s="69" t="s">
        <v>366</v>
      </c>
      <c r="S66" s="64" t="s">
        <v>596</v>
      </c>
      <c r="T66" s="64" t="s">
        <v>603</v>
      </c>
      <c r="U66" s="68" t="s">
        <v>486</v>
      </c>
      <c r="V66" s="64" t="s">
        <v>596</v>
      </c>
      <c r="W66" s="64" t="s">
        <v>604</v>
      </c>
      <c r="X66" s="68" t="s">
        <v>368</v>
      </c>
      <c r="Y66" s="65"/>
      <c r="Z66" s="70"/>
      <c r="AA66" s="71"/>
      <c r="AB66" s="71"/>
      <c r="AC66" s="64"/>
      <c r="AD66" s="64"/>
      <c r="AE66" s="64"/>
      <c r="AF66" s="64"/>
      <c r="AG66" s="65"/>
      <c r="AH66" s="64" t="s">
        <v>596</v>
      </c>
      <c r="AI66" s="66" t="s">
        <v>594</v>
      </c>
    </row>
    <row r="67" spans="1:35" s="56" customFormat="1" ht="56.25" hidden="1">
      <c r="A67" s="78" t="s">
        <v>597</v>
      </c>
      <c r="B67" s="64" t="s">
        <v>598</v>
      </c>
      <c r="C67" s="76">
        <v>65</v>
      </c>
      <c r="D67" s="64" t="s">
        <v>596</v>
      </c>
      <c r="E67" s="64" t="s">
        <v>599</v>
      </c>
      <c r="F67" s="67" t="s">
        <v>487</v>
      </c>
      <c r="G67" s="64" t="s">
        <v>596</v>
      </c>
      <c r="H67" s="64" t="s">
        <v>600</v>
      </c>
      <c r="I67" s="94" t="s">
        <v>488</v>
      </c>
      <c r="J67" s="64" t="s">
        <v>596</v>
      </c>
      <c r="K67" s="64" t="s">
        <v>601</v>
      </c>
      <c r="L67" s="69">
        <v>44013</v>
      </c>
      <c r="M67" s="64" t="s">
        <v>596</v>
      </c>
      <c r="N67" s="64" t="s">
        <v>601</v>
      </c>
      <c r="O67" s="69">
        <v>44042</v>
      </c>
      <c r="P67" s="64" t="s">
        <v>596</v>
      </c>
      <c r="Q67" s="64" t="s">
        <v>602</v>
      </c>
      <c r="R67" s="69" t="s">
        <v>40</v>
      </c>
      <c r="S67" s="64" t="s">
        <v>596</v>
      </c>
      <c r="T67" s="64" t="s">
        <v>603</v>
      </c>
      <c r="U67" s="68" t="s">
        <v>371</v>
      </c>
      <c r="V67" s="64" t="s">
        <v>596</v>
      </c>
      <c r="W67" s="64" t="s">
        <v>604</v>
      </c>
      <c r="X67" s="68" t="s">
        <v>371</v>
      </c>
      <c r="Y67" s="65"/>
      <c r="Z67" s="70"/>
      <c r="AA67" s="71"/>
      <c r="AB67" s="71"/>
      <c r="AC67" s="64"/>
      <c r="AD67" s="64"/>
      <c r="AE67" s="64"/>
      <c r="AF67" s="64"/>
      <c r="AG67" s="65"/>
      <c r="AH67" s="64" t="s">
        <v>596</v>
      </c>
      <c r="AI67" s="66" t="s">
        <v>594</v>
      </c>
    </row>
    <row r="68" spans="1:35" s="56" customFormat="1" ht="56.25" hidden="1">
      <c r="A68" s="78" t="s">
        <v>597</v>
      </c>
      <c r="B68" s="64" t="s">
        <v>598</v>
      </c>
      <c r="C68" s="76">
        <v>66</v>
      </c>
      <c r="D68" s="64" t="s">
        <v>596</v>
      </c>
      <c r="E68" s="64" t="s">
        <v>599</v>
      </c>
      <c r="F68" s="67" t="s">
        <v>489</v>
      </c>
      <c r="G68" s="64" t="s">
        <v>596</v>
      </c>
      <c r="H68" s="64" t="s">
        <v>600</v>
      </c>
      <c r="I68" s="93"/>
      <c r="J68" s="64" t="s">
        <v>596</v>
      </c>
      <c r="K68" s="64" t="s">
        <v>601</v>
      </c>
      <c r="L68" s="69">
        <v>44013</v>
      </c>
      <c r="M68" s="64" t="s">
        <v>596</v>
      </c>
      <c r="N68" s="64" t="s">
        <v>601</v>
      </c>
      <c r="O68" s="69">
        <v>44111</v>
      </c>
      <c r="P68" s="64" t="s">
        <v>596</v>
      </c>
      <c r="Q68" s="64" t="s">
        <v>602</v>
      </c>
      <c r="R68" s="69" t="s">
        <v>389</v>
      </c>
      <c r="S68" s="64" t="s">
        <v>596</v>
      </c>
      <c r="T68" s="64" t="s">
        <v>603</v>
      </c>
      <c r="U68" s="68" t="s">
        <v>490</v>
      </c>
      <c r="V68" s="64" t="s">
        <v>596</v>
      </c>
      <c r="W68" s="64" t="s">
        <v>604</v>
      </c>
      <c r="X68" s="68" t="s">
        <v>396</v>
      </c>
      <c r="Y68" s="65"/>
      <c r="Z68" s="70">
        <v>2</v>
      </c>
      <c r="AA68" s="71">
        <v>30000</v>
      </c>
      <c r="AB68" s="71">
        <f>AA68*Z68</f>
        <v>60000</v>
      </c>
      <c r="AC68" s="64"/>
      <c r="AD68" s="64"/>
      <c r="AE68" s="64"/>
      <c r="AF68" s="64"/>
      <c r="AG68" s="65"/>
      <c r="AH68" s="64" t="s">
        <v>596</v>
      </c>
      <c r="AI68" s="66" t="s">
        <v>594</v>
      </c>
    </row>
    <row r="69" spans="1:35" s="56" customFormat="1" ht="37.5" hidden="1">
      <c r="A69" s="78" t="s">
        <v>597</v>
      </c>
      <c r="B69" s="64" t="s">
        <v>598</v>
      </c>
      <c r="C69" s="76">
        <v>67</v>
      </c>
      <c r="D69" s="64" t="s">
        <v>596</v>
      </c>
      <c r="E69" s="64" t="s">
        <v>599</v>
      </c>
      <c r="F69" s="67" t="s">
        <v>491</v>
      </c>
      <c r="G69" s="64" t="s">
        <v>596</v>
      </c>
      <c r="H69" s="64" t="s">
        <v>600</v>
      </c>
      <c r="I69" s="90" t="s">
        <v>426</v>
      </c>
      <c r="J69" s="64" t="s">
        <v>596</v>
      </c>
      <c r="K69" s="64" t="s">
        <v>601</v>
      </c>
      <c r="L69" s="69">
        <v>44017</v>
      </c>
      <c r="M69" s="64" t="s">
        <v>596</v>
      </c>
      <c r="N69" s="64" t="s">
        <v>601</v>
      </c>
      <c r="O69" s="69">
        <v>44024</v>
      </c>
      <c r="P69" s="64" t="s">
        <v>596</v>
      </c>
      <c r="Q69" s="64" t="s">
        <v>602</v>
      </c>
      <c r="R69" s="68" t="s">
        <v>370</v>
      </c>
      <c r="S69" s="64" t="s">
        <v>596</v>
      </c>
      <c r="T69" s="64" t="s">
        <v>603</v>
      </c>
      <c r="U69" s="68" t="s">
        <v>492</v>
      </c>
      <c r="V69" s="64" t="s">
        <v>596</v>
      </c>
      <c r="W69" s="64" t="s">
        <v>604</v>
      </c>
      <c r="X69" s="68" t="s">
        <v>493</v>
      </c>
      <c r="Y69" s="65"/>
      <c r="Z69" s="70">
        <v>5</v>
      </c>
      <c r="AA69" s="71">
        <v>15000</v>
      </c>
      <c r="AB69" s="71">
        <f>AA69*Z69</f>
        <v>75000</v>
      </c>
      <c r="AC69" s="64"/>
      <c r="AD69" s="64"/>
      <c r="AE69" s="64"/>
      <c r="AF69" s="64"/>
      <c r="AG69" s="65"/>
      <c r="AH69" s="64" t="s">
        <v>596</v>
      </c>
      <c r="AI69" s="66" t="s">
        <v>594</v>
      </c>
    </row>
    <row r="70" spans="1:35" s="56" customFormat="1" ht="37.5">
      <c r="A70" s="78" t="s">
        <v>597</v>
      </c>
      <c r="B70" s="64" t="s">
        <v>598</v>
      </c>
      <c r="C70" s="76">
        <v>68</v>
      </c>
      <c r="D70" s="64" t="s">
        <v>596</v>
      </c>
      <c r="E70" s="64" t="s">
        <v>599</v>
      </c>
      <c r="F70" s="67" t="s">
        <v>494</v>
      </c>
      <c r="G70" s="64" t="s">
        <v>596</v>
      </c>
      <c r="H70" s="64" t="s">
        <v>600</v>
      </c>
      <c r="I70" s="67"/>
      <c r="J70" s="64" t="s">
        <v>596</v>
      </c>
      <c r="K70" s="64" t="s">
        <v>601</v>
      </c>
      <c r="L70" s="69">
        <v>44027</v>
      </c>
      <c r="M70" s="64" t="s">
        <v>596</v>
      </c>
      <c r="N70" s="64" t="s">
        <v>601</v>
      </c>
      <c r="O70" s="69">
        <v>44037</v>
      </c>
      <c r="P70" s="64" t="s">
        <v>596</v>
      </c>
      <c r="Q70" s="64" t="s">
        <v>602</v>
      </c>
      <c r="R70" s="68" t="s">
        <v>403</v>
      </c>
      <c r="S70" s="64" t="s">
        <v>596</v>
      </c>
      <c r="T70" s="64" t="s">
        <v>603</v>
      </c>
      <c r="U70" s="68" t="s">
        <v>371</v>
      </c>
      <c r="V70" s="64" t="s">
        <v>596</v>
      </c>
      <c r="W70" s="64" t="s">
        <v>604</v>
      </c>
      <c r="X70" s="68" t="s">
        <v>235</v>
      </c>
      <c r="Y70" s="65"/>
      <c r="Z70" s="70">
        <v>15</v>
      </c>
      <c r="AA70" s="71">
        <v>15000</v>
      </c>
      <c r="AB70" s="71">
        <f>AA70*Z70</f>
        <v>225000</v>
      </c>
      <c r="AC70" s="64"/>
      <c r="AD70" s="64"/>
      <c r="AE70" s="64">
        <f>8000*10</f>
        <v>80000</v>
      </c>
      <c r="AF70" s="64"/>
      <c r="AG70" s="65"/>
      <c r="AH70" s="64" t="s">
        <v>596</v>
      </c>
      <c r="AI70" s="66" t="s">
        <v>594</v>
      </c>
    </row>
    <row r="71" spans="1:35" s="56" customFormat="1" ht="37.5">
      <c r="A71" s="78" t="s">
        <v>597</v>
      </c>
      <c r="B71" s="64" t="s">
        <v>598</v>
      </c>
      <c r="C71" s="76">
        <v>69</v>
      </c>
      <c r="D71" s="64" t="s">
        <v>596</v>
      </c>
      <c r="E71" s="64" t="s">
        <v>599</v>
      </c>
      <c r="F71" s="67" t="s">
        <v>495</v>
      </c>
      <c r="G71" s="64" t="s">
        <v>596</v>
      </c>
      <c r="H71" s="64" t="s">
        <v>600</v>
      </c>
      <c r="I71" s="67" t="s">
        <v>376</v>
      </c>
      <c r="J71" s="64" t="s">
        <v>596</v>
      </c>
      <c r="K71" s="64" t="s">
        <v>601</v>
      </c>
      <c r="L71" s="69">
        <v>44030</v>
      </c>
      <c r="M71" s="64" t="s">
        <v>596</v>
      </c>
      <c r="N71" s="64" t="s">
        <v>601</v>
      </c>
      <c r="O71" s="69">
        <v>44030</v>
      </c>
      <c r="P71" s="64" t="s">
        <v>596</v>
      </c>
      <c r="Q71" s="64" t="s">
        <v>602</v>
      </c>
      <c r="R71" s="69" t="s">
        <v>361</v>
      </c>
      <c r="S71" s="64" t="s">
        <v>596</v>
      </c>
      <c r="T71" s="64" t="s">
        <v>603</v>
      </c>
      <c r="U71" s="68" t="s">
        <v>362</v>
      </c>
      <c r="V71" s="64" t="s">
        <v>596</v>
      </c>
      <c r="W71" s="64" t="s">
        <v>604</v>
      </c>
      <c r="X71" s="68" t="s">
        <v>377</v>
      </c>
      <c r="Y71" s="65"/>
      <c r="Z71" s="70"/>
      <c r="AA71" s="71"/>
      <c r="AB71" s="71"/>
      <c r="AC71" s="64"/>
      <c r="AD71" s="64"/>
      <c r="AE71" s="64"/>
      <c r="AF71" s="64"/>
      <c r="AG71" s="65"/>
      <c r="AH71" s="64" t="s">
        <v>596</v>
      </c>
      <c r="AI71" s="66" t="s">
        <v>594</v>
      </c>
    </row>
    <row r="72" spans="1:35" s="56" customFormat="1" ht="75" hidden="1">
      <c r="A72" s="78" t="s">
        <v>597</v>
      </c>
      <c r="B72" s="64" t="s">
        <v>598</v>
      </c>
      <c r="C72" s="76">
        <v>70</v>
      </c>
      <c r="D72" s="64" t="s">
        <v>596</v>
      </c>
      <c r="E72" s="64" t="s">
        <v>599</v>
      </c>
      <c r="F72" s="67" t="s">
        <v>496</v>
      </c>
      <c r="G72" s="64" t="s">
        <v>596</v>
      </c>
      <c r="H72" s="64" t="s">
        <v>600</v>
      </c>
      <c r="I72" s="93" t="s">
        <v>497</v>
      </c>
      <c r="J72" s="64" t="s">
        <v>596</v>
      </c>
      <c r="K72" s="64" t="s">
        <v>601</v>
      </c>
      <c r="L72" s="69">
        <v>44030</v>
      </c>
      <c r="M72" s="64" t="s">
        <v>596</v>
      </c>
      <c r="N72" s="64" t="s">
        <v>601</v>
      </c>
      <c r="O72" s="69">
        <v>44031</v>
      </c>
      <c r="P72" s="64" t="s">
        <v>596</v>
      </c>
      <c r="Q72" s="64" t="s">
        <v>602</v>
      </c>
      <c r="R72" s="68" t="s">
        <v>389</v>
      </c>
      <c r="S72" s="64" t="s">
        <v>596</v>
      </c>
      <c r="T72" s="64" t="s">
        <v>603</v>
      </c>
      <c r="U72" s="68" t="s">
        <v>444</v>
      </c>
      <c r="V72" s="64" t="s">
        <v>596</v>
      </c>
      <c r="W72" s="64" t="s">
        <v>604</v>
      </c>
      <c r="X72" s="68" t="s">
        <v>396</v>
      </c>
      <c r="Y72" s="65"/>
      <c r="Z72" s="70"/>
      <c r="AA72" s="71"/>
      <c r="AB72" s="71"/>
      <c r="AC72" s="64"/>
      <c r="AD72" s="64"/>
      <c r="AE72" s="64"/>
      <c r="AF72" s="64"/>
      <c r="AG72" s="65"/>
      <c r="AH72" s="64" t="s">
        <v>596</v>
      </c>
      <c r="AI72" s="66" t="s">
        <v>594</v>
      </c>
    </row>
    <row r="73" spans="1:35" s="56" customFormat="1" ht="37.5" hidden="1">
      <c r="A73" s="78" t="s">
        <v>597</v>
      </c>
      <c r="B73" s="64" t="s">
        <v>598</v>
      </c>
      <c r="C73" s="76">
        <v>71</v>
      </c>
      <c r="D73" s="64" t="s">
        <v>596</v>
      </c>
      <c r="E73" s="64" t="s">
        <v>599</v>
      </c>
      <c r="F73" s="67" t="s">
        <v>498</v>
      </c>
      <c r="G73" s="64" t="s">
        <v>596</v>
      </c>
      <c r="H73" s="64" t="s">
        <v>600</v>
      </c>
      <c r="I73" s="90" t="s">
        <v>426</v>
      </c>
      <c r="J73" s="64" t="s">
        <v>596</v>
      </c>
      <c r="K73" s="64" t="s">
        <v>601</v>
      </c>
      <c r="L73" s="69">
        <v>44030</v>
      </c>
      <c r="M73" s="64" t="s">
        <v>596</v>
      </c>
      <c r="N73" s="64" t="s">
        <v>601</v>
      </c>
      <c r="O73" s="69">
        <v>44040</v>
      </c>
      <c r="P73" s="64" t="s">
        <v>596</v>
      </c>
      <c r="Q73" s="64" t="s">
        <v>602</v>
      </c>
      <c r="R73" s="68" t="s">
        <v>370</v>
      </c>
      <c r="S73" s="64" t="s">
        <v>596</v>
      </c>
      <c r="T73" s="64" t="s">
        <v>603</v>
      </c>
      <c r="U73" s="68" t="s">
        <v>408</v>
      </c>
      <c r="V73" s="64" t="s">
        <v>596</v>
      </c>
      <c r="W73" s="64" t="s">
        <v>604</v>
      </c>
      <c r="X73" s="68" t="s">
        <v>409</v>
      </c>
      <c r="Y73" s="65"/>
      <c r="Z73" s="70"/>
      <c r="AA73" s="71"/>
      <c r="AB73" s="71"/>
      <c r="AC73" s="64">
        <v>300000</v>
      </c>
      <c r="AD73" s="64">
        <v>20000</v>
      </c>
      <c r="AE73" s="64">
        <v>50000</v>
      </c>
      <c r="AF73" s="64"/>
      <c r="AG73" s="65"/>
      <c r="AH73" s="64" t="s">
        <v>596</v>
      </c>
      <c r="AI73" s="66" t="s">
        <v>594</v>
      </c>
    </row>
    <row r="74" spans="1:35" s="56" customFormat="1" ht="37.5">
      <c r="A74" s="78" t="s">
        <v>597</v>
      </c>
      <c r="B74" s="64" t="s">
        <v>598</v>
      </c>
      <c r="C74" s="76">
        <v>72</v>
      </c>
      <c r="D74" s="64" t="s">
        <v>596</v>
      </c>
      <c r="E74" s="64" t="s">
        <v>599</v>
      </c>
      <c r="F74" s="67" t="s">
        <v>499</v>
      </c>
      <c r="G74" s="64" t="s">
        <v>596</v>
      </c>
      <c r="H74" s="64" t="s">
        <v>600</v>
      </c>
      <c r="I74" s="67" t="s">
        <v>376</v>
      </c>
      <c r="J74" s="64" t="s">
        <v>596</v>
      </c>
      <c r="K74" s="64" t="s">
        <v>601</v>
      </c>
      <c r="L74" s="69">
        <v>44031</v>
      </c>
      <c r="M74" s="64" t="s">
        <v>596</v>
      </c>
      <c r="N74" s="64" t="s">
        <v>601</v>
      </c>
      <c r="O74" s="69">
        <v>44031</v>
      </c>
      <c r="P74" s="64" t="s">
        <v>596</v>
      </c>
      <c r="Q74" s="64" t="s">
        <v>602</v>
      </c>
      <c r="R74" s="69" t="s">
        <v>361</v>
      </c>
      <c r="S74" s="64" t="s">
        <v>596</v>
      </c>
      <c r="T74" s="64" t="s">
        <v>603</v>
      </c>
      <c r="U74" s="68" t="s">
        <v>362</v>
      </c>
      <c r="V74" s="64" t="s">
        <v>596</v>
      </c>
      <c r="W74" s="64" t="s">
        <v>604</v>
      </c>
      <c r="X74" s="68" t="s">
        <v>377</v>
      </c>
      <c r="Y74" s="65"/>
      <c r="Z74" s="70">
        <v>15</v>
      </c>
      <c r="AA74" s="71">
        <v>15000</v>
      </c>
      <c r="AB74" s="71">
        <f>AA74*Z74</f>
        <v>225000</v>
      </c>
      <c r="AC74" s="64"/>
      <c r="AD74" s="64"/>
      <c r="AE74" s="64"/>
      <c r="AF74" s="64"/>
      <c r="AG74" s="65"/>
      <c r="AH74" s="64" t="s">
        <v>596</v>
      </c>
      <c r="AI74" s="66" t="s">
        <v>594</v>
      </c>
    </row>
    <row r="75" spans="1:35" s="56" customFormat="1" ht="56.25" hidden="1">
      <c r="A75" s="78" t="s">
        <v>597</v>
      </c>
      <c r="B75" s="64" t="s">
        <v>598</v>
      </c>
      <c r="C75" s="76">
        <v>73</v>
      </c>
      <c r="D75" s="64" t="s">
        <v>596</v>
      </c>
      <c r="E75" s="64" t="s">
        <v>599</v>
      </c>
      <c r="F75" s="67" t="s">
        <v>500</v>
      </c>
      <c r="G75" s="64" t="s">
        <v>596</v>
      </c>
      <c r="H75" s="64" t="s">
        <v>600</v>
      </c>
      <c r="I75" s="90" t="s">
        <v>426</v>
      </c>
      <c r="J75" s="64" t="s">
        <v>596</v>
      </c>
      <c r="K75" s="64" t="s">
        <v>601</v>
      </c>
      <c r="L75" s="69">
        <v>44031</v>
      </c>
      <c r="M75" s="64" t="s">
        <v>596</v>
      </c>
      <c r="N75" s="64" t="s">
        <v>601</v>
      </c>
      <c r="O75" s="69">
        <v>44031</v>
      </c>
      <c r="P75" s="64" t="s">
        <v>596</v>
      </c>
      <c r="Q75" s="64" t="s">
        <v>602</v>
      </c>
      <c r="R75" s="69" t="s">
        <v>366</v>
      </c>
      <c r="S75" s="64" t="s">
        <v>596</v>
      </c>
      <c r="T75" s="64" t="s">
        <v>603</v>
      </c>
      <c r="U75" s="68" t="s">
        <v>362</v>
      </c>
      <c r="V75" s="64" t="s">
        <v>596</v>
      </c>
      <c r="W75" s="64" t="s">
        <v>604</v>
      </c>
      <c r="X75" s="68" t="s">
        <v>368</v>
      </c>
      <c r="Y75" s="65"/>
      <c r="Z75" s="70"/>
      <c r="AA75" s="71"/>
      <c r="AB75" s="71"/>
      <c r="AC75" s="64"/>
      <c r="AD75" s="64"/>
      <c r="AE75" s="64"/>
      <c r="AF75" s="64"/>
      <c r="AG75" s="65"/>
      <c r="AH75" s="64" t="s">
        <v>596</v>
      </c>
      <c r="AI75" s="66" t="s">
        <v>594</v>
      </c>
    </row>
    <row r="76" spans="1:35" s="56" customFormat="1" ht="37.5">
      <c r="A76" s="78" t="s">
        <v>597</v>
      </c>
      <c r="B76" s="64" t="s">
        <v>598</v>
      </c>
      <c r="C76" s="76">
        <v>74</v>
      </c>
      <c r="D76" s="64" t="s">
        <v>596</v>
      </c>
      <c r="E76" s="64" t="s">
        <v>599</v>
      </c>
      <c r="F76" s="67" t="s">
        <v>501</v>
      </c>
      <c r="G76" s="64" t="s">
        <v>596</v>
      </c>
      <c r="H76" s="64" t="s">
        <v>600</v>
      </c>
      <c r="I76" s="67" t="s">
        <v>614</v>
      </c>
      <c r="J76" s="64" t="s">
        <v>596</v>
      </c>
      <c r="K76" s="64" t="s">
        <v>601</v>
      </c>
      <c r="L76" s="69">
        <v>44033</v>
      </c>
      <c r="M76" s="64" t="s">
        <v>596</v>
      </c>
      <c r="N76" s="64" t="s">
        <v>601</v>
      </c>
      <c r="O76" s="69">
        <v>44041</v>
      </c>
      <c r="P76" s="64" t="s">
        <v>596</v>
      </c>
      <c r="Q76" s="64" t="s">
        <v>602</v>
      </c>
      <c r="R76" s="68" t="s">
        <v>361</v>
      </c>
      <c r="S76" s="64" t="s">
        <v>596</v>
      </c>
      <c r="T76" s="64" t="s">
        <v>603</v>
      </c>
      <c r="U76" s="68" t="s">
        <v>362</v>
      </c>
      <c r="V76" s="64" t="s">
        <v>596</v>
      </c>
      <c r="W76" s="64" t="s">
        <v>604</v>
      </c>
      <c r="X76" s="68" t="s">
        <v>390</v>
      </c>
      <c r="Y76" s="65"/>
      <c r="Z76" s="70"/>
      <c r="AA76" s="71"/>
      <c r="AB76" s="71"/>
      <c r="AC76" s="64"/>
      <c r="AD76" s="64"/>
      <c r="AE76" s="64"/>
      <c r="AF76" s="64"/>
      <c r="AG76" s="65"/>
      <c r="AH76" s="64" t="s">
        <v>596</v>
      </c>
      <c r="AI76" s="66" t="s">
        <v>594</v>
      </c>
    </row>
    <row r="77" spans="1:35" s="56" customFormat="1">
      <c r="A77" s="78" t="s">
        <v>597</v>
      </c>
      <c r="B77" s="64" t="s">
        <v>598</v>
      </c>
      <c r="C77" s="76">
        <v>75</v>
      </c>
      <c r="D77" s="64" t="s">
        <v>596</v>
      </c>
      <c r="E77" s="64" t="s">
        <v>599</v>
      </c>
      <c r="F77" s="67" t="s">
        <v>502</v>
      </c>
      <c r="G77" s="64" t="s">
        <v>596</v>
      </c>
      <c r="H77" s="64" t="s">
        <v>600</v>
      </c>
      <c r="I77" s="67" t="s">
        <v>488</v>
      </c>
      <c r="J77" s="64" t="s">
        <v>596</v>
      </c>
      <c r="K77" s="64" t="s">
        <v>601</v>
      </c>
      <c r="L77" s="69">
        <v>44044</v>
      </c>
      <c r="M77" s="64" t="s">
        <v>596</v>
      </c>
      <c r="N77" s="64" t="s">
        <v>601</v>
      </c>
      <c r="O77" s="69">
        <v>44073</v>
      </c>
      <c r="P77" s="64" t="s">
        <v>596</v>
      </c>
      <c r="Q77" s="64" t="s">
        <v>602</v>
      </c>
      <c r="R77" s="68" t="s">
        <v>361</v>
      </c>
      <c r="S77" s="64" t="s">
        <v>596</v>
      </c>
      <c r="T77" s="64" t="s">
        <v>603</v>
      </c>
      <c r="U77" s="68" t="s">
        <v>503</v>
      </c>
      <c r="V77" s="64" t="s">
        <v>596</v>
      </c>
      <c r="W77" s="64" t="s">
        <v>604</v>
      </c>
      <c r="X77" s="68" t="s">
        <v>387</v>
      </c>
      <c r="Y77" s="65"/>
      <c r="Z77" s="70"/>
      <c r="AA77" s="71"/>
      <c r="AB77" s="71"/>
      <c r="AC77" s="64"/>
      <c r="AD77" s="64"/>
      <c r="AE77" s="64"/>
      <c r="AF77" s="64"/>
      <c r="AG77" s="65"/>
      <c r="AH77" s="64" t="s">
        <v>596</v>
      </c>
      <c r="AI77" s="66" t="s">
        <v>594</v>
      </c>
    </row>
    <row r="78" spans="1:35" s="56" customFormat="1" ht="37.5">
      <c r="A78" s="78" t="s">
        <v>597</v>
      </c>
      <c r="B78" s="64" t="s">
        <v>598</v>
      </c>
      <c r="C78" s="76">
        <v>76</v>
      </c>
      <c r="D78" s="64" t="s">
        <v>596</v>
      </c>
      <c r="E78" s="64" t="s">
        <v>599</v>
      </c>
      <c r="F78" s="67" t="s">
        <v>504</v>
      </c>
      <c r="G78" s="64" t="s">
        <v>596</v>
      </c>
      <c r="H78" s="64" t="s">
        <v>600</v>
      </c>
      <c r="I78" s="67"/>
      <c r="J78" s="64" t="s">
        <v>596</v>
      </c>
      <c r="K78" s="64" t="s">
        <v>601</v>
      </c>
      <c r="L78" s="69">
        <v>44044</v>
      </c>
      <c r="M78" s="64" t="s">
        <v>596</v>
      </c>
      <c r="N78" s="64" t="s">
        <v>601</v>
      </c>
      <c r="O78" s="69">
        <v>44073</v>
      </c>
      <c r="P78" s="64" t="s">
        <v>596</v>
      </c>
      <c r="Q78" s="64" t="s">
        <v>602</v>
      </c>
      <c r="R78" s="68" t="s">
        <v>403</v>
      </c>
      <c r="S78" s="64" t="s">
        <v>596</v>
      </c>
      <c r="T78" s="64" t="s">
        <v>603</v>
      </c>
      <c r="U78" s="68" t="s">
        <v>479</v>
      </c>
      <c r="V78" s="64" t="s">
        <v>596</v>
      </c>
      <c r="W78" s="64" t="s">
        <v>604</v>
      </c>
      <c r="X78" s="68" t="s">
        <v>235</v>
      </c>
      <c r="Y78" s="65"/>
      <c r="Z78" s="70">
        <v>2</v>
      </c>
      <c r="AA78" s="71">
        <v>30000</v>
      </c>
      <c r="AB78" s="71">
        <f>AA78*Z78</f>
        <v>60000</v>
      </c>
      <c r="AC78" s="64"/>
      <c r="AD78" s="64"/>
      <c r="AE78" s="64"/>
      <c r="AF78" s="64"/>
      <c r="AG78" s="65"/>
      <c r="AH78" s="64" t="s">
        <v>596</v>
      </c>
      <c r="AI78" s="66" t="s">
        <v>594</v>
      </c>
    </row>
    <row r="79" spans="1:35" s="56" customFormat="1" ht="37.5" hidden="1">
      <c r="A79" s="78" t="s">
        <v>597</v>
      </c>
      <c r="B79" s="64" t="s">
        <v>598</v>
      </c>
      <c r="C79" s="76">
        <v>77</v>
      </c>
      <c r="D79" s="64" t="s">
        <v>596</v>
      </c>
      <c r="E79" s="64" t="s">
        <v>599</v>
      </c>
      <c r="F79" s="67" t="s">
        <v>505</v>
      </c>
      <c r="G79" s="64" t="s">
        <v>596</v>
      </c>
      <c r="H79" s="64" t="s">
        <v>600</v>
      </c>
      <c r="I79" s="90" t="s">
        <v>506</v>
      </c>
      <c r="J79" s="64" t="s">
        <v>596</v>
      </c>
      <c r="K79" s="64" t="s">
        <v>601</v>
      </c>
      <c r="L79" s="69">
        <v>44045</v>
      </c>
      <c r="M79" s="64" t="s">
        <v>596</v>
      </c>
      <c r="N79" s="64" t="s">
        <v>601</v>
      </c>
      <c r="O79" s="69">
        <v>44055</v>
      </c>
      <c r="P79" s="64" t="s">
        <v>596</v>
      </c>
      <c r="Q79" s="64" t="s">
        <v>602</v>
      </c>
      <c r="R79" s="68" t="s">
        <v>370</v>
      </c>
      <c r="S79" s="64" t="s">
        <v>596</v>
      </c>
      <c r="T79" s="64" t="s">
        <v>603</v>
      </c>
      <c r="U79" s="68" t="s">
        <v>503</v>
      </c>
      <c r="V79" s="64" t="s">
        <v>596</v>
      </c>
      <c r="W79" s="64" t="s">
        <v>604</v>
      </c>
      <c r="X79" s="68" t="s">
        <v>368</v>
      </c>
      <c r="Y79" s="65"/>
      <c r="Z79" s="70"/>
      <c r="AA79" s="71"/>
      <c r="AB79" s="71"/>
      <c r="AC79" s="64"/>
      <c r="AD79" s="64"/>
      <c r="AE79" s="64"/>
      <c r="AF79" s="64"/>
      <c r="AG79" s="65"/>
      <c r="AH79" s="64" t="s">
        <v>596</v>
      </c>
      <c r="AI79" s="66" t="s">
        <v>594</v>
      </c>
    </row>
    <row r="80" spans="1:35" s="56" customFormat="1" ht="56.25" hidden="1">
      <c r="A80" s="78" t="s">
        <v>597</v>
      </c>
      <c r="B80" s="64" t="s">
        <v>598</v>
      </c>
      <c r="C80" s="76">
        <v>78</v>
      </c>
      <c r="D80" s="64" t="s">
        <v>596</v>
      </c>
      <c r="E80" s="64" t="s">
        <v>599</v>
      </c>
      <c r="F80" s="67" t="s">
        <v>507</v>
      </c>
      <c r="G80" s="64" t="s">
        <v>596</v>
      </c>
      <c r="H80" s="64" t="s">
        <v>600</v>
      </c>
      <c r="I80" s="90" t="s">
        <v>508</v>
      </c>
      <c r="J80" s="64" t="s">
        <v>596</v>
      </c>
      <c r="K80" s="64" t="s">
        <v>601</v>
      </c>
      <c r="L80" s="69">
        <v>44046</v>
      </c>
      <c r="M80" s="64" t="s">
        <v>596</v>
      </c>
      <c r="N80" s="64" t="s">
        <v>601</v>
      </c>
      <c r="O80" s="69">
        <v>44047</v>
      </c>
      <c r="P80" s="64" t="s">
        <v>596</v>
      </c>
      <c r="Q80" s="64" t="s">
        <v>602</v>
      </c>
      <c r="R80" s="68" t="s">
        <v>366</v>
      </c>
      <c r="S80" s="64" t="s">
        <v>596</v>
      </c>
      <c r="T80" s="64" t="s">
        <v>603</v>
      </c>
      <c r="U80" s="68" t="s">
        <v>509</v>
      </c>
      <c r="V80" s="64" t="s">
        <v>596</v>
      </c>
      <c r="W80" s="64" t="s">
        <v>604</v>
      </c>
      <c r="X80" s="68" t="s">
        <v>368</v>
      </c>
      <c r="Y80" s="65"/>
      <c r="Z80" s="70"/>
      <c r="AA80" s="71"/>
      <c r="AB80" s="71"/>
      <c r="AC80" s="64"/>
      <c r="AD80" s="64"/>
      <c r="AE80" s="64"/>
      <c r="AF80" s="64"/>
      <c r="AG80" s="65"/>
      <c r="AH80" s="64" t="s">
        <v>596</v>
      </c>
      <c r="AI80" s="66" t="s">
        <v>594</v>
      </c>
    </row>
    <row r="81" spans="1:35" s="56" customFormat="1" ht="37.5">
      <c r="A81" s="78" t="s">
        <v>597</v>
      </c>
      <c r="B81" s="64" t="s">
        <v>598</v>
      </c>
      <c r="C81" s="76">
        <v>79</v>
      </c>
      <c r="D81" s="64" t="s">
        <v>596</v>
      </c>
      <c r="E81" s="64" t="s">
        <v>599</v>
      </c>
      <c r="F81" s="67" t="s">
        <v>510</v>
      </c>
      <c r="G81" s="64" t="s">
        <v>596</v>
      </c>
      <c r="H81" s="64" t="s">
        <v>600</v>
      </c>
      <c r="I81" s="67" t="s">
        <v>376</v>
      </c>
      <c r="J81" s="64" t="s">
        <v>596</v>
      </c>
      <c r="K81" s="64" t="s">
        <v>601</v>
      </c>
      <c r="L81" s="69">
        <v>44051</v>
      </c>
      <c r="M81" s="64" t="s">
        <v>596</v>
      </c>
      <c r="N81" s="64" t="s">
        <v>601</v>
      </c>
      <c r="O81" s="69">
        <v>44051</v>
      </c>
      <c r="P81" s="64" t="s">
        <v>596</v>
      </c>
      <c r="Q81" s="64" t="s">
        <v>602</v>
      </c>
      <c r="R81" s="69" t="s">
        <v>361</v>
      </c>
      <c r="S81" s="64" t="s">
        <v>596</v>
      </c>
      <c r="T81" s="64" t="s">
        <v>603</v>
      </c>
      <c r="U81" s="68" t="s">
        <v>362</v>
      </c>
      <c r="V81" s="64" t="s">
        <v>596</v>
      </c>
      <c r="W81" s="64" t="s">
        <v>604</v>
      </c>
      <c r="X81" s="68" t="s">
        <v>377</v>
      </c>
      <c r="Y81" s="65"/>
      <c r="Z81" s="70"/>
      <c r="AA81" s="71"/>
      <c r="AB81" s="71"/>
      <c r="AC81" s="64"/>
      <c r="AD81" s="64"/>
      <c r="AE81" s="64"/>
      <c r="AF81" s="64"/>
      <c r="AG81" s="65"/>
      <c r="AH81" s="64" t="s">
        <v>596</v>
      </c>
      <c r="AI81" s="66" t="s">
        <v>594</v>
      </c>
    </row>
    <row r="82" spans="1:35" s="56" customFormat="1" ht="37.5">
      <c r="A82" s="78" t="s">
        <v>597</v>
      </c>
      <c r="B82" s="64" t="s">
        <v>598</v>
      </c>
      <c r="C82" s="76">
        <v>80</v>
      </c>
      <c r="D82" s="64" t="s">
        <v>596</v>
      </c>
      <c r="E82" s="64" t="s">
        <v>599</v>
      </c>
      <c r="F82" s="67" t="s">
        <v>511</v>
      </c>
      <c r="G82" s="64" t="s">
        <v>596</v>
      </c>
      <c r="H82" s="64" t="s">
        <v>600</v>
      </c>
      <c r="I82" s="67" t="s">
        <v>376</v>
      </c>
      <c r="J82" s="64" t="s">
        <v>596</v>
      </c>
      <c r="K82" s="64" t="s">
        <v>601</v>
      </c>
      <c r="L82" s="69">
        <v>44052</v>
      </c>
      <c r="M82" s="64" t="s">
        <v>596</v>
      </c>
      <c r="N82" s="64" t="s">
        <v>601</v>
      </c>
      <c r="O82" s="69">
        <v>44052</v>
      </c>
      <c r="P82" s="64" t="s">
        <v>596</v>
      </c>
      <c r="Q82" s="64" t="s">
        <v>602</v>
      </c>
      <c r="R82" s="69" t="s">
        <v>361</v>
      </c>
      <c r="S82" s="64" t="s">
        <v>596</v>
      </c>
      <c r="T82" s="64" t="s">
        <v>603</v>
      </c>
      <c r="U82" s="68" t="s">
        <v>362</v>
      </c>
      <c r="V82" s="64" t="s">
        <v>596</v>
      </c>
      <c r="W82" s="64" t="s">
        <v>604</v>
      </c>
      <c r="X82" s="68" t="s">
        <v>377</v>
      </c>
      <c r="Y82" s="65"/>
      <c r="Z82" s="70"/>
      <c r="AA82" s="71"/>
      <c r="AB82" s="71"/>
      <c r="AC82" s="64"/>
      <c r="AD82" s="64"/>
      <c r="AE82" s="64"/>
      <c r="AF82" s="64"/>
      <c r="AG82" s="65"/>
      <c r="AH82" s="64" t="s">
        <v>596</v>
      </c>
      <c r="AI82" s="66" t="s">
        <v>594</v>
      </c>
    </row>
    <row r="83" spans="1:35" s="56" customFormat="1" ht="57.75" hidden="1" customHeight="1">
      <c r="A83" s="78" t="s">
        <v>597</v>
      </c>
      <c r="B83" s="64" t="s">
        <v>598</v>
      </c>
      <c r="C83" s="76">
        <v>81</v>
      </c>
      <c r="D83" s="64" t="s">
        <v>596</v>
      </c>
      <c r="E83" s="64" t="s">
        <v>599</v>
      </c>
      <c r="F83" s="67" t="s">
        <v>512</v>
      </c>
      <c r="G83" s="64" t="s">
        <v>596</v>
      </c>
      <c r="H83" s="64" t="s">
        <v>600</v>
      </c>
      <c r="I83" s="93" t="s">
        <v>443</v>
      </c>
      <c r="J83" s="64" t="s">
        <v>596</v>
      </c>
      <c r="K83" s="64" t="s">
        <v>601</v>
      </c>
      <c r="L83" s="69">
        <v>44053</v>
      </c>
      <c r="M83" s="64" t="s">
        <v>596</v>
      </c>
      <c r="N83" s="64" t="s">
        <v>601</v>
      </c>
      <c r="O83" s="69">
        <v>44053</v>
      </c>
      <c r="P83" s="64" t="s">
        <v>596</v>
      </c>
      <c r="Q83" s="64" t="s">
        <v>602</v>
      </c>
      <c r="R83" s="69" t="s">
        <v>389</v>
      </c>
      <c r="S83" s="64" t="s">
        <v>596</v>
      </c>
      <c r="T83" s="64" t="s">
        <v>603</v>
      </c>
      <c r="U83" s="68" t="s">
        <v>513</v>
      </c>
      <c r="V83" s="64" t="s">
        <v>596</v>
      </c>
      <c r="W83" s="64" t="s">
        <v>604</v>
      </c>
      <c r="X83" s="68" t="s">
        <v>396</v>
      </c>
      <c r="Y83" s="65"/>
      <c r="Z83" s="70"/>
      <c r="AA83" s="71"/>
      <c r="AB83" s="71"/>
      <c r="AC83" s="64"/>
      <c r="AD83" s="64"/>
      <c r="AE83" s="64"/>
      <c r="AF83" s="64"/>
      <c r="AG83" s="65"/>
      <c r="AH83" s="64" t="s">
        <v>596</v>
      </c>
      <c r="AI83" s="66" t="s">
        <v>594</v>
      </c>
    </row>
    <row r="84" spans="1:35" s="56" customFormat="1" hidden="1">
      <c r="A84" s="78" t="s">
        <v>597</v>
      </c>
      <c r="B84" s="64" t="s">
        <v>598</v>
      </c>
      <c r="C84" s="76">
        <v>82</v>
      </c>
      <c r="D84" s="64" t="s">
        <v>596</v>
      </c>
      <c r="E84" s="64" t="s">
        <v>599</v>
      </c>
      <c r="F84" s="67" t="s">
        <v>514</v>
      </c>
      <c r="G84" s="64" t="s">
        <v>596</v>
      </c>
      <c r="H84" s="64" t="s">
        <v>600</v>
      </c>
      <c r="I84" s="92"/>
      <c r="J84" s="64" t="s">
        <v>596</v>
      </c>
      <c r="K84" s="64" t="s">
        <v>601</v>
      </c>
      <c r="L84" s="69">
        <v>44054</v>
      </c>
      <c r="M84" s="64" t="s">
        <v>596</v>
      </c>
      <c r="N84" s="64" t="s">
        <v>601</v>
      </c>
      <c r="O84" s="69">
        <v>44062</v>
      </c>
      <c r="P84" s="64" t="s">
        <v>596</v>
      </c>
      <c r="Q84" s="64" t="s">
        <v>602</v>
      </c>
      <c r="R84" s="68" t="s">
        <v>415</v>
      </c>
      <c r="S84" s="64" t="s">
        <v>596</v>
      </c>
      <c r="T84" s="64" t="s">
        <v>603</v>
      </c>
      <c r="U84" s="68" t="s">
        <v>371</v>
      </c>
      <c r="V84" s="64" t="s">
        <v>596</v>
      </c>
      <c r="W84" s="64" t="s">
        <v>604</v>
      </c>
      <c r="X84" s="68" t="s">
        <v>371</v>
      </c>
      <c r="Y84" s="65"/>
      <c r="Z84" s="70"/>
      <c r="AA84" s="71"/>
      <c r="AB84" s="71"/>
      <c r="AC84" s="64"/>
      <c r="AD84" s="64"/>
      <c r="AE84" s="64"/>
      <c r="AF84" s="64"/>
      <c r="AG84" s="65"/>
      <c r="AH84" s="64" t="s">
        <v>596</v>
      </c>
      <c r="AI84" s="66" t="s">
        <v>594</v>
      </c>
    </row>
    <row r="85" spans="1:35" s="56" customFormat="1" ht="37.5" hidden="1">
      <c r="A85" s="78" t="s">
        <v>597</v>
      </c>
      <c r="B85" s="64" t="s">
        <v>598</v>
      </c>
      <c r="C85" s="76">
        <v>83</v>
      </c>
      <c r="D85" s="64" t="s">
        <v>596</v>
      </c>
      <c r="E85" s="64" t="s">
        <v>599</v>
      </c>
      <c r="F85" s="67" t="s">
        <v>369</v>
      </c>
      <c r="G85" s="64" t="s">
        <v>596</v>
      </c>
      <c r="H85" s="64" t="s">
        <v>600</v>
      </c>
      <c r="I85" s="90"/>
      <c r="J85" s="64" t="s">
        <v>596</v>
      </c>
      <c r="K85" s="64" t="s">
        <v>601</v>
      </c>
      <c r="L85" s="69">
        <v>44061</v>
      </c>
      <c r="M85" s="64" t="s">
        <v>596</v>
      </c>
      <c r="N85" s="64" t="s">
        <v>601</v>
      </c>
      <c r="O85" s="69">
        <v>44071</v>
      </c>
      <c r="P85" s="64" t="s">
        <v>596</v>
      </c>
      <c r="Q85" s="64" t="s">
        <v>602</v>
      </c>
      <c r="R85" s="68" t="s">
        <v>370</v>
      </c>
      <c r="S85" s="64" t="s">
        <v>596</v>
      </c>
      <c r="T85" s="64" t="s">
        <v>603</v>
      </c>
      <c r="U85" s="68" t="s">
        <v>515</v>
      </c>
      <c r="V85" s="64" t="s">
        <v>596</v>
      </c>
      <c r="W85" s="64" t="s">
        <v>604</v>
      </c>
      <c r="X85" s="68" t="s">
        <v>381</v>
      </c>
      <c r="Y85" s="65"/>
      <c r="Z85" s="70">
        <v>2</v>
      </c>
      <c r="AA85" s="71">
        <v>20000</v>
      </c>
      <c r="AB85" s="71">
        <f>AA85*Z85</f>
        <v>40000</v>
      </c>
      <c r="AC85" s="64"/>
      <c r="AD85" s="64"/>
      <c r="AE85" s="64"/>
      <c r="AF85" s="64"/>
      <c r="AG85" s="65"/>
      <c r="AH85" s="64" t="s">
        <v>596</v>
      </c>
      <c r="AI85" s="66" t="s">
        <v>594</v>
      </c>
    </row>
    <row r="86" spans="1:35" s="56" customFormat="1" ht="37.5" hidden="1">
      <c r="A86" s="78" t="s">
        <v>597</v>
      </c>
      <c r="B86" s="64" t="s">
        <v>598</v>
      </c>
      <c r="C86" s="76">
        <v>84</v>
      </c>
      <c r="D86" s="64" t="s">
        <v>596</v>
      </c>
      <c r="E86" s="64" t="s">
        <v>599</v>
      </c>
      <c r="F86" s="67" t="s">
        <v>516</v>
      </c>
      <c r="G86" s="64" t="s">
        <v>596</v>
      </c>
      <c r="H86" s="64" t="s">
        <v>600</v>
      </c>
      <c r="I86" s="90" t="s">
        <v>426</v>
      </c>
      <c r="J86" s="64" t="s">
        <v>596</v>
      </c>
      <c r="K86" s="64" t="s">
        <v>601</v>
      </c>
      <c r="L86" s="69">
        <v>44061</v>
      </c>
      <c r="M86" s="64" t="s">
        <v>596</v>
      </c>
      <c r="N86" s="64" t="s">
        <v>601</v>
      </c>
      <c r="O86" s="69">
        <v>44067</v>
      </c>
      <c r="P86" s="64" t="s">
        <v>596</v>
      </c>
      <c r="Q86" s="64" t="s">
        <v>602</v>
      </c>
      <c r="R86" s="68" t="s">
        <v>370</v>
      </c>
      <c r="S86" s="64" t="s">
        <v>596</v>
      </c>
      <c r="T86" s="64" t="s">
        <v>603</v>
      </c>
      <c r="U86" s="68" t="s">
        <v>362</v>
      </c>
      <c r="V86" s="64" t="s">
        <v>596</v>
      </c>
      <c r="W86" s="64" t="s">
        <v>604</v>
      </c>
      <c r="X86" s="68" t="s">
        <v>368</v>
      </c>
      <c r="Y86" s="65"/>
      <c r="Z86" s="70"/>
      <c r="AA86" s="71"/>
      <c r="AB86" s="71"/>
      <c r="AC86" s="64"/>
      <c r="AD86" s="64"/>
      <c r="AE86" s="64"/>
      <c r="AF86" s="64"/>
      <c r="AG86" s="65"/>
      <c r="AH86" s="64" t="s">
        <v>596</v>
      </c>
      <c r="AI86" s="66" t="s">
        <v>594</v>
      </c>
    </row>
    <row r="87" spans="1:35" s="56" customFormat="1" ht="37.5" hidden="1">
      <c r="A87" s="78" t="s">
        <v>597</v>
      </c>
      <c r="B87" s="64" t="s">
        <v>598</v>
      </c>
      <c r="C87" s="76">
        <v>85</v>
      </c>
      <c r="D87" s="64" t="s">
        <v>596</v>
      </c>
      <c r="E87" s="64" t="s">
        <v>599</v>
      </c>
      <c r="F87" s="67" t="s">
        <v>517</v>
      </c>
      <c r="G87" s="64" t="s">
        <v>596</v>
      </c>
      <c r="H87" s="64" t="s">
        <v>600</v>
      </c>
      <c r="I87" s="90" t="s">
        <v>506</v>
      </c>
      <c r="J87" s="64" t="s">
        <v>596</v>
      </c>
      <c r="K87" s="64" t="s">
        <v>601</v>
      </c>
      <c r="L87" s="69">
        <v>44074</v>
      </c>
      <c r="M87" s="64" t="s">
        <v>596</v>
      </c>
      <c r="N87" s="64" t="s">
        <v>601</v>
      </c>
      <c r="O87" s="69">
        <v>44084</v>
      </c>
      <c r="P87" s="64" t="s">
        <v>596</v>
      </c>
      <c r="Q87" s="64" t="s">
        <v>602</v>
      </c>
      <c r="R87" s="68" t="s">
        <v>370</v>
      </c>
      <c r="S87" s="64" t="s">
        <v>596</v>
      </c>
      <c r="T87" s="64" t="s">
        <v>603</v>
      </c>
      <c r="U87" s="68" t="s">
        <v>518</v>
      </c>
      <c r="V87" s="64" t="s">
        <v>596</v>
      </c>
      <c r="W87" s="64" t="s">
        <v>604</v>
      </c>
      <c r="X87" s="68" t="s">
        <v>368</v>
      </c>
      <c r="Y87" s="65"/>
      <c r="Z87" s="70"/>
      <c r="AA87" s="71"/>
      <c r="AB87" s="71"/>
      <c r="AC87" s="64"/>
      <c r="AD87" s="64"/>
      <c r="AE87" s="64"/>
      <c r="AF87" s="64"/>
      <c r="AG87" s="65"/>
      <c r="AH87" s="64" t="s">
        <v>596</v>
      </c>
      <c r="AI87" s="66" t="s">
        <v>594</v>
      </c>
    </row>
    <row r="88" spans="1:35" s="56" customFormat="1" ht="56.25" hidden="1">
      <c r="A88" s="78" t="s">
        <v>597</v>
      </c>
      <c r="B88" s="64" t="s">
        <v>598</v>
      </c>
      <c r="C88" s="76">
        <v>86</v>
      </c>
      <c r="D88" s="64" t="s">
        <v>596</v>
      </c>
      <c r="E88" s="64" t="s">
        <v>599</v>
      </c>
      <c r="F88" s="67" t="s">
        <v>519</v>
      </c>
      <c r="G88" s="64" t="s">
        <v>596</v>
      </c>
      <c r="H88" s="64" t="s">
        <v>600</v>
      </c>
      <c r="I88" s="93"/>
      <c r="J88" s="64" t="s">
        <v>596</v>
      </c>
      <c r="K88" s="64" t="s">
        <v>601</v>
      </c>
      <c r="L88" s="69">
        <v>44075</v>
      </c>
      <c r="M88" s="64" t="s">
        <v>596</v>
      </c>
      <c r="N88" s="64" t="s">
        <v>601</v>
      </c>
      <c r="O88" s="69">
        <v>44104</v>
      </c>
      <c r="P88" s="64" t="s">
        <v>596</v>
      </c>
      <c r="Q88" s="64" t="s">
        <v>602</v>
      </c>
      <c r="R88" s="69" t="s">
        <v>389</v>
      </c>
      <c r="S88" s="64" t="s">
        <v>596</v>
      </c>
      <c r="T88" s="64" t="s">
        <v>603</v>
      </c>
      <c r="U88" s="68" t="s">
        <v>520</v>
      </c>
      <c r="V88" s="64" t="s">
        <v>596</v>
      </c>
      <c r="W88" s="64" t="s">
        <v>604</v>
      </c>
      <c r="X88" s="68" t="s">
        <v>396</v>
      </c>
      <c r="Y88" s="65"/>
      <c r="Z88" s="70"/>
      <c r="AA88" s="71"/>
      <c r="AB88" s="71"/>
      <c r="AC88" s="64"/>
      <c r="AD88" s="64"/>
      <c r="AE88" s="64"/>
      <c r="AF88" s="64"/>
      <c r="AG88" s="65"/>
      <c r="AH88" s="64" t="s">
        <v>596</v>
      </c>
      <c r="AI88" s="66" t="s">
        <v>594</v>
      </c>
    </row>
    <row r="89" spans="1:35" s="56" customFormat="1" ht="37.5">
      <c r="A89" s="78" t="s">
        <v>597</v>
      </c>
      <c r="B89" s="64" t="s">
        <v>598</v>
      </c>
      <c r="C89" s="76">
        <v>87</v>
      </c>
      <c r="D89" s="64" t="s">
        <v>596</v>
      </c>
      <c r="E89" s="64" t="s">
        <v>599</v>
      </c>
      <c r="F89" s="67" t="s">
        <v>521</v>
      </c>
      <c r="G89" s="64" t="s">
        <v>596</v>
      </c>
      <c r="H89" s="64" t="s">
        <v>600</v>
      </c>
      <c r="I89" s="67" t="s">
        <v>625</v>
      </c>
      <c r="J89" s="64" t="s">
        <v>596</v>
      </c>
      <c r="K89" s="64" t="s">
        <v>601</v>
      </c>
      <c r="L89" s="69">
        <v>44084</v>
      </c>
      <c r="M89" s="64" t="s">
        <v>596</v>
      </c>
      <c r="N89" s="64" t="s">
        <v>601</v>
      </c>
      <c r="O89" s="69">
        <v>44087</v>
      </c>
      <c r="P89" s="64" t="s">
        <v>596</v>
      </c>
      <c r="Q89" s="64" t="s">
        <v>602</v>
      </c>
      <c r="R89" s="68" t="s">
        <v>366</v>
      </c>
      <c r="S89" s="64" t="s">
        <v>596</v>
      </c>
      <c r="T89" s="64" t="s">
        <v>603</v>
      </c>
      <c r="U89" s="68" t="s">
        <v>367</v>
      </c>
      <c r="V89" s="64" t="s">
        <v>596</v>
      </c>
      <c r="W89" s="64" t="s">
        <v>604</v>
      </c>
      <c r="X89" s="68" t="s">
        <v>368</v>
      </c>
      <c r="Y89" s="65"/>
      <c r="Z89" s="70">
        <v>5</v>
      </c>
      <c r="AA89" s="71">
        <v>15000</v>
      </c>
      <c r="AB89" s="71">
        <f>AA89*Z89</f>
        <v>75000</v>
      </c>
      <c r="AC89" s="64"/>
      <c r="AD89" s="64"/>
      <c r="AE89" s="64"/>
      <c r="AF89" s="64"/>
      <c r="AG89" s="65"/>
      <c r="AH89" s="64" t="s">
        <v>596</v>
      </c>
      <c r="AI89" s="66" t="s">
        <v>594</v>
      </c>
    </row>
    <row r="90" spans="1:35" s="56" customFormat="1" ht="37.5">
      <c r="A90" s="78" t="s">
        <v>597</v>
      </c>
      <c r="B90" s="64" t="s">
        <v>598</v>
      </c>
      <c r="C90" s="76">
        <v>88</v>
      </c>
      <c r="D90" s="64" t="s">
        <v>596</v>
      </c>
      <c r="E90" s="64" t="s">
        <v>599</v>
      </c>
      <c r="F90" s="67" t="s">
        <v>523</v>
      </c>
      <c r="G90" s="64" t="s">
        <v>596</v>
      </c>
      <c r="H90" s="64" t="s">
        <v>600</v>
      </c>
      <c r="I90" s="67" t="s">
        <v>376</v>
      </c>
      <c r="J90" s="64" t="s">
        <v>596</v>
      </c>
      <c r="K90" s="64" t="s">
        <v>601</v>
      </c>
      <c r="L90" s="69">
        <v>44086</v>
      </c>
      <c r="M90" s="64" t="s">
        <v>596</v>
      </c>
      <c r="N90" s="64" t="s">
        <v>601</v>
      </c>
      <c r="O90" s="69">
        <v>44086</v>
      </c>
      <c r="P90" s="64" t="s">
        <v>596</v>
      </c>
      <c r="Q90" s="64" t="s">
        <v>602</v>
      </c>
      <c r="R90" s="69" t="s">
        <v>361</v>
      </c>
      <c r="S90" s="64" t="s">
        <v>596</v>
      </c>
      <c r="T90" s="64" t="s">
        <v>603</v>
      </c>
      <c r="U90" s="68" t="s">
        <v>362</v>
      </c>
      <c r="V90" s="64" t="s">
        <v>596</v>
      </c>
      <c r="W90" s="64" t="s">
        <v>604</v>
      </c>
      <c r="X90" s="68" t="s">
        <v>377</v>
      </c>
      <c r="Y90" s="65"/>
      <c r="Z90" s="70"/>
      <c r="AA90" s="71"/>
      <c r="AB90" s="71"/>
      <c r="AC90" s="64"/>
      <c r="AD90" s="64"/>
      <c r="AE90" s="64"/>
      <c r="AF90" s="64"/>
      <c r="AG90" s="65"/>
      <c r="AH90" s="64" t="s">
        <v>596</v>
      </c>
      <c r="AI90" s="66" t="s">
        <v>594</v>
      </c>
    </row>
    <row r="91" spans="1:35" s="56" customFormat="1" ht="37.5">
      <c r="A91" s="78" t="s">
        <v>597</v>
      </c>
      <c r="B91" s="64" t="s">
        <v>598</v>
      </c>
      <c r="C91" s="76">
        <v>89</v>
      </c>
      <c r="D91" s="64" t="s">
        <v>596</v>
      </c>
      <c r="E91" s="64" t="s">
        <v>599</v>
      </c>
      <c r="F91" s="67" t="s">
        <v>524</v>
      </c>
      <c r="G91" s="64" t="s">
        <v>596</v>
      </c>
      <c r="H91" s="64" t="s">
        <v>600</v>
      </c>
      <c r="I91" s="67" t="s">
        <v>376</v>
      </c>
      <c r="J91" s="64" t="s">
        <v>596</v>
      </c>
      <c r="K91" s="64" t="s">
        <v>601</v>
      </c>
      <c r="L91" s="69">
        <v>44087</v>
      </c>
      <c r="M91" s="64" t="s">
        <v>596</v>
      </c>
      <c r="N91" s="64" t="s">
        <v>601</v>
      </c>
      <c r="O91" s="69">
        <v>44087</v>
      </c>
      <c r="P91" s="64" t="s">
        <v>596</v>
      </c>
      <c r="Q91" s="64" t="s">
        <v>602</v>
      </c>
      <c r="R91" s="69" t="s">
        <v>361</v>
      </c>
      <c r="S91" s="64" t="s">
        <v>596</v>
      </c>
      <c r="T91" s="64" t="s">
        <v>603</v>
      </c>
      <c r="U91" s="68" t="s">
        <v>362</v>
      </c>
      <c r="V91" s="64" t="s">
        <v>596</v>
      </c>
      <c r="W91" s="64" t="s">
        <v>604</v>
      </c>
      <c r="X91" s="68" t="s">
        <v>377</v>
      </c>
      <c r="Y91" s="65"/>
      <c r="Z91" s="70"/>
      <c r="AA91" s="71"/>
      <c r="AB91" s="71"/>
      <c r="AC91" s="64"/>
      <c r="AD91" s="64"/>
      <c r="AE91" s="64"/>
      <c r="AF91" s="64"/>
      <c r="AG91" s="65"/>
      <c r="AH91" s="64" t="s">
        <v>596</v>
      </c>
      <c r="AI91" s="66" t="s">
        <v>594</v>
      </c>
    </row>
    <row r="92" spans="1:35" s="56" customFormat="1" hidden="1">
      <c r="A92" s="78" t="s">
        <v>597</v>
      </c>
      <c r="B92" s="64" t="s">
        <v>598</v>
      </c>
      <c r="C92" s="76">
        <v>90</v>
      </c>
      <c r="D92" s="64" t="s">
        <v>596</v>
      </c>
      <c r="E92" s="64" t="s">
        <v>599</v>
      </c>
      <c r="F92" s="67" t="s">
        <v>525</v>
      </c>
      <c r="G92" s="64" t="s">
        <v>596</v>
      </c>
      <c r="H92" s="64" t="s">
        <v>600</v>
      </c>
      <c r="I92" s="90" t="s">
        <v>426</v>
      </c>
      <c r="J92" s="64" t="s">
        <v>596</v>
      </c>
      <c r="K92" s="64" t="s">
        <v>601</v>
      </c>
      <c r="L92" s="69">
        <v>44091</v>
      </c>
      <c r="M92" s="64" t="s">
        <v>596</v>
      </c>
      <c r="N92" s="64" t="s">
        <v>601</v>
      </c>
      <c r="O92" s="69">
        <v>44094</v>
      </c>
      <c r="P92" s="64" t="s">
        <v>596</v>
      </c>
      <c r="Q92" s="64" t="s">
        <v>602</v>
      </c>
      <c r="R92" s="75" t="s">
        <v>439</v>
      </c>
      <c r="S92" s="64" t="s">
        <v>596</v>
      </c>
      <c r="T92" s="64" t="s">
        <v>603</v>
      </c>
      <c r="U92" s="68" t="s">
        <v>444</v>
      </c>
      <c r="V92" s="64" t="s">
        <v>596</v>
      </c>
      <c r="W92" s="64" t="s">
        <v>604</v>
      </c>
      <c r="X92" s="68" t="s">
        <v>396</v>
      </c>
      <c r="Y92" s="65"/>
      <c r="Z92" s="70"/>
      <c r="AA92" s="71"/>
      <c r="AB92" s="71"/>
      <c r="AC92" s="64"/>
      <c r="AD92" s="64"/>
      <c r="AE92" s="64"/>
      <c r="AF92" s="64"/>
      <c r="AG92" s="65"/>
      <c r="AH92" s="64" t="s">
        <v>596</v>
      </c>
      <c r="AI92" s="66" t="s">
        <v>594</v>
      </c>
    </row>
    <row r="93" spans="1:35" s="56" customFormat="1" ht="37.5">
      <c r="A93" s="78" t="s">
        <v>597</v>
      </c>
      <c r="B93" s="64" t="s">
        <v>598</v>
      </c>
      <c r="C93" s="76">
        <v>91</v>
      </c>
      <c r="D93" s="64" t="s">
        <v>596</v>
      </c>
      <c r="E93" s="64" t="s">
        <v>599</v>
      </c>
      <c r="F93" s="67" t="s">
        <v>526</v>
      </c>
      <c r="G93" s="64" t="s">
        <v>596</v>
      </c>
      <c r="H93" s="64" t="s">
        <v>600</v>
      </c>
      <c r="I93" s="67" t="s">
        <v>621</v>
      </c>
      <c r="J93" s="64" t="s">
        <v>596</v>
      </c>
      <c r="K93" s="64" t="s">
        <v>601</v>
      </c>
      <c r="L93" s="69">
        <v>44100</v>
      </c>
      <c r="M93" s="64" t="s">
        <v>596</v>
      </c>
      <c r="N93" s="64" t="s">
        <v>601</v>
      </c>
      <c r="O93" s="69">
        <v>44100</v>
      </c>
      <c r="P93" s="64" t="s">
        <v>596</v>
      </c>
      <c r="Q93" s="64" t="s">
        <v>602</v>
      </c>
      <c r="R93" s="75" t="s">
        <v>361</v>
      </c>
      <c r="S93" s="64" t="s">
        <v>596</v>
      </c>
      <c r="T93" s="64" t="s">
        <v>603</v>
      </c>
      <c r="U93" s="68" t="s">
        <v>362</v>
      </c>
      <c r="V93" s="64" t="s">
        <v>596</v>
      </c>
      <c r="W93" s="64" t="s">
        <v>604</v>
      </c>
      <c r="X93" s="68" t="s">
        <v>377</v>
      </c>
      <c r="Y93" s="65"/>
      <c r="Z93" s="70"/>
      <c r="AA93" s="71"/>
      <c r="AB93" s="71"/>
      <c r="AC93" s="64"/>
      <c r="AD93" s="64"/>
      <c r="AE93" s="64"/>
      <c r="AF93" s="64"/>
      <c r="AG93" s="65"/>
      <c r="AH93" s="64" t="s">
        <v>596</v>
      </c>
      <c r="AI93" s="66" t="s">
        <v>594</v>
      </c>
    </row>
    <row r="94" spans="1:35" s="56" customFormat="1" ht="37.5" hidden="1">
      <c r="A94" s="78" t="s">
        <v>597</v>
      </c>
      <c r="B94" s="64" t="s">
        <v>598</v>
      </c>
      <c r="C94" s="76"/>
      <c r="D94" s="64" t="s">
        <v>596</v>
      </c>
      <c r="E94" s="64" t="s">
        <v>599</v>
      </c>
      <c r="F94" s="67" t="s">
        <v>527</v>
      </c>
      <c r="G94" s="64" t="s">
        <v>596</v>
      </c>
      <c r="H94" s="64" t="s">
        <v>600</v>
      </c>
      <c r="I94" s="93" t="s">
        <v>622</v>
      </c>
      <c r="J94" s="64" t="s">
        <v>596</v>
      </c>
      <c r="K94" s="64" t="s">
        <v>601</v>
      </c>
      <c r="L94" s="69">
        <v>44101</v>
      </c>
      <c r="M94" s="64" t="s">
        <v>596</v>
      </c>
      <c r="N94" s="64" t="s">
        <v>601</v>
      </c>
      <c r="O94" s="69">
        <v>44101</v>
      </c>
      <c r="P94" s="64" t="s">
        <v>596</v>
      </c>
      <c r="Q94" s="64" t="s">
        <v>602</v>
      </c>
      <c r="R94" s="69" t="s">
        <v>389</v>
      </c>
      <c r="S94" s="64" t="s">
        <v>596</v>
      </c>
      <c r="T94" s="64" t="s">
        <v>603</v>
      </c>
      <c r="U94" s="68" t="s">
        <v>304</v>
      </c>
      <c r="V94" s="64" t="s">
        <v>596</v>
      </c>
      <c r="W94" s="64" t="s">
        <v>604</v>
      </c>
      <c r="X94" s="68" t="s">
        <v>396</v>
      </c>
      <c r="Y94" s="65"/>
      <c r="Z94" s="70"/>
      <c r="AA94" s="71"/>
      <c r="AB94" s="71"/>
      <c r="AC94" s="64"/>
      <c r="AD94" s="64"/>
      <c r="AE94" s="64"/>
      <c r="AF94" s="64"/>
      <c r="AG94" s="65"/>
      <c r="AH94" s="64" t="s">
        <v>596</v>
      </c>
      <c r="AI94" s="66" t="s">
        <v>594</v>
      </c>
    </row>
    <row r="95" spans="1:35" s="56" customFormat="1" ht="37.5">
      <c r="A95" s="78" t="s">
        <v>597</v>
      </c>
      <c r="B95" s="64" t="s">
        <v>598</v>
      </c>
      <c r="C95" s="76">
        <v>92</v>
      </c>
      <c r="D95" s="64" t="s">
        <v>596</v>
      </c>
      <c r="E95" s="64" t="s">
        <v>599</v>
      </c>
      <c r="F95" s="67" t="s">
        <v>528</v>
      </c>
      <c r="G95" s="64" t="s">
        <v>596</v>
      </c>
      <c r="H95" s="64" t="s">
        <v>600</v>
      </c>
      <c r="I95" s="67" t="s">
        <v>488</v>
      </c>
      <c r="J95" s="64" t="s">
        <v>596</v>
      </c>
      <c r="K95" s="64" t="s">
        <v>601</v>
      </c>
      <c r="L95" s="69">
        <v>44105</v>
      </c>
      <c r="M95" s="64" t="s">
        <v>596</v>
      </c>
      <c r="N95" s="64" t="s">
        <v>601</v>
      </c>
      <c r="O95" s="69">
        <v>44134</v>
      </c>
      <c r="P95" s="64" t="s">
        <v>596</v>
      </c>
      <c r="Q95" s="64" t="s">
        <v>602</v>
      </c>
      <c r="R95" s="75" t="s">
        <v>370</v>
      </c>
      <c r="S95" s="64" t="s">
        <v>596</v>
      </c>
      <c r="T95" s="64" t="s">
        <v>603</v>
      </c>
      <c r="U95" s="68" t="s">
        <v>503</v>
      </c>
      <c r="V95" s="64" t="s">
        <v>596</v>
      </c>
      <c r="W95" s="64" t="s">
        <v>604</v>
      </c>
      <c r="X95" s="68" t="s">
        <v>387</v>
      </c>
      <c r="Y95" s="65"/>
      <c r="Z95" s="70"/>
      <c r="AA95" s="71"/>
      <c r="AB95" s="71"/>
      <c r="AC95" s="64"/>
      <c r="AD95" s="64"/>
      <c r="AE95" s="64"/>
      <c r="AF95" s="64"/>
      <c r="AG95" s="65"/>
      <c r="AH95" s="64" t="s">
        <v>596</v>
      </c>
      <c r="AI95" s="66" t="s">
        <v>594</v>
      </c>
    </row>
    <row r="96" spans="1:35" s="56" customFormat="1" ht="56.25">
      <c r="A96" s="78" t="s">
        <v>597</v>
      </c>
      <c r="B96" s="64" t="s">
        <v>598</v>
      </c>
      <c r="C96" s="76">
        <v>93</v>
      </c>
      <c r="D96" s="64" t="s">
        <v>596</v>
      </c>
      <c r="E96" s="64" t="s">
        <v>599</v>
      </c>
      <c r="F96" s="67" t="s">
        <v>529</v>
      </c>
      <c r="G96" s="64" t="s">
        <v>596</v>
      </c>
      <c r="H96" s="64" t="s">
        <v>600</v>
      </c>
      <c r="I96" s="67" t="s">
        <v>614</v>
      </c>
      <c r="J96" s="64" t="s">
        <v>596</v>
      </c>
      <c r="K96" s="64" t="s">
        <v>601</v>
      </c>
      <c r="L96" s="69">
        <v>44114</v>
      </c>
      <c r="M96" s="64" t="s">
        <v>596</v>
      </c>
      <c r="N96" s="64" t="s">
        <v>601</v>
      </c>
      <c r="O96" s="69">
        <v>44115</v>
      </c>
      <c r="P96" s="64" t="s">
        <v>596</v>
      </c>
      <c r="Q96" s="64" t="s">
        <v>602</v>
      </c>
      <c r="R96" s="75" t="s">
        <v>361</v>
      </c>
      <c r="S96" s="64" t="s">
        <v>596</v>
      </c>
      <c r="T96" s="64" t="s">
        <v>603</v>
      </c>
      <c r="U96" s="68" t="s">
        <v>530</v>
      </c>
      <c r="V96" s="64" t="s">
        <v>596</v>
      </c>
      <c r="W96" s="64" t="s">
        <v>604</v>
      </c>
      <c r="X96" s="68" t="s">
        <v>531</v>
      </c>
      <c r="Y96" s="65"/>
      <c r="Z96" s="70">
        <v>2</v>
      </c>
      <c r="AA96" s="71">
        <v>30000</v>
      </c>
      <c r="AB96" s="71">
        <f>AA96*Z96</f>
        <v>60000</v>
      </c>
      <c r="AC96" s="64"/>
      <c r="AD96" s="64"/>
      <c r="AE96" s="64"/>
      <c r="AF96" s="64"/>
      <c r="AG96" s="65"/>
      <c r="AH96" s="64" t="s">
        <v>596</v>
      </c>
      <c r="AI96" s="66" t="s">
        <v>594</v>
      </c>
    </row>
    <row r="97" spans="1:35" s="56" customFormat="1" ht="56.25" hidden="1">
      <c r="A97" s="78" t="s">
        <v>597</v>
      </c>
      <c r="B97" s="64" t="s">
        <v>598</v>
      </c>
      <c r="C97" s="76">
        <v>94</v>
      </c>
      <c r="D97" s="64" t="s">
        <v>596</v>
      </c>
      <c r="E97" s="64" t="s">
        <v>599</v>
      </c>
      <c r="F97" s="67" t="s">
        <v>532</v>
      </c>
      <c r="G97" s="64" t="s">
        <v>596</v>
      </c>
      <c r="H97" s="64" t="s">
        <v>600</v>
      </c>
      <c r="I97" s="90" t="s">
        <v>533</v>
      </c>
      <c r="J97" s="64" t="s">
        <v>596</v>
      </c>
      <c r="K97" s="64" t="s">
        <v>601</v>
      </c>
      <c r="L97" s="69">
        <v>44114</v>
      </c>
      <c r="M97" s="64" t="s">
        <v>596</v>
      </c>
      <c r="N97" s="64" t="s">
        <v>601</v>
      </c>
      <c r="O97" s="69">
        <v>44116</v>
      </c>
      <c r="P97" s="64" t="s">
        <v>596</v>
      </c>
      <c r="Q97" s="64" t="s">
        <v>602</v>
      </c>
      <c r="R97" s="69" t="s">
        <v>439</v>
      </c>
      <c r="S97" s="64" t="s">
        <v>596</v>
      </c>
      <c r="T97" s="64" t="s">
        <v>603</v>
      </c>
      <c r="U97" s="68" t="s">
        <v>534</v>
      </c>
      <c r="V97" s="64" t="s">
        <v>596</v>
      </c>
      <c r="W97" s="64" t="s">
        <v>604</v>
      </c>
      <c r="X97" s="68" t="s">
        <v>440</v>
      </c>
      <c r="Y97" s="65"/>
      <c r="Z97" s="70"/>
      <c r="AA97" s="71"/>
      <c r="AB97" s="71"/>
      <c r="AC97" s="64"/>
      <c r="AD97" s="64"/>
      <c r="AE97" s="64"/>
      <c r="AF97" s="64"/>
      <c r="AG97" s="65"/>
      <c r="AH97" s="64" t="s">
        <v>596</v>
      </c>
      <c r="AI97" s="66" t="s">
        <v>594</v>
      </c>
    </row>
    <row r="98" spans="1:35" s="56" customFormat="1" ht="37.5" hidden="1">
      <c r="A98" s="78" t="s">
        <v>597</v>
      </c>
      <c r="B98" s="64" t="s">
        <v>598</v>
      </c>
      <c r="C98" s="76">
        <v>95</v>
      </c>
      <c r="D98" s="64" t="s">
        <v>596</v>
      </c>
      <c r="E98" s="64" t="s">
        <v>599</v>
      </c>
      <c r="F98" s="67" t="s">
        <v>425</v>
      </c>
      <c r="G98" s="64" t="s">
        <v>596</v>
      </c>
      <c r="H98" s="64" t="s">
        <v>600</v>
      </c>
      <c r="I98" s="90"/>
      <c r="J98" s="64" t="s">
        <v>596</v>
      </c>
      <c r="K98" s="64" t="s">
        <v>601</v>
      </c>
      <c r="L98" s="69">
        <v>44117</v>
      </c>
      <c r="M98" s="64" t="s">
        <v>596</v>
      </c>
      <c r="N98" s="64" t="s">
        <v>601</v>
      </c>
      <c r="O98" s="69">
        <v>44123</v>
      </c>
      <c r="P98" s="64" t="s">
        <v>596</v>
      </c>
      <c r="Q98" s="64" t="s">
        <v>602</v>
      </c>
      <c r="R98" s="68" t="s">
        <v>370</v>
      </c>
      <c r="S98" s="64" t="s">
        <v>596</v>
      </c>
      <c r="T98" s="64" t="s">
        <v>603</v>
      </c>
      <c r="U98" s="68" t="s">
        <v>535</v>
      </c>
      <c r="V98" s="64" t="s">
        <v>596</v>
      </c>
      <c r="W98" s="64" t="s">
        <v>604</v>
      </c>
      <c r="X98" s="68" t="s">
        <v>421</v>
      </c>
      <c r="Y98" s="65"/>
      <c r="Z98" s="70"/>
      <c r="AA98" s="71"/>
      <c r="AB98" s="71"/>
      <c r="AC98" s="64"/>
      <c r="AD98" s="64"/>
      <c r="AE98" s="64"/>
      <c r="AF98" s="64"/>
      <c r="AG98" s="65"/>
      <c r="AH98" s="64" t="s">
        <v>596</v>
      </c>
      <c r="AI98" s="66" t="s">
        <v>594</v>
      </c>
    </row>
    <row r="99" spans="1:35" s="56" customFormat="1" ht="37.5">
      <c r="A99" s="78" t="s">
        <v>597</v>
      </c>
      <c r="B99" s="64" t="s">
        <v>598</v>
      </c>
      <c r="C99" s="76">
        <v>96</v>
      </c>
      <c r="D99" s="64" t="s">
        <v>596</v>
      </c>
      <c r="E99" s="64" t="s">
        <v>599</v>
      </c>
      <c r="F99" s="67" t="s">
        <v>536</v>
      </c>
      <c r="G99" s="64" t="s">
        <v>596</v>
      </c>
      <c r="H99" s="64" t="s">
        <v>600</v>
      </c>
      <c r="I99" s="67" t="s">
        <v>360</v>
      </c>
      <c r="J99" s="64" t="s">
        <v>596</v>
      </c>
      <c r="K99" s="64" t="s">
        <v>601</v>
      </c>
      <c r="L99" s="69">
        <v>44120</v>
      </c>
      <c r="M99" s="64" t="s">
        <v>596</v>
      </c>
      <c r="N99" s="64" t="s">
        <v>601</v>
      </c>
      <c r="O99" s="69">
        <v>44123</v>
      </c>
      <c r="P99" s="64" t="s">
        <v>596</v>
      </c>
      <c r="Q99" s="64" t="s">
        <v>602</v>
      </c>
      <c r="R99" s="68" t="s">
        <v>361</v>
      </c>
      <c r="S99" s="64" t="s">
        <v>596</v>
      </c>
      <c r="T99" s="64" t="s">
        <v>603</v>
      </c>
      <c r="U99" s="68" t="s">
        <v>515</v>
      </c>
      <c r="V99" s="64" t="s">
        <v>596</v>
      </c>
      <c r="W99" s="64" t="s">
        <v>604</v>
      </c>
      <c r="X99" s="68" t="s">
        <v>381</v>
      </c>
      <c r="Y99" s="65"/>
      <c r="Z99" s="70"/>
      <c r="AA99" s="71"/>
      <c r="AB99" s="71"/>
      <c r="AC99" s="64"/>
      <c r="AD99" s="64"/>
      <c r="AE99" s="64"/>
      <c r="AF99" s="64"/>
      <c r="AG99" s="65"/>
      <c r="AH99" s="64" t="s">
        <v>596</v>
      </c>
      <c r="AI99" s="66" t="s">
        <v>594</v>
      </c>
    </row>
    <row r="100" spans="1:35" s="56" customFormat="1" ht="37.5" hidden="1">
      <c r="A100" s="78" t="s">
        <v>597</v>
      </c>
      <c r="B100" s="64" t="s">
        <v>598</v>
      </c>
      <c r="C100" s="76">
        <v>97</v>
      </c>
      <c r="D100" s="64" t="s">
        <v>596</v>
      </c>
      <c r="E100" s="64" t="s">
        <v>599</v>
      </c>
      <c r="F100" s="67" t="s">
        <v>537</v>
      </c>
      <c r="G100" s="64" t="s">
        <v>596</v>
      </c>
      <c r="H100" s="64" t="s">
        <v>600</v>
      </c>
      <c r="I100" s="90" t="s">
        <v>538</v>
      </c>
      <c r="J100" s="64" t="s">
        <v>596</v>
      </c>
      <c r="K100" s="64" t="s">
        <v>601</v>
      </c>
      <c r="L100" s="69">
        <v>44121</v>
      </c>
      <c r="M100" s="64" t="s">
        <v>596</v>
      </c>
      <c r="N100" s="64" t="s">
        <v>601</v>
      </c>
      <c r="O100" s="69">
        <v>44123</v>
      </c>
      <c r="P100" s="64" t="s">
        <v>596</v>
      </c>
      <c r="Q100" s="64" t="s">
        <v>602</v>
      </c>
      <c r="R100" s="69" t="s">
        <v>361</v>
      </c>
      <c r="S100" s="64" t="s">
        <v>596</v>
      </c>
      <c r="T100" s="64" t="s">
        <v>603</v>
      </c>
      <c r="U100" s="68" t="s">
        <v>539</v>
      </c>
      <c r="V100" s="64" t="s">
        <v>596</v>
      </c>
      <c r="W100" s="64" t="s">
        <v>604</v>
      </c>
      <c r="X100" s="68" t="s">
        <v>368</v>
      </c>
      <c r="Y100" s="65"/>
      <c r="Z100" s="70"/>
      <c r="AA100" s="71"/>
      <c r="AB100" s="71"/>
      <c r="AC100" s="64"/>
      <c r="AD100" s="64"/>
      <c r="AE100" s="64"/>
      <c r="AF100" s="64"/>
      <c r="AG100" s="65"/>
      <c r="AH100" s="64" t="s">
        <v>596</v>
      </c>
      <c r="AI100" s="66" t="s">
        <v>594</v>
      </c>
    </row>
    <row r="101" spans="1:35" s="56" customFormat="1" ht="37.5">
      <c r="A101" s="78" t="s">
        <v>597</v>
      </c>
      <c r="B101" s="64" t="s">
        <v>598</v>
      </c>
      <c r="C101" s="76">
        <v>98</v>
      </c>
      <c r="D101" s="64" t="s">
        <v>596</v>
      </c>
      <c r="E101" s="64" t="s">
        <v>599</v>
      </c>
      <c r="F101" s="67" t="s">
        <v>540</v>
      </c>
      <c r="G101" s="64" t="s">
        <v>596</v>
      </c>
      <c r="H101" s="64" t="s">
        <v>600</v>
      </c>
      <c r="I101" s="67" t="s">
        <v>541</v>
      </c>
      <c r="J101" s="64" t="s">
        <v>596</v>
      </c>
      <c r="K101" s="64" t="s">
        <v>601</v>
      </c>
      <c r="L101" s="69">
        <v>44121</v>
      </c>
      <c r="M101" s="64" t="s">
        <v>596</v>
      </c>
      <c r="N101" s="64" t="s">
        <v>601</v>
      </c>
      <c r="O101" s="69">
        <v>44121</v>
      </c>
      <c r="P101" s="64" t="s">
        <v>596</v>
      </c>
      <c r="Q101" s="64" t="s">
        <v>602</v>
      </c>
      <c r="R101" s="69" t="s">
        <v>361</v>
      </c>
      <c r="S101" s="64" t="s">
        <v>596</v>
      </c>
      <c r="T101" s="64" t="s">
        <v>603</v>
      </c>
      <c r="U101" s="68" t="s">
        <v>362</v>
      </c>
      <c r="V101" s="64" t="s">
        <v>596</v>
      </c>
      <c r="W101" s="64" t="s">
        <v>604</v>
      </c>
      <c r="X101" s="68" t="s">
        <v>377</v>
      </c>
      <c r="Y101" s="65"/>
      <c r="Z101" s="70"/>
      <c r="AA101" s="71"/>
      <c r="AB101" s="71"/>
      <c r="AC101" s="64"/>
      <c r="AD101" s="64"/>
      <c r="AE101" s="64"/>
      <c r="AF101" s="64"/>
      <c r="AG101" s="65"/>
      <c r="AH101" s="64" t="s">
        <v>596</v>
      </c>
      <c r="AI101" s="66" t="s">
        <v>594</v>
      </c>
    </row>
    <row r="102" spans="1:35" s="56" customFormat="1" ht="56.25">
      <c r="A102" s="78" t="s">
        <v>597</v>
      </c>
      <c r="B102" s="64" t="s">
        <v>598</v>
      </c>
      <c r="C102" s="76">
        <v>99</v>
      </c>
      <c r="D102" s="64" t="s">
        <v>596</v>
      </c>
      <c r="E102" s="64" t="s">
        <v>599</v>
      </c>
      <c r="F102" s="67" t="s">
        <v>542</v>
      </c>
      <c r="G102" s="64" t="s">
        <v>596</v>
      </c>
      <c r="H102" s="64" t="s">
        <v>600</v>
      </c>
      <c r="I102" s="67" t="s">
        <v>623</v>
      </c>
      <c r="J102" s="64" t="s">
        <v>596</v>
      </c>
      <c r="K102" s="64" t="s">
        <v>601</v>
      </c>
      <c r="L102" s="69">
        <v>44121</v>
      </c>
      <c r="M102" s="64" t="s">
        <v>596</v>
      </c>
      <c r="N102" s="64" t="s">
        <v>601</v>
      </c>
      <c r="O102" s="69">
        <v>44121</v>
      </c>
      <c r="P102" s="64" t="s">
        <v>596</v>
      </c>
      <c r="Q102" s="64" t="s">
        <v>602</v>
      </c>
      <c r="R102" s="69" t="s">
        <v>361</v>
      </c>
      <c r="S102" s="64" t="s">
        <v>596</v>
      </c>
      <c r="T102" s="64" t="s">
        <v>603</v>
      </c>
      <c r="U102" s="68" t="s">
        <v>362</v>
      </c>
      <c r="V102" s="64" t="s">
        <v>596</v>
      </c>
      <c r="W102" s="64" t="s">
        <v>604</v>
      </c>
      <c r="X102" s="68" t="s">
        <v>400</v>
      </c>
      <c r="Y102" s="65"/>
      <c r="Z102" s="70"/>
      <c r="AA102" s="71"/>
      <c r="AB102" s="71"/>
      <c r="AC102" s="64"/>
      <c r="AD102" s="64"/>
      <c r="AE102" s="64"/>
      <c r="AF102" s="64"/>
      <c r="AG102" s="65"/>
      <c r="AH102" s="64" t="s">
        <v>596</v>
      </c>
      <c r="AI102" s="66" t="s">
        <v>594</v>
      </c>
    </row>
    <row r="103" spans="1:35" s="56" customFormat="1" ht="56.25" hidden="1">
      <c r="A103" s="78" t="s">
        <v>597</v>
      </c>
      <c r="B103" s="64" t="s">
        <v>598</v>
      </c>
      <c r="C103" s="76">
        <v>100</v>
      </c>
      <c r="D103" s="64" t="s">
        <v>596</v>
      </c>
      <c r="E103" s="64" t="s">
        <v>599</v>
      </c>
      <c r="F103" s="67" t="s">
        <v>450</v>
      </c>
      <c r="G103" s="64" t="s">
        <v>596</v>
      </c>
      <c r="H103" s="64" t="s">
        <v>600</v>
      </c>
      <c r="I103" s="93" t="s">
        <v>624</v>
      </c>
      <c r="J103" s="64" t="s">
        <v>596</v>
      </c>
      <c r="K103" s="64" t="s">
        <v>601</v>
      </c>
      <c r="L103" s="69">
        <v>44122</v>
      </c>
      <c r="M103" s="64" t="s">
        <v>596</v>
      </c>
      <c r="N103" s="64" t="s">
        <v>601</v>
      </c>
      <c r="O103" s="69">
        <v>44122</v>
      </c>
      <c r="P103" s="64" t="s">
        <v>596</v>
      </c>
      <c r="Q103" s="64" t="s">
        <v>602</v>
      </c>
      <c r="R103" s="69" t="s">
        <v>389</v>
      </c>
      <c r="S103" s="64" t="s">
        <v>596</v>
      </c>
      <c r="T103" s="64" t="s">
        <v>603</v>
      </c>
      <c r="U103" s="68" t="s">
        <v>543</v>
      </c>
      <c r="V103" s="64" t="s">
        <v>596</v>
      </c>
      <c r="W103" s="64" t="s">
        <v>604</v>
      </c>
      <c r="X103" s="68" t="s">
        <v>396</v>
      </c>
      <c r="Y103" s="65"/>
      <c r="Z103" s="70"/>
      <c r="AA103" s="71"/>
      <c r="AB103" s="71"/>
      <c r="AC103" s="64"/>
      <c r="AD103" s="64"/>
      <c r="AE103" s="64"/>
      <c r="AF103" s="64"/>
      <c r="AG103" s="65"/>
      <c r="AH103" s="64" t="s">
        <v>596</v>
      </c>
      <c r="AI103" s="66" t="s">
        <v>594</v>
      </c>
    </row>
    <row r="104" spans="1:35" s="56" customFormat="1" ht="37.5" hidden="1">
      <c r="A104" s="78" t="s">
        <v>597</v>
      </c>
      <c r="B104" s="64" t="s">
        <v>598</v>
      </c>
      <c r="C104" s="76">
        <v>101</v>
      </c>
      <c r="D104" s="64" t="s">
        <v>596</v>
      </c>
      <c r="E104" s="64" t="s">
        <v>599</v>
      </c>
      <c r="F104" s="67" t="s">
        <v>369</v>
      </c>
      <c r="G104" s="64" t="s">
        <v>596</v>
      </c>
      <c r="H104" s="64" t="s">
        <v>600</v>
      </c>
      <c r="I104" s="90"/>
      <c r="J104" s="64" t="s">
        <v>596</v>
      </c>
      <c r="K104" s="64" t="s">
        <v>601</v>
      </c>
      <c r="L104" s="69">
        <v>44126</v>
      </c>
      <c r="M104" s="64" t="s">
        <v>596</v>
      </c>
      <c r="N104" s="64" t="s">
        <v>601</v>
      </c>
      <c r="O104" s="69">
        <v>44132</v>
      </c>
      <c r="P104" s="64" t="s">
        <v>596</v>
      </c>
      <c r="Q104" s="64" t="s">
        <v>602</v>
      </c>
      <c r="R104" s="69" t="s">
        <v>370</v>
      </c>
      <c r="S104" s="64" t="s">
        <v>596</v>
      </c>
      <c r="T104" s="64" t="s">
        <v>603</v>
      </c>
      <c r="U104" s="68" t="s">
        <v>371</v>
      </c>
      <c r="V104" s="64" t="s">
        <v>596</v>
      </c>
      <c r="W104" s="64" t="s">
        <v>604</v>
      </c>
      <c r="X104" s="68" t="s">
        <v>368</v>
      </c>
      <c r="Y104" s="65"/>
      <c r="Z104" s="70"/>
      <c r="AA104" s="71"/>
      <c r="AB104" s="71"/>
      <c r="AC104" s="64"/>
      <c r="AD104" s="64"/>
      <c r="AE104" s="64"/>
      <c r="AF104" s="64"/>
      <c r="AG104" s="65"/>
      <c r="AH104" s="64" t="s">
        <v>596</v>
      </c>
      <c r="AI104" s="66" t="s">
        <v>594</v>
      </c>
    </row>
    <row r="105" spans="1:35" s="56" customFormat="1" ht="37.5">
      <c r="A105" s="78" t="s">
        <v>597</v>
      </c>
      <c r="B105" s="64" t="s">
        <v>598</v>
      </c>
      <c r="C105" s="76">
        <v>102</v>
      </c>
      <c r="D105" s="64" t="s">
        <v>596</v>
      </c>
      <c r="E105" s="64" t="s">
        <v>599</v>
      </c>
      <c r="F105" s="67" t="s">
        <v>544</v>
      </c>
      <c r="G105" s="64" t="s">
        <v>596</v>
      </c>
      <c r="H105" s="64" t="s">
        <v>600</v>
      </c>
      <c r="I105" s="67" t="s">
        <v>625</v>
      </c>
      <c r="J105" s="64" t="s">
        <v>596</v>
      </c>
      <c r="K105" s="64" t="s">
        <v>601</v>
      </c>
      <c r="L105" s="69">
        <v>44127</v>
      </c>
      <c r="M105" s="64" t="s">
        <v>596</v>
      </c>
      <c r="N105" s="64" t="s">
        <v>601</v>
      </c>
      <c r="O105" s="69">
        <v>44130</v>
      </c>
      <c r="P105" s="64" t="s">
        <v>596</v>
      </c>
      <c r="Q105" s="64" t="s">
        <v>602</v>
      </c>
      <c r="R105" s="69" t="s">
        <v>366</v>
      </c>
      <c r="S105" s="64" t="s">
        <v>596</v>
      </c>
      <c r="T105" s="64" t="s">
        <v>603</v>
      </c>
      <c r="U105" s="68" t="s">
        <v>367</v>
      </c>
      <c r="V105" s="64" t="s">
        <v>596</v>
      </c>
      <c r="W105" s="64" t="s">
        <v>604</v>
      </c>
      <c r="X105" s="68" t="s">
        <v>368</v>
      </c>
      <c r="Y105" s="65"/>
      <c r="Z105" s="70"/>
      <c r="AA105" s="71"/>
      <c r="AB105" s="71"/>
      <c r="AC105" s="64"/>
      <c r="AD105" s="64"/>
      <c r="AE105" s="64"/>
      <c r="AF105" s="64"/>
      <c r="AG105" s="65"/>
      <c r="AH105" s="64" t="s">
        <v>596</v>
      </c>
      <c r="AI105" s="66" t="s">
        <v>594</v>
      </c>
    </row>
    <row r="106" spans="1:35" s="56" customFormat="1" ht="56.25" hidden="1">
      <c r="A106" s="78" t="s">
        <v>597</v>
      </c>
      <c r="B106" s="64" t="s">
        <v>598</v>
      </c>
      <c r="C106" s="76">
        <v>103</v>
      </c>
      <c r="D106" s="64" t="s">
        <v>596</v>
      </c>
      <c r="E106" s="64" t="s">
        <v>599</v>
      </c>
      <c r="F106" s="67" t="s">
        <v>595</v>
      </c>
      <c r="G106" s="64" t="s">
        <v>596</v>
      </c>
      <c r="H106" s="64" t="s">
        <v>600</v>
      </c>
      <c r="I106" s="91" t="s">
        <v>545</v>
      </c>
      <c r="J106" s="64" t="s">
        <v>596</v>
      </c>
      <c r="K106" s="64" t="s">
        <v>601</v>
      </c>
      <c r="L106" s="69">
        <v>44128</v>
      </c>
      <c r="M106" s="64" t="s">
        <v>596</v>
      </c>
      <c r="N106" s="64" t="s">
        <v>601</v>
      </c>
      <c r="O106" s="69">
        <v>44129</v>
      </c>
      <c r="P106" s="64" t="s">
        <v>596</v>
      </c>
      <c r="Q106" s="64" t="s">
        <v>602</v>
      </c>
      <c r="R106" s="69" t="s">
        <v>379</v>
      </c>
      <c r="S106" s="64" t="s">
        <v>596</v>
      </c>
      <c r="T106" s="64" t="s">
        <v>603</v>
      </c>
      <c r="U106" s="68" t="s">
        <v>362</v>
      </c>
      <c r="V106" s="64" t="s">
        <v>596</v>
      </c>
      <c r="W106" s="64" t="s">
        <v>604</v>
      </c>
      <c r="X106" s="68" t="s">
        <v>457</v>
      </c>
      <c r="Y106" s="65"/>
      <c r="Z106" s="70"/>
      <c r="AA106" s="71"/>
      <c r="AB106" s="71"/>
      <c r="AC106" s="64"/>
      <c r="AD106" s="64"/>
      <c r="AE106" s="64"/>
      <c r="AF106" s="64"/>
      <c r="AG106" s="65"/>
      <c r="AH106" s="64" t="s">
        <v>596</v>
      </c>
      <c r="AI106" s="66" t="s">
        <v>594</v>
      </c>
    </row>
    <row r="107" spans="1:35" s="56" customFormat="1" ht="37.5">
      <c r="A107" s="78" t="s">
        <v>597</v>
      </c>
      <c r="B107" s="64" t="s">
        <v>598</v>
      </c>
      <c r="C107" s="76">
        <v>104</v>
      </c>
      <c r="D107" s="64" t="s">
        <v>596</v>
      </c>
      <c r="E107" s="64" t="s">
        <v>599</v>
      </c>
      <c r="F107" s="67" t="s">
        <v>546</v>
      </c>
      <c r="G107" s="64" t="s">
        <v>596</v>
      </c>
      <c r="H107" s="64" t="s">
        <v>600</v>
      </c>
      <c r="I107" s="67" t="s">
        <v>376</v>
      </c>
      <c r="J107" s="64" t="s">
        <v>596</v>
      </c>
      <c r="K107" s="64" t="s">
        <v>601</v>
      </c>
      <c r="L107" s="69">
        <v>44128</v>
      </c>
      <c r="M107" s="64" t="s">
        <v>596</v>
      </c>
      <c r="N107" s="64" t="s">
        <v>601</v>
      </c>
      <c r="O107" s="69">
        <v>44128</v>
      </c>
      <c r="P107" s="64" t="s">
        <v>596</v>
      </c>
      <c r="Q107" s="64" t="s">
        <v>602</v>
      </c>
      <c r="R107" s="69" t="s">
        <v>361</v>
      </c>
      <c r="S107" s="64" t="s">
        <v>596</v>
      </c>
      <c r="T107" s="64" t="s">
        <v>603</v>
      </c>
      <c r="U107" s="68" t="s">
        <v>362</v>
      </c>
      <c r="V107" s="64" t="s">
        <v>596</v>
      </c>
      <c r="W107" s="64" t="s">
        <v>604</v>
      </c>
      <c r="X107" s="68" t="s">
        <v>377</v>
      </c>
      <c r="Y107" s="65"/>
      <c r="Z107" s="70"/>
      <c r="AA107" s="71"/>
      <c r="AB107" s="71"/>
      <c r="AC107" s="64"/>
      <c r="AD107" s="64"/>
      <c r="AE107" s="64"/>
      <c r="AF107" s="64"/>
      <c r="AG107" s="65"/>
      <c r="AH107" s="64" t="s">
        <v>596</v>
      </c>
      <c r="AI107" s="66" t="s">
        <v>594</v>
      </c>
    </row>
    <row r="108" spans="1:35" s="56" customFormat="1" ht="37.5">
      <c r="A108" s="78" t="s">
        <v>597</v>
      </c>
      <c r="B108" s="64" t="s">
        <v>598</v>
      </c>
      <c r="C108" s="76">
        <v>105</v>
      </c>
      <c r="D108" s="64" t="s">
        <v>596</v>
      </c>
      <c r="E108" s="64" t="s">
        <v>599</v>
      </c>
      <c r="F108" s="67" t="s">
        <v>547</v>
      </c>
      <c r="G108" s="64" t="s">
        <v>596</v>
      </c>
      <c r="H108" s="64" t="s">
        <v>600</v>
      </c>
      <c r="I108" s="67" t="s">
        <v>376</v>
      </c>
      <c r="J108" s="64" t="s">
        <v>596</v>
      </c>
      <c r="K108" s="64" t="s">
        <v>601</v>
      </c>
      <c r="L108" s="69">
        <v>44129</v>
      </c>
      <c r="M108" s="64" t="s">
        <v>596</v>
      </c>
      <c r="N108" s="64" t="s">
        <v>601</v>
      </c>
      <c r="O108" s="69">
        <v>44129</v>
      </c>
      <c r="P108" s="64" t="s">
        <v>596</v>
      </c>
      <c r="Q108" s="64" t="s">
        <v>602</v>
      </c>
      <c r="R108" s="69" t="s">
        <v>361</v>
      </c>
      <c r="S108" s="64" t="s">
        <v>596</v>
      </c>
      <c r="T108" s="64" t="s">
        <v>603</v>
      </c>
      <c r="U108" s="68" t="s">
        <v>362</v>
      </c>
      <c r="V108" s="64" t="s">
        <v>596</v>
      </c>
      <c r="W108" s="64" t="s">
        <v>604</v>
      </c>
      <c r="X108" s="68" t="s">
        <v>377</v>
      </c>
      <c r="Y108" s="65"/>
      <c r="Z108" s="70"/>
      <c r="AA108" s="71"/>
      <c r="AB108" s="71"/>
      <c r="AC108" s="64"/>
      <c r="AD108" s="64"/>
      <c r="AE108" s="64"/>
      <c r="AF108" s="64"/>
      <c r="AG108" s="65"/>
      <c r="AH108" s="64" t="s">
        <v>596</v>
      </c>
      <c r="AI108" s="66" t="s">
        <v>594</v>
      </c>
    </row>
    <row r="109" spans="1:35" s="56" customFormat="1" ht="37.5" hidden="1">
      <c r="A109" s="78" t="s">
        <v>597</v>
      </c>
      <c r="B109" s="64" t="s">
        <v>598</v>
      </c>
      <c r="C109" s="76">
        <v>106</v>
      </c>
      <c r="D109" s="64" t="s">
        <v>596</v>
      </c>
      <c r="E109" s="64" t="s">
        <v>599</v>
      </c>
      <c r="F109" s="67" t="s">
        <v>548</v>
      </c>
      <c r="G109" s="64" t="s">
        <v>596</v>
      </c>
      <c r="H109" s="64" t="s">
        <v>600</v>
      </c>
      <c r="I109" s="90"/>
      <c r="J109" s="64" t="s">
        <v>596</v>
      </c>
      <c r="K109" s="64" t="s">
        <v>601</v>
      </c>
      <c r="L109" s="69">
        <v>44132</v>
      </c>
      <c r="M109" s="64" t="s">
        <v>596</v>
      </c>
      <c r="N109" s="64" t="s">
        <v>601</v>
      </c>
      <c r="O109" s="69">
        <v>44135</v>
      </c>
      <c r="P109" s="64" t="s">
        <v>596</v>
      </c>
      <c r="Q109" s="64" t="s">
        <v>602</v>
      </c>
      <c r="R109" s="69" t="s">
        <v>370</v>
      </c>
      <c r="S109" s="64" t="s">
        <v>596</v>
      </c>
      <c r="T109" s="64" t="s">
        <v>603</v>
      </c>
      <c r="U109" s="68" t="s">
        <v>515</v>
      </c>
      <c r="V109" s="64" t="s">
        <v>596</v>
      </c>
      <c r="W109" s="64" t="s">
        <v>604</v>
      </c>
      <c r="X109" s="68" t="s">
        <v>381</v>
      </c>
      <c r="Y109" s="65"/>
      <c r="Z109" s="70"/>
      <c r="AA109" s="71"/>
      <c r="AB109" s="71"/>
      <c r="AC109" s="64"/>
      <c r="AD109" s="64"/>
      <c r="AE109" s="64"/>
      <c r="AF109" s="64"/>
      <c r="AG109" s="65"/>
      <c r="AH109" s="64" t="s">
        <v>596</v>
      </c>
      <c r="AI109" s="66" t="s">
        <v>594</v>
      </c>
    </row>
    <row r="110" spans="1:35" s="56" customFormat="1" ht="37.5" hidden="1">
      <c r="A110" s="78" t="s">
        <v>597</v>
      </c>
      <c r="B110" s="64" t="s">
        <v>598</v>
      </c>
      <c r="C110" s="76">
        <v>107</v>
      </c>
      <c r="D110" s="64" t="s">
        <v>596</v>
      </c>
      <c r="E110" s="64" t="s">
        <v>599</v>
      </c>
      <c r="F110" s="67" t="s">
        <v>549</v>
      </c>
      <c r="G110" s="64" t="s">
        <v>596</v>
      </c>
      <c r="H110" s="64" t="s">
        <v>600</v>
      </c>
      <c r="I110" s="90"/>
      <c r="J110" s="64" t="s">
        <v>596</v>
      </c>
      <c r="K110" s="64" t="s">
        <v>601</v>
      </c>
      <c r="L110" s="69">
        <v>44132</v>
      </c>
      <c r="M110" s="64" t="s">
        <v>596</v>
      </c>
      <c r="N110" s="64" t="s">
        <v>601</v>
      </c>
      <c r="O110" s="69">
        <v>44135</v>
      </c>
      <c r="P110" s="64" t="s">
        <v>596</v>
      </c>
      <c r="Q110" s="64" t="s">
        <v>602</v>
      </c>
      <c r="R110" s="69" t="s">
        <v>370</v>
      </c>
      <c r="S110" s="64" t="s">
        <v>596</v>
      </c>
      <c r="T110" s="64" t="s">
        <v>603</v>
      </c>
      <c r="U110" s="68" t="s">
        <v>226</v>
      </c>
      <c r="V110" s="64" t="s">
        <v>596</v>
      </c>
      <c r="W110" s="64" t="s">
        <v>604</v>
      </c>
      <c r="X110" s="68" t="s">
        <v>550</v>
      </c>
      <c r="Y110" s="65"/>
      <c r="Z110" s="70">
        <v>9</v>
      </c>
      <c r="AA110" s="71">
        <v>15000</v>
      </c>
      <c r="AB110" s="71">
        <f>AA110*Z110</f>
        <v>135000</v>
      </c>
      <c r="AC110" s="64"/>
      <c r="AD110" s="64"/>
      <c r="AE110" s="64"/>
      <c r="AF110" s="64"/>
      <c r="AG110" s="65"/>
      <c r="AH110" s="64" t="s">
        <v>596</v>
      </c>
      <c r="AI110" s="66" t="s">
        <v>594</v>
      </c>
    </row>
    <row r="111" spans="1:35" s="56" customFormat="1" ht="37.5" hidden="1">
      <c r="A111" s="78" t="s">
        <v>597</v>
      </c>
      <c r="B111" s="64" t="s">
        <v>598</v>
      </c>
      <c r="C111" s="76">
        <v>108</v>
      </c>
      <c r="D111" s="64" t="s">
        <v>596</v>
      </c>
      <c r="E111" s="64" t="s">
        <v>599</v>
      </c>
      <c r="F111" s="67" t="s">
        <v>551</v>
      </c>
      <c r="G111" s="64" t="s">
        <v>596</v>
      </c>
      <c r="H111" s="64" t="s">
        <v>600</v>
      </c>
      <c r="I111" s="90"/>
      <c r="J111" s="64" t="s">
        <v>596</v>
      </c>
      <c r="K111" s="64" t="s">
        <v>601</v>
      </c>
      <c r="L111" s="69">
        <v>44134</v>
      </c>
      <c r="M111" s="64" t="s">
        <v>596</v>
      </c>
      <c r="N111" s="64" t="s">
        <v>601</v>
      </c>
      <c r="O111" s="69">
        <v>44144</v>
      </c>
      <c r="P111" s="64" t="s">
        <v>596</v>
      </c>
      <c r="Q111" s="64" t="s">
        <v>602</v>
      </c>
      <c r="R111" s="69" t="s">
        <v>370</v>
      </c>
      <c r="S111" s="64" t="s">
        <v>596</v>
      </c>
      <c r="T111" s="64" t="s">
        <v>603</v>
      </c>
      <c r="U111" s="68" t="s">
        <v>515</v>
      </c>
      <c r="V111" s="64" t="s">
        <v>596</v>
      </c>
      <c r="W111" s="64" t="s">
        <v>604</v>
      </c>
      <c r="X111" s="68" t="s">
        <v>381</v>
      </c>
      <c r="Y111" s="65"/>
      <c r="Z111" s="70">
        <v>3</v>
      </c>
      <c r="AA111" s="71">
        <v>15000</v>
      </c>
      <c r="AB111" s="71">
        <f>AA111*Z111</f>
        <v>45000</v>
      </c>
      <c r="AC111" s="64"/>
      <c r="AD111" s="64"/>
      <c r="AE111" s="64"/>
      <c r="AF111" s="64"/>
      <c r="AG111" s="65"/>
      <c r="AH111" s="64" t="s">
        <v>596</v>
      </c>
      <c r="AI111" s="66" t="s">
        <v>594</v>
      </c>
    </row>
    <row r="112" spans="1:35" s="56" customFormat="1" ht="37.5" hidden="1">
      <c r="A112" s="78" t="s">
        <v>597</v>
      </c>
      <c r="B112" s="64" t="s">
        <v>598</v>
      </c>
      <c r="C112" s="76">
        <v>109</v>
      </c>
      <c r="D112" s="64" t="s">
        <v>596</v>
      </c>
      <c r="E112" s="64" t="s">
        <v>599</v>
      </c>
      <c r="F112" s="67" t="s">
        <v>552</v>
      </c>
      <c r="G112" s="64" t="s">
        <v>596</v>
      </c>
      <c r="H112" s="64" t="s">
        <v>600</v>
      </c>
      <c r="I112" s="90"/>
      <c r="J112" s="64" t="s">
        <v>596</v>
      </c>
      <c r="K112" s="64" t="s">
        <v>601</v>
      </c>
      <c r="L112" s="69">
        <v>44134</v>
      </c>
      <c r="M112" s="64" t="s">
        <v>596</v>
      </c>
      <c r="N112" s="64" t="s">
        <v>601</v>
      </c>
      <c r="O112" s="69">
        <v>44144</v>
      </c>
      <c r="P112" s="64" t="s">
        <v>596</v>
      </c>
      <c r="Q112" s="64" t="s">
        <v>602</v>
      </c>
      <c r="R112" s="69" t="s">
        <v>370</v>
      </c>
      <c r="S112" s="64" t="s">
        <v>596</v>
      </c>
      <c r="T112" s="64" t="s">
        <v>603</v>
      </c>
      <c r="U112" s="68" t="s">
        <v>226</v>
      </c>
      <c r="V112" s="64" t="s">
        <v>596</v>
      </c>
      <c r="W112" s="64" t="s">
        <v>604</v>
      </c>
      <c r="X112" s="68" t="s">
        <v>550</v>
      </c>
      <c r="Y112" s="65"/>
      <c r="Z112" s="70"/>
      <c r="AA112" s="71"/>
      <c r="AB112" s="71"/>
      <c r="AC112" s="64"/>
      <c r="AD112" s="64"/>
      <c r="AE112" s="64"/>
      <c r="AF112" s="64"/>
      <c r="AG112" s="65"/>
      <c r="AH112" s="64" t="s">
        <v>596</v>
      </c>
      <c r="AI112" s="66" t="s">
        <v>594</v>
      </c>
    </row>
    <row r="113" spans="1:35" s="56" customFormat="1" ht="56.25" hidden="1">
      <c r="A113" s="78" t="s">
        <v>597</v>
      </c>
      <c r="B113" s="64" t="s">
        <v>598</v>
      </c>
      <c r="C113" s="76">
        <v>110</v>
      </c>
      <c r="D113" s="64" t="s">
        <v>596</v>
      </c>
      <c r="E113" s="64" t="s">
        <v>599</v>
      </c>
      <c r="F113" s="67" t="s">
        <v>553</v>
      </c>
      <c r="G113" s="64" t="s">
        <v>596</v>
      </c>
      <c r="H113" s="64" t="s">
        <v>600</v>
      </c>
      <c r="I113" s="90" t="s">
        <v>554</v>
      </c>
      <c r="J113" s="64" t="s">
        <v>596</v>
      </c>
      <c r="K113" s="64" t="s">
        <v>601</v>
      </c>
      <c r="L113" s="69">
        <v>44136</v>
      </c>
      <c r="M113" s="64" t="s">
        <v>596</v>
      </c>
      <c r="N113" s="64" t="s">
        <v>601</v>
      </c>
      <c r="O113" s="69">
        <v>44136</v>
      </c>
      <c r="P113" s="64" t="s">
        <v>596</v>
      </c>
      <c r="Q113" s="64" t="s">
        <v>602</v>
      </c>
      <c r="R113" s="75" t="s">
        <v>366</v>
      </c>
      <c r="S113" s="64" t="s">
        <v>596</v>
      </c>
      <c r="T113" s="64" t="s">
        <v>603</v>
      </c>
      <c r="U113" s="68" t="s">
        <v>362</v>
      </c>
      <c r="V113" s="64" t="s">
        <v>596</v>
      </c>
      <c r="W113" s="64" t="s">
        <v>604</v>
      </c>
      <c r="X113" s="68" t="s">
        <v>368</v>
      </c>
      <c r="Y113" s="65"/>
      <c r="Z113" s="70"/>
      <c r="AA113" s="71"/>
      <c r="AB113" s="71"/>
      <c r="AC113" s="64"/>
      <c r="AD113" s="64"/>
      <c r="AE113" s="64"/>
      <c r="AF113" s="64"/>
      <c r="AG113" s="65"/>
      <c r="AH113" s="64" t="s">
        <v>596</v>
      </c>
      <c r="AI113" s="66" t="s">
        <v>594</v>
      </c>
    </row>
    <row r="114" spans="1:35" s="56" customFormat="1" ht="37.5" hidden="1">
      <c r="A114" s="78" t="s">
        <v>597</v>
      </c>
      <c r="B114" s="64" t="s">
        <v>598</v>
      </c>
      <c r="C114" s="76">
        <v>111</v>
      </c>
      <c r="D114" s="64" t="s">
        <v>596</v>
      </c>
      <c r="E114" s="64" t="s">
        <v>599</v>
      </c>
      <c r="F114" s="67" t="s">
        <v>555</v>
      </c>
      <c r="G114" s="64" t="s">
        <v>596</v>
      </c>
      <c r="H114" s="64" t="s">
        <v>600</v>
      </c>
      <c r="I114" s="90" t="s">
        <v>556</v>
      </c>
      <c r="J114" s="64" t="s">
        <v>596</v>
      </c>
      <c r="K114" s="64" t="s">
        <v>601</v>
      </c>
      <c r="L114" s="69">
        <v>44136</v>
      </c>
      <c r="M114" s="64" t="s">
        <v>596</v>
      </c>
      <c r="N114" s="64" t="s">
        <v>601</v>
      </c>
      <c r="O114" s="69">
        <v>44165</v>
      </c>
      <c r="P114" s="64" t="s">
        <v>596</v>
      </c>
      <c r="Q114" s="64" t="s">
        <v>602</v>
      </c>
      <c r="R114" s="68" t="s">
        <v>366</v>
      </c>
      <c r="S114" s="64" t="s">
        <v>596</v>
      </c>
      <c r="T114" s="64" t="s">
        <v>603</v>
      </c>
      <c r="U114" s="68" t="s">
        <v>557</v>
      </c>
      <c r="V114" s="64" t="s">
        <v>596</v>
      </c>
      <c r="W114" s="64" t="s">
        <v>604</v>
      </c>
      <c r="X114" s="68" t="s">
        <v>368</v>
      </c>
      <c r="Y114" s="65"/>
      <c r="Z114" s="70"/>
      <c r="AA114" s="71"/>
      <c r="AB114" s="71"/>
      <c r="AC114" s="64"/>
      <c r="AD114" s="64"/>
      <c r="AE114" s="64"/>
      <c r="AF114" s="64"/>
      <c r="AG114" s="65"/>
      <c r="AH114" s="64" t="s">
        <v>596</v>
      </c>
      <c r="AI114" s="66" t="s">
        <v>594</v>
      </c>
    </row>
    <row r="115" spans="1:35" s="56" customFormat="1" ht="37.5">
      <c r="A115" s="78" t="s">
        <v>597</v>
      </c>
      <c r="B115" s="64" t="s">
        <v>598</v>
      </c>
      <c r="C115" s="76">
        <v>112</v>
      </c>
      <c r="D115" s="64" t="s">
        <v>596</v>
      </c>
      <c r="E115" s="64" t="s">
        <v>599</v>
      </c>
      <c r="F115" s="67" t="s">
        <v>558</v>
      </c>
      <c r="G115" s="64" t="s">
        <v>596</v>
      </c>
      <c r="H115" s="64" t="s">
        <v>600</v>
      </c>
      <c r="I115" s="67"/>
      <c r="J115" s="64" t="s">
        <v>596</v>
      </c>
      <c r="K115" s="64" t="s">
        <v>601</v>
      </c>
      <c r="L115" s="69">
        <v>44138</v>
      </c>
      <c r="M115" s="64" t="s">
        <v>596</v>
      </c>
      <c r="N115" s="64" t="s">
        <v>601</v>
      </c>
      <c r="O115" s="69">
        <v>44146</v>
      </c>
      <c r="P115" s="64" t="s">
        <v>596</v>
      </c>
      <c r="Q115" s="64" t="s">
        <v>602</v>
      </c>
      <c r="R115" s="68" t="s">
        <v>361</v>
      </c>
      <c r="S115" s="64" t="s">
        <v>596</v>
      </c>
      <c r="T115" s="64" t="s">
        <v>603</v>
      </c>
      <c r="U115" s="68" t="s">
        <v>362</v>
      </c>
      <c r="V115" s="64" t="s">
        <v>596</v>
      </c>
      <c r="W115" s="64" t="s">
        <v>604</v>
      </c>
      <c r="X115" s="68" t="s">
        <v>390</v>
      </c>
      <c r="Y115" s="65"/>
      <c r="Z115" s="70"/>
      <c r="AA115" s="71"/>
      <c r="AB115" s="71"/>
      <c r="AC115" s="64"/>
      <c r="AD115" s="64"/>
      <c r="AE115" s="64"/>
      <c r="AF115" s="64"/>
      <c r="AG115" s="65"/>
      <c r="AH115" s="64" t="s">
        <v>596</v>
      </c>
      <c r="AI115" s="66" t="s">
        <v>594</v>
      </c>
    </row>
    <row r="116" spans="1:35" s="56" customFormat="1" ht="37.5" hidden="1">
      <c r="A116" s="78" t="s">
        <v>597</v>
      </c>
      <c r="B116" s="64" t="s">
        <v>598</v>
      </c>
      <c r="C116" s="76">
        <v>113</v>
      </c>
      <c r="D116" s="64" t="s">
        <v>596</v>
      </c>
      <c r="E116" s="64" t="s">
        <v>599</v>
      </c>
      <c r="F116" s="67" t="s">
        <v>559</v>
      </c>
      <c r="G116" s="64" t="s">
        <v>596</v>
      </c>
      <c r="H116" s="64" t="s">
        <v>600</v>
      </c>
      <c r="I116" s="92"/>
      <c r="J116" s="64" t="s">
        <v>596</v>
      </c>
      <c r="K116" s="64" t="s">
        <v>601</v>
      </c>
      <c r="L116" s="69">
        <v>44140</v>
      </c>
      <c r="M116" s="64" t="s">
        <v>596</v>
      </c>
      <c r="N116" s="64" t="s">
        <v>601</v>
      </c>
      <c r="O116" s="69">
        <v>44149</v>
      </c>
      <c r="P116" s="64" t="s">
        <v>596</v>
      </c>
      <c r="Q116" s="64" t="s">
        <v>602</v>
      </c>
      <c r="R116" s="68" t="s">
        <v>415</v>
      </c>
      <c r="S116" s="64" t="s">
        <v>596</v>
      </c>
      <c r="T116" s="64" t="s">
        <v>603</v>
      </c>
      <c r="U116" s="68" t="s">
        <v>367</v>
      </c>
      <c r="V116" s="64" t="s">
        <v>596</v>
      </c>
      <c r="W116" s="64" t="s">
        <v>604</v>
      </c>
      <c r="X116" s="68" t="s">
        <v>243</v>
      </c>
      <c r="Y116" s="65"/>
      <c r="Z116" s="70"/>
      <c r="AA116" s="71"/>
      <c r="AB116" s="71"/>
      <c r="AC116" s="64"/>
      <c r="AD116" s="64"/>
      <c r="AE116" s="64"/>
      <c r="AF116" s="64"/>
      <c r="AG116" s="65"/>
      <c r="AH116" s="64" t="s">
        <v>596</v>
      </c>
      <c r="AI116" s="66" t="s">
        <v>594</v>
      </c>
    </row>
    <row r="117" spans="1:35" s="56" customFormat="1" ht="37.5" hidden="1">
      <c r="A117" s="78" t="s">
        <v>597</v>
      </c>
      <c r="B117" s="64" t="s">
        <v>598</v>
      </c>
      <c r="C117" s="76">
        <v>114</v>
      </c>
      <c r="D117" s="64" t="s">
        <v>596</v>
      </c>
      <c r="E117" s="64" t="s">
        <v>599</v>
      </c>
      <c r="F117" s="67" t="s">
        <v>560</v>
      </c>
      <c r="G117" s="64" t="s">
        <v>596</v>
      </c>
      <c r="H117" s="64" t="s">
        <v>600</v>
      </c>
      <c r="I117" s="91" t="s">
        <v>545</v>
      </c>
      <c r="J117" s="64" t="s">
        <v>596</v>
      </c>
      <c r="K117" s="64" t="s">
        <v>601</v>
      </c>
      <c r="L117" s="69">
        <v>44142</v>
      </c>
      <c r="M117" s="64" t="s">
        <v>596</v>
      </c>
      <c r="N117" s="64" t="s">
        <v>601</v>
      </c>
      <c r="O117" s="69">
        <v>44142</v>
      </c>
      <c r="P117" s="64" t="s">
        <v>596</v>
      </c>
      <c r="Q117" s="64" t="s">
        <v>602</v>
      </c>
      <c r="R117" s="69" t="s">
        <v>379</v>
      </c>
      <c r="S117" s="64" t="s">
        <v>596</v>
      </c>
      <c r="T117" s="64" t="s">
        <v>603</v>
      </c>
      <c r="U117" s="68" t="s">
        <v>362</v>
      </c>
      <c r="V117" s="64" t="s">
        <v>596</v>
      </c>
      <c r="W117" s="64" t="s">
        <v>604</v>
      </c>
      <c r="X117" s="68" t="s">
        <v>457</v>
      </c>
      <c r="Y117" s="65"/>
      <c r="Z117" s="70"/>
      <c r="AA117" s="71"/>
      <c r="AB117" s="71"/>
      <c r="AC117" s="64"/>
      <c r="AD117" s="64"/>
      <c r="AE117" s="64"/>
      <c r="AF117" s="64"/>
      <c r="AG117" s="65"/>
      <c r="AH117" s="64" t="s">
        <v>596</v>
      </c>
      <c r="AI117" s="66" t="s">
        <v>594</v>
      </c>
    </row>
    <row r="118" spans="1:35" s="56" customFormat="1" ht="37.5" hidden="1">
      <c r="A118" s="78" t="s">
        <v>597</v>
      </c>
      <c r="B118" s="64" t="s">
        <v>598</v>
      </c>
      <c r="C118" s="76">
        <v>115</v>
      </c>
      <c r="D118" s="64" t="s">
        <v>596</v>
      </c>
      <c r="E118" s="64" t="s">
        <v>599</v>
      </c>
      <c r="F118" s="67" t="s">
        <v>561</v>
      </c>
      <c r="G118" s="64" t="s">
        <v>596</v>
      </c>
      <c r="H118" s="64" t="s">
        <v>600</v>
      </c>
      <c r="I118" s="90"/>
      <c r="J118" s="64" t="s">
        <v>596</v>
      </c>
      <c r="K118" s="64" t="s">
        <v>601</v>
      </c>
      <c r="L118" s="69">
        <v>44143</v>
      </c>
      <c r="M118" s="64" t="s">
        <v>596</v>
      </c>
      <c r="N118" s="64" t="s">
        <v>601</v>
      </c>
      <c r="O118" s="69">
        <v>44145</v>
      </c>
      <c r="P118" s="64" t="s">
        <v>596</v>
      </c>
      <c r="Q118" s="64" t="s">
        <v>602</v>
      </c>
      <c r="R118" s="69" t="s">
        <v>370</v>
      </c>
      <c r="S118" s="64" t="s">
        <v>596</v>
      </c>
      <c r="T118" s="64" t="s">
        <v>603</v>
      </c>
      <c r="U118" s="68" t="s">
        <v>515</v>
      </c>
      <c r="V118" s="64" t="s">
        <v>596</v>
      </c>
      <c r="W118" s="64" t="s">
        <v>604</v>
      </c>
      <c r="X118" s="68" t="s">
        <v>381</v>
      </c>
      <c r="Y118" s="65"/>
      <c r="Z118" s="70"/>
      <c r="AA118" s="71"/>
      <c r="AB118" s="71"/>
      <c r="AC118" s="64"/>
      <c r="AD118" s="64"/>
      <c r="AE118" s="64"/>
      <c r="AF118" s="64"/>
      <c r="AG118" s="65"/>
      <c r="AH118" s="64" t="s">
        <v>596</v>
      </c>
      <c r="AI118" s="66" t="s">
        <v>594</v>
      </c>
    </row>
    <row r="119" spans="1:35" s="56" customFormat="1" ht="37.5" hidden="1">
      <c r="A119" s="78" t="s">
        <v>597</v>
      </c>
      <c r="B119" s="64" t="s">
        <v>598</v>
      </c>
      <c r="C119" s="76">
        <v>116</v>
      </c>
      <c r="D119" s="64" t="s">
        <v>596</v>
      </c>
      <c r="E119" s="64" t="s">
        <v>599</v>
      </c>
      <c r="F119" s="67" t="s">
        <v>562</v>
      </c>
      <c r="G119" s="64" t="s">
        <v>596</v>
      </c>
      <c r="H119" s="64" t="s">
        <v>600</v>
      </c>
      <c r="I119" s="90"/>
      <c r="J119" s="64" t="s">
        <v>596</v>
      </c>
      <c r="K119" s="64" t="s">
        <v>601</v>
      </c>
      <c r="L119" s="69">
        <v>44143</v>
      </c>
      <c r="M119" s="64" t="s">
        <v>596</v>
      </c>
      <c r="N119" s="64" t="s">
        <v>601</v>
      </c>
      <c r="O119" s="69">
        <v>44145</v>
      </c>
      <c r="P119" s="64" t="s">
        <v>596</v>
      </c>
      <c r="Q119" s="64" t="s">
        <v>602</v>
      </c>
      <c r="R119" s="69" t="s">
        <v>370</v>
      </c>
      <c r="S119" s="64" t="s">
        <v>596</v>
      </c>
      <c r="T119" s="64" t="s">
        <v>603</v>
      </c>
      <c r="U119" s="68" t="s">
        <v>226</v>
      </c>
      <c r="V119" s="64" t="s">
        <v>596</v>
      </c>
      <c r="W119" s="64" t="s">
        <v>604</v>
      </c>
      <c r="X119" s="68" t="s">
        <v>550</v>
      </c>
      <c r="Y119" s="65"/>
      <c r="Z119" s="70"/>
      <c r="AA119" s="71"/>
      <c r="AB119" s="71"/>
      <c r="AC119" s="64"/>
      <c r="AD119" s="64"/>
      <c r="AE119" s="64"/>
      <c r="AF119" s="64"/>
      <c r="AG119" s="65"/>
      <c r="AH119" s="64" t="s">
        <v>596</v>
      </c>
      <c r="AI119" s="66" t="s">
        <v>594</v>
      </c>
    </row>
    <row r="120" spans="1:35" s="56" customFormat="1" ht="56.25" hidden="1">
      <c r="A120" s="78" t="s">
        <v>597</v>
      </c>
      <c r="B120" s="64" t="s">
        <v>598</v>
      </c>
      <c r="C120" s="76">
        <v>117</v>
      </c>
      <c r="D120" s="64" t="s">
        <v>596</v>
      </c>
      <c r="E120" s="64" t="s">
        <v>599</v>
      </c>
      <c r="F120" s="67" t="s">
        <v>563</v>
      </c>
      <c r="G120" s="64" t="s">
        <v>596</v>
      </c>
      <c r="H120" s="64" t="s">
        <v>600</v>
      </c>
      <c r="I120" s="92"/>
      <c r="J120" s="64" t="s">
        <v>596</v>
      </c>
      <c r="K120" s="64" t="s">
        <v>601</v>
      </c>
      <c r="L120" s="69">
        <v>44150</v>
      </c>
      <c r="M120" s="64" t="s">
        <v>596</v>
      </c>
      <c r="N120" s="64" t="s">
        <v>601</v>
      </c>
      <c r="O120" s="69">
        <v>44150</v>
      </c>
      <c r="P120" s="64" t="s">
        <v>596</v>
      </c>
      <c r="Q120" s="64" t="s">
        <v>602</v>
      </c>
      <c r="R120" s="69" t="s">
        <v>415</v>
      </c>
      <c r="S120" s="64" t="s">
        <v>596</v>
      </c>
      <c r="T120" s="64" t="s">
        <v>603</v>
      </c>
      <c r="U120" s="68" t="s">
        <v>367</v>
      </c>
      <c r="V120" s="64" t="s">
        <v>596</v>
      </c>
      <c r="W120" s="64" t="s">
        <v>604</v>
      </c>
      <c r="X120" s="68" t="s">
        <v>243</v>
      </c>
      <c r="Y120" s="65"/>
      <c r="Z120" s="70"/>
      <c r="AA120" s="71"/>
      <c r="AB120" s="71"/>
      <c r="AC120" s="64"/>
      <c r="AD120" s="64"/>
      <c r="AE120" s="64"/>
      <c r="AF120" s="64"/>
      <c r="AG120" s="65"/>
      <c r="AH120" s="64" t="s">
        <v>596</v>
      </c>
      <c r="AI120" s="66" t="s">
        <v>594</v>
      </c>
    </row>
    <row r="121" spans="1:35" s="56" customFormat="1" ht="75">
      <c r="A121" s="78" t="s">
        <v>597</v>
      </c>
      <c r="B121" s="64" t="s">
        <v>598</v>
      </c>
      <c r="C121" s="76">
        <v>118</v>
      </c>
      <c r="D121" s="64" t="s">
        <v>596</v>
      </c>
      <c r="E121" s="64" t="s">
        <v>599</v>
      </c>
      <c r="F121" s="67" t="s">
        <v>564</v>
      </c>
      <c r="G121" s="64" t="s">
        <v>596</v>
      </c>
      <c r="H121" s="64" t="s">
        <v>600</v>
      </c>
      <c r="I121" s="67" t="s">
        <v>565</v>
      </c>
      <c r="J121" s="64" t="s">
        <v>596</v>
      </c>
      <c r="K121" s="64" t="s">
        <v>601</v>
      </c>
      <c r="L121" s="69">
        <v>44150</v>
      </c>
      <c r="M121" s="64" t="s">
        <v>596</v>
      </c>
      <c r="N121" s="64" t="s">
        <v>601</v>
      </c>
      <c r="O121" s="69">
        <v>44153</v>
      </c>
      <c r="P121" s="64" t="s">
        <v>596</v>
      </c>
      <c r="Q121" s="64" t="s">
        <v>602</v>
      </c>
      <c r="R121" s="68" t="s">
        <v>361</v>
      </c>
      <c r="S121" s="64" t="s">
        <v>596</v>
      </c>
      <c r="T121" s="64" t="s">
        <v>603</v>
      </c>
      <c r="U121" s="68" t="s">
        <v>362</v>
      </c>
      <c r="V121" s="64" t="s">
        <v>596</v>
      </c>
      <c r="W121" s="64" t="s">
        <v>604</v>
      </c>
      <c r="X121" s="68" t="s">
        <v>390</v>
      </c>
      <c r="Y121" s="65"/>
      <c r="Z121" s="70"/>
      <c r="AA121" s="71"/>
      <c r="AB121" s="71"/>
      <c r="AC121" s="64"/>
      <c r="AD121" s="64"/>
      <c r="AE121" s="64"/>
      <c r="AF121" s="64"/>
      <c r="AG121" s="65"/>
      <c r="AH121" s="64" t="s">
        <v>596</v>
      </c>
      <c r="AI121" s="66" t="s">
        <v>594</v>
      </c>
    </row>
    <row r="122" spans="1:35" s="56" customFormat="1" hidden="1">
      <c r="A122" s="78" t="s">
        <v>597</v>
      </c>
      <c r="B122" s="64" t="s">
        <v>598</v>
      </c>
      <c r="C122" s="76">
        <v>119</v>
      </c>
      <c r="D122" s="64" t="s">
        <v>596</v>
      </c>
      <c r="E122" s="64" t="s">
        <v>599</v>
      </c>
      <c r="F122" s="67" t="s">
        <v>525</v>
      </c>
      <c r="G122" s="64" t="s">
        <v>596</v>
      </c>
      <c r="H122" s="64" t="s">
        <v>600</v>
      </c>
      <c r="I122" s="90" t="s">
        <v>426</v>
      </c>
      <c r="J122" s="64" t="s">
        <v>596</v>
      </c>
      <c r="K122" s="64" t="s">
        <v>601</v>
      </c>
      <c r="L122" s="69">
        <v>44154</v>
      </c>
      <c r="M122" s="64" t="s">
        <v>596</v>
      </c>
      <c r="N122" s="64" t="s">
        <v>601</v>
      </c>
      <c r="O122" s="69">
        <v>44157</v>
      </c>
      <c r="P122" s="64" t="s">
        <v>596</v>
      </c>
      <c r="Q122" s="64" t="s">
        <v>602</v>
      </c>
      <c r="R122" s="75" t="s">
        <v>439</v>
      </c>
      <c r="S122" s="64" t="s">
        <v>596</v>
      </c>
      <c r="T122" s="64" t="s">
        <v>603</v>
      </c>
      <c r="U122" s="68" t="s">
        <v>281</v>
      </c>
      <c r="V122" s="64" t="s">
        <v>596</v>
      </c>
      <c r="W122" s="64" t="s">
        <v>604</v>
      </c>
      <c r="X122" s="68" t="s">
        <v>368</v>
      </c>
      <c r="Y122" s="65"/>
      <c r="Z122" s="70"/>
      <c r="AA122" s="71"/>
      <c r="AB122" s="71"/>
      <c r="AC122" s="64"/>
      <c r="AD122" s="64"/>
      <c r="AE122" s="64"/>
      <c r="AF122" s="64"/>
      <c r="AG122" s="65"/>
      <c r="AH122" s="64" t="s">
        <v>596</v>
      </c>
      <c r="AI122" s="66" t="s">
        <v>594</v>
      </c>
    </row>
    <row r="123" spans="1:35" s="56" customFormat="1" ht="37.5">
      <c r="A123" s="78" t="s">
        <v>597</v>
      </c>
      <c r="B123" s="64" t="s">
        <v>598</v>
      </c>
      <c r="C123" s="76">
        <v>120</v>
      </c>
      <c r="D123" s="64" t="s">
        <v>596</v>
      </c>
      <c r="E123" s="64" t="s">
        <v>599</v>
      </c>
      <c r="F123" s="67" t="s">
        <v>566</v>
      </c>
      <c r="G123" s="64" t="s">
        <v>596</v>
      </c>
      <c r="H123" s="64" t="s">
        <v>600</v>
      </c>
      <c r="I123" s="67" t="s">
        <v>376</v>
      </c>
      <c r="J123" s="64" t="s">
        <v>596</v>
      </c>
      <c r="K123" s="64" t="s">
        <v>601</v>
      </c>
      <c r="L123" s="69">
        <v>44156</v>
      </c>
      <c r="M123" s="64" t="s">
        <v>596</v>
      </c>
      <c r="N123" s="64" t="s">
        <v>601</v>
      </c>
      <c r="O123" s="69">
        <v>44156</v>
      </c>
      <c r="P123" s="64" t="s">
        <v>596</v>
      </c>
      <c r="Q123" s="64" t="s">
        <v>602</v>
      </c>
      <c r="R123" s="69" t="s">
        <v>361</v>
      </c>
      <c r="S123" s="64" t="s">
        <v>596</v>
      </c>
      <c r="T123" s="64" t="s">
        <v>603</v>
      </c>
      <c r="U123" s="68" t="s">
        <v>362</v>
      </c>
      <c r="V123" s="64" t="s">
        <v>596</v>
      </c>
      <c r="W123" s="64" t="s">
        <v>604</v>
      </c>
      <c r="X123" s="68" t="s">
        <v>377</v>
      </c>
      <c r="Y123" s="65"/>
      <c r="Z123" s="70"/>
      <c r="AA123" s="71"/>
      <c r="AB123" s="71"/>
      <c r="AC123" s="64"/>
      <c r="AD123" s="64"/>
      <c r="AE123" s="64"/>
      <c r="AF123" s="64"/>
      <c r="AG123" s="65"/>
      <c r="AH123" s="64" t="s">
        <v>596</v>
      </c>
      <c r="AI123" s="66" t="s">
        <v>594</v>
      </c>
    </row>
    <row r="124" spans="1:35" s="56" customFormat="1" ht="37.5">
      <c r="A124" s="78" t="s">
        <v>597</v>
      </c>
      <c r="B124" s="64" t="s">
        <v>598</v>
      </c>
      <c r="C124" s="76">
        <v>121</v>
      </c>
      <c r="D124" s="64" t="s">
        <v>596</v>
      </c>
      <c r="E124" s="64" t="s">
        <v>599</v>
      </c>
      <c r="F124" s="67" t="s">
        <v>567</v>
      </c>
      <c r="G124" s="64" t="s">
        <v>596</v>
      </c>
      <c r="H124" s="64" t="s">
        <v>600</v>
      </c>
      <c r="I124" s="67" t="s">
        <v>376</v>
      </c>
      <c r="J124" s="64" t="s">
        <v>596</v>
      </c>
      <c r="K124" s="64" t="s">
        <v>601</v>
      </c>
      <c r="L124" s="69">
        <v>44157</v>
      </c>
      <c r="M124" s="64" t="s">
        <v>596</v>
      </c>
      <c r="N124" s="64" t="s">
        <v>601</v>
      </c>
      <c r="O124" s="69">
        <v>44157</v>
      </c>
      <c r="P124" s="64" t="s">
        <v>596</v>
      </c>
      <c r="Q124" s="64" t="s">
        <v>602</v>
      </c>
      <c r="R124" s="69" t="s">
        <v>361</v>
      </c>
      <c r="S124" s="64" t="s">
        <v>596</v>
      </c>
      <c r="T124" s="64" t="s">
        <v>603</v>
      </c>
      <c r="U124" s="68" t="s">
        <v>362</v>
      </c>
      <c r="V124" s="64" t="s">
        <v>596</v>
      </c>
      <c r="W124" s="64" t="s">
        <v>604</v>
      </c>
      <c r="X124" s="68" t="s">
        <v>377</v>
      </c>
      <c r="Y124" s="65"/>
      <c r="Z124" s="70"/>
      <c r="AA124" s="71"/>
      <c r="AB124" s="71"/>
      <c r="AC124" s="64"/>
      <c r="AD124" s="64"/>
      <c r="AE124" s="64"/>
      <c r="AF124" s="64"/>
      <c r="AG124" s="65"/>
      <c r="AH124" s="64" t="s">
        <v>596</v>
      </c>
      <c r="AI124" s="66" t="s">
        <v>594</v>
      </c>
    </row>
    <row r="125" spans="1:35" ht="56.25" hidden="1">
      <c r="A125" s="78" t="s">
        <v>597</v>
      </c>
      <c r="B125" s="64" t="s">
        <v>598</v>
      </c>
      <c r="C125" s="76">
        <v>122</v>
      </c>
      <c r="D125" s="64" t="s">
        <v>596</v>
      </c>
      <c r="E125" s="64" t="s">
        <v>599</v>
      </c>
      <c r="F125" s="67" t="s">
        <v>568</v>
      </c>
      <c r="G125" s="64" t="s">
        <v>596</v>
      </c>
      <c r="H125" s="64" t="s">
        <v>600</v>
      </c>
      <c r="I125" s="92"/>
      <c r="J125" s="64" t="s">
        <v>596</v>
      </c>
      <c r="K125" s="64" t="s">
        <v>601</v>
      </c>
      <c r="L125" s="69">
        <v>44159</v>
      </c>
      <c r="M125" s="64" t="s">
        <v>596</v>
      </c>
      <c r="N125" s="64" t="s">
        <v>601</v>
      </c>
      <c r="O125" s="69">
        <v>44164</v>
      </c>
      <c r="P125" s="64" t="s">
        <v>596</v>
      </c>
      <c r="Q125" s="64" t="s">
        <v>602</v>
      </c>
      <c r="R125" s="75" t="s">
        <v>415</v>
      </c>
      <c r="S125" s="64" t="s">
        <v>596</v>
      </c>
      <c r="T125" s="64" t="s">
        <v>603</v>
      </c>
      <c r="U125" s="68" t="s">
        <v>362</v>
      </c>
      <c r="V125" s="64" t="s">
        <v>596</v>
      </c>
      <c r="W125" s="64" t="s">
        <v>604</v>
      </c>
      <c r="X125" s="68" t="s">
        <v>243</v>
      </c>
      <c r="Y125" s="65"/>
      <c r="Z125" s="70"/>
      <c r="AA125" s="71"/>
      <c r="AB125" s="71"/>
      <c r="AC125" s="64"/>
      <c r="AD125" s="64"/>
      <c r="AE125" s="64"/>
      <c r="AF125" s="64"/>
      <c r="AG125" s="65"/>
      <c r="AH125" s="64" t="s">
        <v>596</v>
      </c>
      <c r="AI125" s="66" t="s">
        <v>594</v>
      </c>
    </row>
    <row r="126" spans="1:35" ht="37.5">
      <c r="A126" s="78" t="s">
        <v>597</v>
      </c>
      <c r="B126" s="64" t="s">
        <v>598</v>
      </c>
      <c r="C126" s="76">
        <v>123</v>
      </c>
      <c r="D126" s="64" t="s">
        <v>596</v>
      </c>
      <c r="E126" s="64" t="s">
        <v>599</v>
      </c>
      <c r="F126" s="67" t="s">
        <v>569</v>
      </c>
      <c r="G126" s="64" t="s">
        <v>596</v>
      </c>
      <c r="H126" s="64" t="s">
        <v>600</v>
      </c>
      <c r="I126" s="67" t="s">
        <v>570</v>
      </c>
      <c r="J126" s="64" t="s">
        <v>596</v>
      </c>
      <c r="K126" s="64" t="s">
        <v>601</v>
      </c>
      <c r="L126" s="69">
        <v>44163</v>
      </c>
      <c r="M126" s="64" t="s">
        <v>596</v>
      </c>
      <c r="N126" s="64" t="s">
        <v>601</v>
      </c>
      <c r="O126" s="69">
        <v>44163</v>
      </c>
      <c r="P126" s="64" t="s">
        <v>596</v>
      </c>
      <c r="Q126" s="64" t="s">
        <v>602</v>
      </c>
      <c r="R126" s="69" t="s">
        <v>361</v>
      </c>
      <c r="S126" s="64" t="s">
        <v>596</v>
      </c>
      <c r="T126" s="64" t="s">
        <v>603</v>
      </c>
      <c r="U126" s="68" t="s">
        <v>362</v>
      </c>
      <c r="V126" s="64" t="s">
        <v>596</v>
      </c>
      <c r="W126" s="64" t="s">
        <v>604</v>
      </c>
      <c r="X126" s="68" t="s">
        <v>390</v>
      </c>
      <c r="Y126" s="65"/>
      <c r="Z126" s="70"/>
      <c r="AA126" s="71"/>
      <c r="AB126" s="71"/>
      <c r="AC126" s="64"/>
      <c r="AD126" s="64"/>
      <c r="AE126" s="64"/>
      <c r="AF126" s="64"/>
      <c r="AG126" s="65"/>
      <c r="AH126" s="64" t="s">
        <v>596</v>
      </c>
      <c r="AI126" s="66" t="s">
        <v>594</v>
      </c>
    </row>
    <row r="127" spans="1:35" ht="37.5">
      <c r="A127" s="78" t="s">
        <v>597</v>
      </c>
      <c r="B127" s="64" t="s">
        <v>598</v>
      </c>
      <c r="C127" s="76">
        <v>124</v>
      </c>
      <c r="D127" s="64" t="s">
        <v>596</v>
      </c>
      <c r="E127" s="64" t="s">
        <v>599</v>
      </c>
      <c r="F127" s="67" t="s">
        <v>571</v>
      </c>
      <c r="G127" s="64" t="s">
        <v>596</v>
      </c>
      <c r="H127" s="64" t="s">
        <v>600</v>
      </c>
      <c r="I127" s="67" t="s">
        <v>572</v>
      </c>
      <c r="J127" s="64" t="s">
        <v>596</v>
      </c>
      <c r="K127" s="64" t="s">
        <v>601</v>
      </c>
      <c r="L127" s="69">
        <v>44164</v>
      </c>
      <c r="M127" s="64" t="s">
        <v>596</v>
      </c>
      <c r="N127" s="64" t="s">
        <v>601</v>
      </c>
      <c r="O127" s="69">
        <v>44164</v>
      </c>
      <c r="P127" s="64" t="s">
        <v>596</v>
      </c>
      <c r="Q127" s="64" t="s">
        <v>602</v>
      </c>
      <c r="R127" s="69" t="s">
        <v>361</v>
      </c>
      <c r="S127" s="64" t="s">
        <v>596</v>
      </c>
      <c r="T127" s="64" t="s">
        <v>603</v>
      </c>
      <c r="U127" s="68" t="s">
        <v>362</v>
      </c>
      <c r="V127" s="64" t="s">
        <v>596</v>
      </c>
      <c r="W127" s="64" t="s">
        <v>604</v>
      </c>
      <c r="X127" s="68" t="s">
        <v>390</v>
      </c>
      <c r="Y127" s="65"/>
      <c r="Z127" s="70"/>
      <c r="AA127" s="71"/>
      <c r="AB127" s="71"/>
      <c r="AC127" s="64"/>
      <c r="AD127" s="64"/>
      <c r="AE127" s="64"/>
      <c r="AF127" s="64"/>
      <c r="AG127" s="65"/>
      <c r="AH127" s="64" t="s">
        <v>596</v>
      </c>
      <c r="AI127" s="66" t="s">
        <v>594</v>
      </c>
    </row>
    <row r="128" spans="1:35" ht="37.5" hidden="1">
      <c r="A128" s="78" t="s">
        <v>597</v>
      </c>
      <c r="B128" s="64" t="s">
        <v>598</v>
      </c>
      <c r="C128" s="76">
        <v>125</v>
      </c>
      <c r="D128" s="64" t="s">
        <v>596</v>
      </c>
      <c r="E128" s="64" t="s">
        <v>599</v>
      </c>
      <c r="F128" s="67" t="s">
        <v>573</v>
      </c>
      <c r="G128" s="64" t="s">
        <v>596</v>
      </c>
      <c r="H128" s="64" t="s">
        <v>600</v>
      </c>
      <c r="I128" s="91" t="s">
        <v>574</v>
      </c>
      <c r="J128" s="64" t="s">
        <v>596</v>
      </c>
      <c r="K128" s="64" t="s">
        <v>601</v>
      </c>
      <c r="L128" s="69">
        <v>44166</v>
      </c>
      <c r="M128" s="64" t="s">
        <v>596</v>
      </c>
      <c r="N128" s="64" t="s">
        <v>601</v>
      </c>
      <c r="O128" s="69">
        <v>44174</v>
      </c>
      <c r="P128" s="64" t="s">
        <v>596</v>
      </c>
      <c r="Q128" s="64" t="s">
        <v>602</v>
      </c>
      <c r="R128" s="69" t="s">
        <v>379</v>
      </c>
      <c r="S128" s="64" t="s">
        <v>596</v>
      </c>
      <c r="T128" s="64" t="s">
        <v>603</v>
      </c>
      <c r="U128" s="68" t="s">
        <v>362</v>
      </c>
      <c r="V128" s="64" t="s">
        <v>596</v>
      </c>
      <c r="W128" s="64" t="s">
        <v>604</v>
      </c>
      <c r="X128" s="68" t="s">
        <v>457</v>
      </c>
      <c r="Y128" s="65"/>
      <c r="Z128" s="70"/>
      <c r="AA128" s="71"/>
      <c r="AB128" s="71"/>
      <c r="AC128" s="64"/>
      <c r="AD128" s="64"/>
      <c r="AE128" s="64"/>
      <c r="AF128" s="64"/>
      <c r="AG128" s="65"/>
      <c r="AH128" s="64" t="s">
        <v>596</v>
      </c>
      <c r="AI128" s="66" t="s">
        <v>594</v>
      </c>
    </row>
    <row r="129" spans="1:35" ht="93.75" hidden="1">
      <c r="A129" s="78" t="s">
        <v>597</v>
      </c>
      <c r="B129" s="64" t="s">
        <v>598</v>
      </c>
      <c r="C129" s="76">
        <v>126</v>
      </c>
      <c r="D129" s="64" t="s">
        <v>596</v>
      </c>
      <c r="E129" s="64" t="s">
        <v>599</v>
      </c>
      <c r="F129" s="67" t="s">
        <v>575</v>
      </c>
      <c r="G129" s="64" t="s">
        <v>596</v>
      </c>
      <c r="H129" s="64" t="s">
        <v>600</v>
      </c>
      <c r="I129" s="90" t="s">
        <v>576</v>
      </c>
      <c r="J129" s="64" t="s">
        <v>596</v>
      </c>
      <c r="K129" s="64" t="s">
        <v>601</v>
      </c>
      <c r="L129" s="69">
        <v>44166</v>
      </c>
      <c r="M129" s="64" t="s">
        <v>596</v>
      </c>
      <c r="N129" s="64" t="s">
        <v>601</v>
      </c>
      <c r="O129" s="69">
        <v>44196</v>
      </c>
      <c r="P129" s="64" t="s">
        <v>596</v>
      </c>
      <c r="Q129" s="64" t="s">
        <v>602</v>
      </c>
      <c r="R129" s="69" t="s">
        <v>366</v>
      </c>
      <c r="S129" s="64" t="s">
        <v>596</v>
      </c>
      <c r="T129" s="64" t="s">
        <v>603</v>
      </c>
      <c r="U129" s="68" t="s">
        <v>577</v>
      </c>
      <c r="V129" s="64" t="s">
        <v>596</v>
      </c>
      <c r="W129" s="64" t="s">
        <v>604</v>
      </c>
      <c r="X129" s="68" t="s">
        <v>578</v>
      </c>
      <c r="Y129" s="65"/>
      <c r="Z129" s="70"/>
      <c r="AA129" s="71"/>
      <c r="AB129" s="71"/>
      <c r="AC129" s="64"/>
      <c r="AD129" s="64"/>
      <c r="AE129" s="64"/>
      <c r="AF129" s="64"/>
      <c r="AG129" s="65"/>
      <c r="AH129" s="64" t="s">
        <v>596</v>
      </c>
      <c r="AI129" s="66" t="s">
        <v>594</v>
      </c>
    </row>
    <row r="130" spans="1:35" ht="37.5" hidden="1">
      <c r="A130" s="78" t="s">
        <v>597</v>
      </c>
      <c r="B130" s="64" t="s">
        <v>598</v>
      </c>
      <c r="C130" s="76">
        <v>127</v>
      </c>
      <c r="D130" s="64" t="s">
        <v>596</v>
      </c>
      <c r="E130" s="64" t="s">
        <v>599</v>
      </c>
      <c r="F130" s="67" t="s">
        <v>579</v>
      </c>
      <c r="G130" s="64" t="s">
        <v>596</v>
      </c>
      <c r="H130" s="64" t="s">
        <v>600</v>
      </c>
      <c r="I130" s="90" t="s">
        <v>426</v>
      </c>
      <c r="J130" s="64" t="s">
        <v>596</v>
      </c>
      <c r="K130" s="64" t="s">
        <v>601</v>
      </c>
      <c r="L130" s="69">
        <v>44166</v>
      </c>
      <c r="M130" s="64" t="s">
        <v>596</v>
      </c>
      <c r="N130" s="64" t="s">
        <v>601</v>
      </c>
      <c r="O130" s="69">
        <v>44171</v>
      </c>
      <c r="P130" s="64" t="s">
        <v>596</v>
      </c>
      <c r="Q130" s="64" t="s">
        <v>602</v>
      </c>
      <c r="R130" s="68" t="s">
        <v>366</v>
      </c>
      <c r="S130" s="64" t="s">
        <v>596</v>
      </c>
      <c r="T130" s="64" t="s">
        <v>603</v>
      </c>
      <c r="U130" s="68" t="s">
        <v>367</v>
      </c>
      <c r="V130" s="64" t="s">
        <v>596</v>
      </c>
      <c r="W130" s="64" t="s">
        <v>604</v>
      </c>
      <c r="X130" s="68" t="s">
        <v>368</v>
      </c>
      <c r="Y130" s="65"/>
      <c r="Z130" s="70"/>
      <c r="AA130" s="71"/>
      <c r="AB130" s="71"/>
      <c r="AC130" s="64"/>
      <c r="AD130" s="64"/>
      <c r="AE130" s="64"/>
      <c r="AF130" s="64"/>
      <c r="AG130" s="65"/>
      <c r="AH130" s="64" t="s">
        <v>596</v>
      </c>
      <c r="AI130" s="66" t="s">
        <v>594</v>
      </c>
    </row>
    <row r="131" spans="1:35" ht="37.5" hidden="1">
      <c r="A131" s="78" t="s">
        <v>597</v>
      </c>
      <c r="B131" s="64" t="s">
        <v>598</v>
      </c>
      <c r="C131" s="76">
        <v>128</v>
      </c>
      <c r="D131" s="64" t="s">
        <v>596</v>
      </c>
      <c r="E131" s="64" t="s">
        <v>599</v>
      </c>
      <c r="F131" s="67" t="s">
        <v>580</v>
      </c>
      <c r="G131" s="64" t="s">
        <v>596</v>
      </c>
      <c r="H131" s="64" t="s">
        <v>600</v>
      </c>
      <c r="I131" s="90" t="s">
        <v>522</v>
      </c>
      <c r="J131" s="64" t="s">
        <v>596</v>
      </c>
      <c r="K131" s="64" t="s">
        <v>601</v>
      </c>
      <c r="L131" s="69">
        <v>44167</v>
      </c>
      <c r="M131" s="64" t="s">
        <v>596</v>
      </c>
      <c r="N131" s="64" t="s">
        <v>601</v>
      </c>
      <c r="O131" s="69">
        <v>44170</v>
      </c>
      <c r="P131" s="64" t="s">
        <v>596</v>
      </c>
      <c r="Q131" s="64" t="s">
        <v>602</v>
      </c>
      <c r="R131" s="69" t="s">
        <v>366</v>
      </c>
      <c r="S131" s="64" t="s">
        <v>596</v>
      </c>
      <c r="T131" s="64" t="s">
        <v>603</v>
      </c>
      <c r="U131" s="68" t="s">
        <v>367</v>
      </c>
      <c r="V131" s="64" t="s">
        <v>596</v>
      </c>
      <c r="W131" s="64" t="s">
        <v>604</v>
      </c>
      <c r="X131" s="68" t="s">
        <v>368</v>
      </c>
      <c r="Y131" s="65"/>
      <c r="Z131" s="70"/>
      <c r="AA131" s="71"/>
      <c r="AB131" s="71"/>
      <c r="AC131" s="64"/>
      <c r="AD131" s="64"/>
      <c r="AE131" s="64"/>
      <c r="AF131" s="64"/>
      <c r="AG131" s="65"/>
      <c r="AH131" s="64" t="s">
        <v>596</v>
      </c>
      <c r="AI131" s="66" t="s">
        <v>594</v>
      </c>
    </row>
    <row r="132" spans="1:35" ht="56.25" hidden="1">
      <c r="A132" s="78" t="s">
        <v>597</v>
      </c>
      <c r="B132" s="64" t="s">
        <v>598</v>
      </c>
      <c r="C132" s="76">
        <v>129</v>
      </c>
      <c r="D132" s="64" t="s">
        <v>596</v>
      </c>
      <c r="E132" s="64" t="s">
        <v>599</v>
      </c>
      <c r="F132" s="67" t="s">
        <v>581</v>
      </c>
      <c r="G132" s="64" t="s">
        <v>596</v>
      </c>
      <c r="H132" s="64" t="s">
        <v>600</v>
      </c>
      <c r="I132" s="93"/>
      <c r="J132" s="64" t="s">
        <v>596</v>
      </c>
      <c r="K132" s="64" t="s">
        <v>601</v>
      </c>
      <c r="L132" s="69">
        <v>44172</v>
      </c>
      <c r="M132" s="64" t="s">
        <v>596</v>
      </c>
      <c r="N132" s="64" t="s">
        <v>601</v>
      </c>
      <c r="O132" s="69">
        <v>44187</v>
      </c>
      <c r="P132" s="64" t="s">
        <v>596</v>
      </c>
      <c r="Q132" s="64" t="s">
        <v>602</v>
      </c>
      <c r="R132" s="69" t="s">
        <v>389</v>
      </c>
      <c r="S132" s="64" t="s">
        <v>596</v>
      </c>
      <c r="T132" s="64" t="s">
        <v>603</v>
      </c>
      <c r="U132" s="68" t="s">
        <v>520</v>
      </c>
      <c r="V132" s="64" t="s">
        <v>596</v>
      </c>
      <c r="W132" s="64" t="s">
        <v>604</v>
      </c>
      <c r="X132" s="68" t="s">
        <v>396</v>
      </c>
      <c r="Y132" s="65"/>
      <c r="Z132" s="70"/>
      <c r="AA132" s="71"/>
      <c r="AB132" s="71"/>
      <c r="AC132" s="64"/>
      <c r="AD132" s="64"/>
      <c r="AE132" s="64"/>
      <c r="AF132" s="64"/>
      <c r="AG132" s="65"/>
      <c r="AH132" s="64" t="s">
        <v>596</v>
      </c>
      <c r="AI132" s="66" t="s">
        <v>594</v>
      </c>
    </row>
    <row r="133" spans="1:35" ht="37.5" hidden="1">
      <c r="A133" s="78" t="s">
        <v>597</v>
      </c>
      <c r="B133" s="64" t="s">
        <v>598</v>
      </c>
      <c r="C133" s="76">
        <v>130</v>
      </c>
      <c r="D133" s="64" t="s">
        <v>596</v>
      </c>
      <c r="E133" s="64" t="s">
        <v>599</v>
      </c>
      <c r="F133" s="67" t="s">
        <v>582</v>
      </c>
      <c r="G133" s="64" t="s">
        <v>596</v>
      </c>
      <c r="H133" s="64" t="s">
        <v>600</v>
      </c>
      <c r="I133" s="91" t="s">
        <v>574</v>
      </c>
      <c r="J133" s="64" t="s">
        <v>596</v>
      </c>
      <c r="K133" s="64" t="s">
        <v>601</v>
      </c>
      <c r="L133" s="69">
        <v>44175</v>
      </c>
      <c r="M133" s="64" t="s">
        <v>596</v>
      </c>
      <c r="N133" s="64" t="s">
        <v>601</v>
      </c>
      <c r="O133" s="69">
        <v>44175</v>
      </c>
      <c r="P133" s="64" t="s">
        <v>596</v>
      </c>
      <c r="Q133" s="64" t="s">
        <v>602</v>
      </c>
      <c r="R133" s="69" t="s">
        <v>379</v>
      </c>
      <c r="S133" s="64" t="s">
        <v>596</v>
      </c>
      <c r="T133" s="64" t="s">
        <v>603</v>
      </c>
      <c r="U133" s="68" t="s">
        <v>362</v>
      </c>
      <c r="V133" s="64" t="s">
        <v>596</v>
      </c>
      <c r="W133" s="64" t="s">
        <v>604</v>
      </c>
      <c r="X133" s="68" t="s">
        <v>457</v>
      </c>
      <c r="Y133" s="65"/>
      <c r="Z133" s="70"/>
      <c r="AA133" s="71"/>
      <c r="AB133" s="71"/>
      <c r="AC133" s="64"/>
      <c r="AD133" s="64"/>
      <c r="AE133" s="64"/>
      <c r="AF133" s="64"/>
      <c r="AG133" s="65"/>
      <c r="AH133" s="64" t="s">
        <v>596</v>
      </c>
      <c r="AI133" s="66" t="s">
        <v>594</v>
      </c>
    </row>
    <row r="134" spans="1:35" ht="37.5" hidden="1">
      <c r="A134" s="78" t="s">
        <v>597</v>
      </c>
      <c r="B134" s="64" t="s">
        <v>598</v>
      </c>
      <c r="C134" s="76">
        <v>131</v>
      </c>
      <c r="D134" s="64" t="s">
        <v>596</v>
      </c>
      <c r="E134" s="64" t="s">
        <v>599</v>
      </c>
      <c r="F134" s="67" t="s">
        <v>583</v>
      </c>
      <c r="G134" s="64" t="s">
        <v>596</v>
      </c>
      <c r="H134" s="64" t="s">
        <v>600</v>
      </c>
      <c r="I134" s="91" t="s">
        <v>574</v>
      </c>
      <c r="J134" s="64" t="s">
        <v>596</v>
      </c>
      <c r="K134" s="64" t="s">
        <v>601</v>
      </c>
      <c r="L134" s="69">
        <v>44176</v>
      </c>
      <c r="M134" s="64" t="s">
        <v>596</v>
      </c>
      <c r="N134" s="64" t="s">
        <v>601</v>
      </c>
      <c r="O134" s="69">
        <v>44176</v>
      </c>
      <c r="P134" s="64" t="s">
        <v>596</v>
      </c>
      <c r="Q134" s="64" t="s">
        <v>602</v>
      </c>
      <c r="R134" s="69" t="s">
        <v>379</v>
      </c>
      <c r="S134" s="64" t="s">
        <v>596</v>
      </c>
      <c r="T134" s="64" t="s">
        <v>603</v>
      </c>
      <c r="U134" s="68" t="s">
        <v>362</v>
      </c>
      <c r="V134" s="64" t="s">
        <v>596</v>
      </c>
      <c r="W134" s="64" t="s">
        <v>604</v>
      </c>
      <c r="X134" s="68" t="s">
        <v>457</v>
      </c>
      <c r="Y134" s="65"/>
      <c r="Z134" s="70"/>
      <c r="AA134" s="71"/>
      <c r="AB134" s="71"/>
      <c r="AC134" s="64"/>
      <c r="AD134" s="64"/>
      <c r="AE134" s="64"/>
      <c r="AF134" s="64"/>
      <c r="AG134" s="65"/>
      <c r="AH134" s="64" t="s">
        <v>596</v>
      </c>
      <c r="AI134" s="66" t="s">
        <v>594</v>
      </c>
    </row>
    <row r="135" spans="1:35" ht="75" hidden="1">
      <c r="A135" s="78" t="s">
        <v>597</v>
      </c>
      <c r="B135" s="64" t="s">
        <v>598</v>
      </c>
      <c r="C135" s="76">
        <v>132</v>
      </c>
      <c r="D135" s="64" t="s">
        <v>596</v>
      </c>
      <c r="E135" s="64" t="s">
        <v>599</v>
      </c>
      <c r="F135" s="67" t="s">
        <v>584</v>
      </c>
      <c r="G135" s="64" t="s">
        <v>596</v>
      </c>
      <c r="H135" s="64" t="s">
        <v>600</v>
      </c>
      <c r="I135" s="90"/>
      <c r="J135" s="64" t="s">
        <v>596</v>
      </c>
      <c r="K135" s="64" t="s">
        <v>601</v>
      </c>
      <c r="L135" s="69">
        <v>44176</v>
      </c>
      <c r="M135" s="64" t="s">
        <v>596</v>
      </c>
      <c r="N135" s="64" t="s">
        <v>601</v>
      </c>
      <c r="O135" s="69">
        <v>44177</v>
      </c>
      <c r="P135" s="64" t="s">
        <v>596</v>
      </c>
      <c r="Q135" s="64" t="s">
        <v>602</v>
      </c>
      <c r="R135" s="68" t="s">
        <v>366</v>
      </c>
      <c r="S135" s="64" t="s">
        <v>596</v>
      </c>
      <c r="T135" s="64" t="s">
        <v>603</v>
      </c>
      <c r="U135" s="68" t="s">
        <v>362</v>
      </c>
      <c r="V135" s="64" t="s">
        <v>596</v>
      </c>
      <c r="W135" s="64" t="s">
        <v>604</v>
      </c>
      <c r="X135" s="68" t="s">
        <v>585</v>
      </c>
      <c r="Y135" s="65"/>
      <c r="Z135" s="70"/>
      <c r="AA135" s="71"/>
      <c r="AB135" s="71"/>
      <c r="AC135" s="64"/>
      <c r="AD135" s="64"/>
      <c r="AE135" s="64"/>
      <c r="AF135" s="64"/>
      <c r="AG135" s="65"/>
      <c r="AH135" s="64" t="s">
        <v>596</v>
      </c>
      <c r="AI135" s="66" t="s">
        <v>594</v>
      </c>
    </row>
    <row r="136" spans="1:35" ht="37.5">
      <c r="A136" s="78" t="s">
        <v>597</v>
      </c>
      <c r="B136" s="64" t="s">
        <v>598</v>
      </c>
      <c r="C136" s="76">
        <v>133</v>
      </c>
      <c r="D136" s="64" t="s">
        <v>596</v>
      </c>
      <c r="E136" s="64" t="s">
        <v>599</v>
      </c>
      <c r="F136" s="67" t="s">
        <v>586</v>
      </c>
      <c r="G136" s="64" t="s">
        <v>596</v>
      </c>
      <c r="H136" s="64" t="s">
        <v>600</v>
      </c>
      <c r="I136" s="67" t="s">
        <v>587</v>
      </c>
      <c r="J136" s="64" t="s">
        <v>596</v>
      </c>
      <c r="K136" s="64" t="s">
        <v>601</v>
      </c>
      <c r="L136" s="69">
        <v>44184</v>
      </c>
      <c r="M136" s="64" t="s">
        <v>596</v>
      </c>
      <c r="N136" s="64" t="s">
        <v>601</v>
      </c>
      <c r="O136" s="69">
        <v>44184</v>
      </c>
      <c r="P136" s="64" t="s">
        <v>596</v>
      </c>
      <c r="Q136" s="64" t="s">
        <v>602</v>
      </c>
      <c r="R136" s="69" t="s">
        <v>361</v>
      </c>
      <c r="S136" s="64" t="s">
        <v>596</v>
      </c>
      <c r="T136" s="64" t="s">
        <v>603</v>
      </c>
      <c r="U136" s="68" t="s">
        <v>362</v>
      </c>
      <c r="V136" s="64" t="s">
        <v>596</v>
      </c>
      <c r="W136" s="64" t="s">
        <v>604</v>
      </c>
      <c r="X136" s="68" t="s">
        <v>377</v>
      </c>
      <c r="Y136" s="65"/>
      <c r="Z136" s="70"/>
      <c r="AA136" s="71"/>
      <c r="AB136" s="71"/>
      <c r="AC136" s="64"/>
      <c r="AD136" s="64"/>
      <c r="AE136" s="64"/>
      <c r="AF136" s="64"/>
      <c r="AG136" s="65"/>
      <c r="AH136" s="64" t="s">
        <v>596</v>
      </c>
      <c r="AI136" s="66" t="s">
        <v>594</v>
      </c>
    </row>
    <row r="137" spans="1:35" ht="37.5">
      <c r="A137" s="78" t="s">
        <v>597</v>
      </c>
      <c r="B137" s="64" t="s">
        <v>598</v>
      </c>
      <c r="C137" s="76">
        <v>134</v>
      </c>
      <c r="D137" s="64" t="s">
        <v>596</v>
      </c>
      <c r="E137" s="64" t="s">
        <v>599</v>
      </c>
      <c r="F137" s="67" t="s">
        <v>588</v>
      </c>
      <c r="G137" s="64" t="s">
        <v>596</v>
      </c>
      <c r="H137" s="64" t="s">
        <v>600</v>
      </c>
      <c r="I137" s="67" t="s">
        <v>462</v>
      </c>
      <c r="J137" s="64" t="s">
        <v>596</v>
      </c>
      <c r="K137" s="64" t="s">
        <v>601</v>
      </c>
      <c r="L137" s="69">
        <v>44184</v>
      </c>
      <c r="M137" s="64" t="s">
        <v>596</v>
      </c>
      <c r="N137" s="64" t="s">
        <v>601</v>
      </c>
      <c r="O137" s="69">
        <v>44192</v>
      </c>
      <c r="P137" s="64" t="s">
        <v>596</v>
      </c>
      <c r="Q137" s="64" t="s">
        <v>602</v>
      </c>
      <c r="R137" s="75" t="s">
        <v>226</v>
      </c>
      <c r="S137" s="64" t="s">
        <v>596</v>
      </c>
      <c r="T137" s="64" t="s">
        <v>603</v>
      </c>
      <c r="U137" s="68" t="s">
        <v>367</v>
      </c>
      <c r="V137" s="64" t="s">
        <v>596</v>
      </c>
      <c r="W137" s="64" t="s">
        <v>604</v>
      </c>
      <c r="X137" s="68" t="s">
        <v>387</v>
      </c>
      <c r="Y137" s="65"/>
      <c r="Z137" s="70"/>
      <c r="AA137" s="71"/>
      <c r="AB137" s="71"/>
      <c r="AC137" s="64"/>
      <c r="AD137" s="64"/>
      <c r="AE137" s="64"/>
      <c r="AF137" s="64"/>
      <c r="AG137" s="65"/>
      <c r="AH137" s="64" t="s">
        <v>596</v>
      </c>
      <c r="AI137" s="66" t="s">
        <v>594</v>
      </c>
    </row>
    <row r="138" spans="1:35" ht="37.5">
      <c r="A138" s="78" t="s">
        <v>597</v>
      </c>
      <c r="B138" s="64" t="s">
        <v>598</v>
      </c>
      <c r="C138" s="76">
        <v>135</v>
      </c>
      <c r="D138" s="64" t="s">
        <v>596</v>
      </c>
      <c r="E138" s="64" t="s">
        <v>599</v>
      </c>
      <c r="F138" s="67" t="s">
        <v>589</v>
      </c>
      <c r="G138" s="64" t="s">
        <v>596</v>
      </c>
      <c r="H138" s="64" t="s">
        <v>600</v>
      </c>
      <c r="I138" s="67" t="s">
        <v>587</v>
      </c>
      <c r="J138" s="64" t="s">
        <v>596</v>
      </c>
      <c r="K138" s="64" t="s">
        <v>601</v>
      </c>
      <c r="L138" s="69">
        <v>44185</v>
      </c>
      <c r="M138" s="64" t="s">
        <v>596</v>
      </c>
      <c r="N138" s="64" t="s">
        <v>601</v>
      </c>
      <c r="O138" s="69">
        <v>44185</v>
      </c>
      <c r="P138" s="64" t="s">
        <v>596</v>
      </c>
      <c r="Q138" s="64" t="s">
        <v>602</v>
      </c>
      <c r="R138" s="69" t="s">
        <v>361</v>
      </c>
      <c r="S138" s="64" t="s">
        <v>596</v>
      </c>
      <c r="T138" s="64" t="s">
        <v>603</v>
      </c>
      <c r="U138" s="68" t="s">
        <v>362</v>
      </c>
      <c r="V138" s="64" t="s">
        <v>596</v>
      </c>
      <c r="W138" s="64" t="s">
        <v>604</v>
      </c>
      <c r="X138" s="68" t="s">
        <v>377</v>
      </c>
      <c r="Y138" s="65"/>
      <c r="Z138" s="70"/>
      <c r="AA138" s="71"/>
      <c r="AB138" s="71"/>
      <c r="AC138" s="64"/>
      <c r="AD138" s="64"/>
      <c r="AE138" s="64"/>
      <c r="AF138" s="64"/>
      <c r="AG138" s="65"/>
      <c r="AH138" s="64" t="s">
        <v>596</v>
      </c>
      <c r="AI138" s="66" t="s">
        <v>594</v>
      </c>
    </row>
    <row r="139" spans="1:35">
      <c r="A139" s="78" t="s">
        <v>597</v>
      </c>
      <c r="B139" s="64" t="s">
        <v>598</v>
      </c>
      <c r="C139" s="76">
        <v>136</v>
      </c>
      <c r="D139" s="64" t="s">
        <v>596</v>
      </c>
      <c r="E139" s="64" t="s">
        <v>599</v>
      </c>
      <c r="F139" s="67" t="s">
        <v>590</v>
      </c>
      <c r="G139" s="64" t="s">
        <v>596</v>
      </c>
      <c r="H139" s="64" t="s">
        <v>600</v>
      </c>
      <c r="I139" s="67"/>
      <c r="J139" s="64" t="s">
        <v>596</v>
      </c>
      <c r="K139" s="64" t="s">
        <v>601</v>
      </c>
      <c r="L139" s="69">
        <v>44192</v>
      </c>
      <c r="M139" s="64" t="s">
        <v>596</v>
      </c>
      <c r="N139" s="64" t="s">
        <v>601</v>
      </c>
      <c r="O139" s="69">
        <v>44192</v>
      </c>
      <c r="P139" s="64" t="s">
        <v>596</v>
      </c>
      <c r="Q139" s="64" t="s">
        <v>602</v>
      </c>
      <c r="R139" s="69" t="s">
        <v>361</v>
      </c>
      <c r="S139" s="64" t="s">
        <v>596</v>
      </c>
      <c r="T139" s="64" t="s">
        <v>603</v>
      </c>
      <c r="U139" s="68" t="s">
        <v>362</v>
      </c>
      <c r="V139" s="64" t="s">
        <v>596</v>
      </c>
      <c r="W139" s="64" t="s">
        <v>604</v>
      </c>
      <c r="X139" s="68" t="s">
        <v>377</v>
      </c>
      <c r="Y139" s="65"/>
      <c r="Z139" s="70"/>
      <c r="AA139" s="71"/>
      <c r="AB139" s="71"/>
      <c r="AC139" s="64"/>
      <c r="AD139" s="64"/>
      <c r="AE139" s="64"/>
      <c r="AF139" s="64"/>
      <c r="AG139" s="65"/>
      <c r="AH139" s="64" t="s">
        <v>596</v>
      </c>
      <c r="AI139" s="66" t="s">
        <v>594</v>
      </c>
    </row>
    <row r="140" spans="1:35">
      <c r="D140" s="62"/>
      <c r="E140" s="62"/>
      <c r="L140" s="63"/>
      <c r="M140" s="63"/>
      <c r="N140" s="63"/>
      <c r="O140" s="58"/>
      <c r="P140" s="58"/>
      <c r="Q140" s="58"/>
      <c r="Y140" s="60"/>
      <c r="Z140" s="61"/>
      <c r="AB140" s="57"/>
      <c r="AF140" s="58"/>
    </row>
  </sheetData>
  <autoFilter ref="A2:AI139">
    <filterColumn colId="8">
      <colorFilter dxfId="13"/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17" sqref="E17"/>
    </sheetView>
  </sheetViews>
  <sheetFormatPr defaultRowHeight="15"/>
  <cols>
    <col min="1" max="1" width="35.85546875" bestFit="1" customWidth="1"/>
    <col min="2" max="2" width="39.5703125" bestFit="1" customWidth="1"/>
    <col min="6" max="6" width="24.28515625" customWidth="1"/>
    <col min="8" max="8" width="40.140625" bestFit="1" customWidth="1"/>
    <col min="9" max="9" width="13.5703125" customWidth="1"/>
  </cols>
  <sheetData>
    <row r="1" spans="1:26" ht="18.75">
      <c r="A1" s="78" t="s">
        <v>597</v>
      </c>
      <c r="B1" s="78" t="s">
        <v>606</v>
      </c>
      <c r="C1" s="95" t="s">
        <v>347</v>
      </c>
      <c r="D1" s="78" t="s">
        <v>593</v>
      </c>
      <c r="E1" s="78" t="s">
        <v>607</v>
      </c>
      <c r="F1" s="96" t="s">
        <v>348</v>
      </c>
      <c r="G1" s="78" t="s">
        <v>593</v>
      </c>
      <c r="H1" s="78" t="s">
        <v>608</v>
      </c>
      <c r="I1" s="97" t="s">
        <v>349</v>
      </c>
      <c r="J1" s="78" t="s">
        <v>593</v>
      </c>
      <c r="K1" s="78" t="s">
        <v>609</v>
      </c>
      <c r="L1" s="97" t="s">
        <v>591</v>
      </c>
      <c r="M1" s="78" t="s">
        <v>593</v>
      </c>
      <c r="N1" s="78" t="s">
        <v>592</v>
      </c>
      <c r="O1" s="98" t="s">
        <v>605</v>
      </c>
      <c r="P1" s="78" t="s">
        <v>593</v>
      </c>
      <c r="Q1" s="78" t="s">
        <v>610</v>
      </c>
      <c r="R1" s="97" t="s">
        <v>350</v>
      </c>
      <c r="S1" s="78" t="s">
        <v>593</v>
      </c>
      <c r="T1" s="78" t="s">
        <v>611</v>
      </c>
      <c r="U1" s="99" t="s">
        <v>351</v>
      </c>
      <c r="V1" s="78" t="s">
        <v>593</v>
      </c>
      <c r="W1" s="78" t="s">
        <v>612</v>
      </c>
      <c r="X1" s="99" t="s">
        <v>352</v>
      </c>
      <c r="Y1" s="78" t="s">
        <v>593</v>
      </c>
      <c r="Z1" s="87" t="s">
        <v>594</v>
      </c>
    </row>
    <row r="2" spans="1:26" ht="18.75">
      <c r="A2" s="78" t="s">
        <v>597</v>
      </c>
      <c r="B2" s="100" t="s">
        <v>598</v>
      </c>
      <c r="C2" s="101">
        <v>1</v>
      </c>
      <c r="D2" s="100" t="s">
        <v>596</v>
      </c>
      <c r="E2" s="100" t="s">
        <v>599</v>
      </c>
      <c r="F2" s="102" t="s">
        <v>378</v>
      </c>
      <c r="G2" s="100" t="s">
        <v>596</v>
      </c>
      <c r="H2" s="100" t="s">
        <v>600</v>
      </c>
      <c r="I2" s="103" t="s">
        <v>545</v>
      </c>
      <c r="J2" s="100" t="s">
        <v>596</v>
      </c>
      <c r="K2" s="100" t="s">
        <v>601</v>
      </c>
      <c r="L2" s="104">
        <v>43848</v>
      </c>
      <c r="M2" s="100" t="s">
        <v>596</v>
      </c>
      <c r="N2" s="100" t="s">
        <v>601</v>
      </c>
      <c r="O2" s="104">
        <v>43858</v>
      </c>
      <c r="P2" s="100" t="s">
        <v>596</v>
      </c>
      <c r="Q2" s="100" t="s">
        <v>602</v>
      </c>
      <c r="R2" s="105" t="s">
        <v>379</v>
      </c>
      <c r="S2" s="100" t="s">
        <v>596</v>
      </c>
      <c r="T2" s="100" t="s">
        <v>603</v>
      </c>
      <c r="U2" s="105" t="s">
        <v>380</v>
      </c>
      <c r="V2" s="100" t="s">
        <v>596</v>
      </c>
      <c r="W2" s="100" t="s">
        <v>604</v>
      </c>
      <c r="X2" s="105" t="s">
        <v>381</v>
      </c>
      <c r="Y2" s="100" t="s">
        <v>596</v>
      </c>
      <c r="Z2" s="106" t="s">
        <v>594</v>
      </c>
    </row>
    <row r="3" spans="1:26" ht="18.75">
      <c r="A3" s="78" t="s">
        <v>597</v>
      </c>
      <c r="B3" s="100" t="s">
        <v>598</v>
      </c>
      <c r="C3" s="101">
        <v>2</v>
      </c>
      <c r="D3" s="100" t="s">
        <v>596</v>
      </c>
      <c r="E3" s="100" t="s">
        <v>599</v>
      </c>
      <c r="F3" s="102" t="s">
        <v>455</v>
      </c>
      <c r="G3" s="100" t="s">
        <v>596</v>
      </c>
      <c r="H3" s="100" t="s">
        <v>600</v>
      </c>
      <c r="I3" s="103" t="s">
        <v>545</v>
      </c>
      <c r="J3" s="100" t="s">
        <v>596</v>
      </c>
      <c r="K3" s="100" t="s">
        <v>601</v>
      </c>
      <c r="L3" s="104">
        <v>43960</v>
      </c>
      <c r="M3" s="100" t="s">
        <v>596</v>
      </c>
      <c r="N3" s="100" t="s">
        <v>601</v>
      </c>
      <c r="O3" s="104">
        <v>43960</v>
      </c>
      <c r="P3" s="100" t="s">
        <v>596</v>
      </c>
      <c r="Q3" s="100" t="s">
        <v>602</v>
      </c>
      <c r="R3" s="104" t="s">
        <v>379</v>
      </c>
      <c r="S3" s="100" t="s">
        <v>596</v>
      </c>
      <c r="T3" s="100" t="s">
        <v>603</v>
      </c>
      <c r="U3" s="105" t="s">
        <v>362</v>
      </c>
      <c r="V3" s="100" t="s">
        <v>596</v>
      </c>
      <c r="W3" s="100" t="s">
        <v>604</v>
      </c>
      <c r="X3" s="105" t="s">
        <v>457</v>
      </c>
      <c r="Y3" s="100" t="s">
        <v>596</v>
      </c>
      <c r="Z3" s="106" t="s">
        <v>594</v>
      </c>
    </row>
    <row r="4" spans="1:26" ht="18.75">
      <c r="A4" s="78" t="s">
        <v>597</v>
      </c>
      <c r="B4" s="100" t="s">
        <v>598</v>
      </c>
      <c r="C4" s="101">
        <v>3</v>
      </c>
      <c r="D4" s="100" t="s">
        <v>596</v>
      </c>
      <c r="E4" s="100" t="s">
        <v>599</v>
      </c>
      <c r="F4" s="102" t="s">
        <v>595</v>
      </c>
      <c r="G4" s="100" t="s">
        <v>596</v>
      </c>
      <c r="H4" s="100" t="s">
        <v>600</v>
      </c>
      <c r="I4" s="103" t="s">
        <v>545</v>
      </c>
      <c r="J4" s="100" t="s">
        <v>596</v>
      </c>
      <c r="K4" s="100" t="s">
        <v>601</v>
      </c>
      <c r="L4" s="104">
        <v>44128</v>
      </c>
      <c r="M4" s="100" t="s">
        <v>596</v>
      </c>
      <c r="N4" s="100" t="s">
        <v>601</v>
      </c>
      <c r="O4" s="104">
        <v>44129</v>
      </c>
      <c r="P4" s="100" t="s">
        <v>596</v>
      </c>
      <c r="Q4" s="100" t="s">
        <v>602</v>
      </c>
      <c r="R4" s="104" t="s">
        <v>379</v>
      </c>
      <c r="S4" s="100" t="s">
        <v>596</v>
      </c>
      <c r="T4" s="100" t="s">
        <v>603</v>
      </c>
      <c r="U4" s="105" t="s">
        <v>362</v>
      </c>
      <c r="V4" s="100" t="s">
        <v>596</v>
      </c>
      <c r="W4" s="100" t="s">
        <v>604</v>
      </c>
      <c r="X4" s="105" t="s">
        <v>457</v>
      </c>
      <c r="Y4" s="100" t="s">
        <v>596</v>
      </c>
      <c r="Z4" s="106" t="s">
        <v>594</v>
      </c>
    </row>
    <row r="5" spans="1:26" ht="18.75">
      <c r="A5" s="78" t="s">
        <v>597</v>
      </c>
      <c r="B5" s="100" t="s">
        <v>598</v>
      </c>
      <c r="C5" s="101">
        <v>4</v>
      </c>
      <c r="D5" s="100" t="s">
        <v>596</v>
      </c>
      <c r="E5" s="100" t="s">
        <v>599</v>
      </c>
      <c r="F5" s="102" t="s">
        <v>560</v>
      </c>
      <c r="G5" s="100" t="s">
        <v>596</v>
      </c>
      <c r="H5" s="100" t="s">
        <v>600</v>
      </c>
      <c r="I5" s="103" t="s">
        <v>545</v>
      </c>
      <c r="J5" s="100" t="s">
        <v>596</v>
      </c>
      <c r="K5" s="100" t="s">
        <v>601</v>
      </c>
      <c r="L5" s="104">
        <v>44142</v>
      </c>
      <c r="M5" s="100" t="s">
        <v>596</v>
      </c>
      <c r="N5" s="100" t="s">
        <v>601</v>
      </c>
      <c r="O5" s="104">
        <v>44142</v>
      </c>
      <c r="P5" s="100" t="s">
        <v>596</v>
      </c>
      <c r="Q5" s="100" t="s">
        <v>602</v>
      </c>
      <c r="R5" s="104" t="s">
        <v>379</v>
      </c>
      <c r="S5" s="100" t="s">
        <v>596</v>
      </c>
      <c r="T5" s="100" t="s">
        <v>603</v>
      </c>
      <c r="U5" s="105" t="s">
        <v>362</v>
      </c>
      <c r="V5" s="100" t="s">
        <v>596</v>
      </c>
      <c r="W5" s="100" t="s">
        <v>604</v>
      </c>
      <c r="X5" s="105" t="s">
        <v>457</v>
      </c>
      <c r="Y5" s="100" t="s">
        <v>596</v>
      </c>
      <c r="Z5" s="106" t="s">
        <v>594</v>
      </c>
    </row>
    <row r="6" spans="1:26" ht="18.75">
      <c r="A6" s="78" t="s">
        <v>597</v>
      </c>
      <c r="B6" s="100" t="s">
        <v>598</v>
      </c>
      <c r="C6" s="101">
        <v>5</v>
      </c>
      <c r="D6" s="100" t="s">
        <v>596</v>
      </c>
      <c r="E6" s="100" t="s">
        <v>599</v>
      </c>
      <c r="F6" s="102" t="s">
        <v>573</v>
      </c>
      <c r="G6" s="100" t="s">
        <v>596</v>
      </c>
      <c r="H6" s="100" t="s">
        <v>600</v>
      </c>
      <c r="I6" s="103" t="s">
        <v>545</v>
      </c>
      <c r="J6" s="100" t="s">
        <v>596</v>
      </c>
      <c r="K6" s="100" t="s">
        <v>601</v>
      </c>
      <c r="L6" s="104">
        <v>44166</v>
      </c>
      <c r="M6" s="100" t="s">
        <v>596</v>
      </c>
      <c r="N6" s="100" t="s">
        <v>601</v>
      </c>
      <c r="O6" s="104">
        <v>44174</v>
      </c>
      <c r="P6" s="100" t="s">
        <v>596</v>
      </c>
      <c r="Q6" s="100" t="s">
        <v>602</v>
      </c>
      <c r="R6" s="104" t="s">
        <v>379</v>
      </c>
      <c r="S6" s="100" t="s">
        <v>596</v>
      </c>
      <c r="T6" s="100" t="s">
        <v>603</v>
      </c>
      <c r="U6" s="105" t="s">
        <v>362</v>
      </c>
      <c r="V6" s="100" t="s">
        <v>596</v>
      </c>
      <c r="W6" s="100" t="s">
        <v>604</v>
      </c>
      <c r="X6" s="105" t="s">
        <v>457</v>
      </c>
      <c r="Y6" s="100" t="s">
        <v>596</v>
      </c>
      <c r="Z6" s="106" t="s">
        <v>594</v>
      </c>
    </row>
    <row r="7" spans="1:26" ht="18.75">
      <c r="A7" s="78" t="s">
        <v>597</v>
      </c>
      <c r="B7" s="100" t="s">
        <v>598</v>
      </c>
      <c r="C7" s="101">
        <v>6</v>
      </c>
      <c r="D7" s="100" t="s">
        <v>596</v>
      </c>
      <c r="E7" s="100" t="s">
        <v>599</v>
      </c>
      <c r="F7" s="102" t="s">
        <v>582</v>
      </c>
      <c r="G7" s="100" t="s">
        <v>596</v>
      </c>
      <c r="H7" s="100" t="s">
        <v>600</v>
      </c>
      <c r="I7" s="103" t="s">
        <v>545</v>
      </c>
      <c r="J7" s="100" t="s">
        <v>596</v>
      </c>
      <c r="K7" s="100" t="s">
        <v>601</v>
      </c>
      <c r="L7" s="104">
        <v>44175</v>
      </c>
      <c r="M7" s="100" t="s">
        <v>596</v>
      </c>
      <c r="N7" s="100" t="s">
        <v>601</v>
      </c>
      <c r="O7" s="104">
        <v>44175</v>
      </c>
      <c r="P7" s="100" t="s">
        <v>596</v>
      </c>
      <c r="Q7" s="100" t="s">
        <v>602</v>
      </c>
      <c r="R7" s="104" t="s">
        <v>379</v>
      </c>
      <c r="S7" s="100" t="s">
        <v>596</v>
      </c>
      <c r="T7" s="100" t="s">
        <v>603</v>
      </c>
      <c r="U7" s="105" t="s">
        <v>362</v>
      </c>
      <c r="V7" s="100" t="s">
        <v>596</v>
      </c>
      <c r="W7" s="100" t="s">
        <v>604</v>
      </c>
      <c r="X7" s="105" t="s">
        <v>457</v>
      </c>
      <c r="Y7" s="100" t="s">
        <v>596</v>
      </c>
      <c r="Z7" s="106" t="s">
        <v>594</v>
      </c>
    </row>
    <row r="8" spans="1:26" ht="18.75">
      <c r="A8" s="78" t="s">
        <v>597</v>
      </c>
      <c r="B8" s="100" t="s">
        <v>598</v>
      </c>
      <c r="C8" s="101">
        <v>7</v>
      </c>
      <c r="D8" s="100" t="s">
        <v>596</v>
      </c>
      <c r="E8" s="100" t="s">
        <v>599</v>
      </c>
      <c r="F8" s="102" t="s">
        <v>583</v>
      </c>
      <c r="G8" s="100" t="s">
        <v>596</v>
      </c>
      <c r="H8" s="100" t="s">
        <v>600</v>
      </c>
      <c r="I8" s="103" t="s">
        <v>545</v>
      </c>
      <c r="J8" s="100" t="s">
        <v>596</v>
      </c>
      <c r="K8" s="100" t="s">
        <v>601</v>
      </c>
      <c r="L8" s="104">
        <v>44176</v>
      </c>
      <c r="M8" s="100" t="s">
        <v>596</v>
      </c>
      <c r="N8" s="100" t="s">
        <v>601</v>
      </c>
      <c r="O8" s="104">
        <v>44176</v>
      </c>
      <c r="P8" s="100" t="s">
        <v>596</v>
      </c>
      <c r="Q8" s="100" t="s">
        <v>602</v>
      </c>
      <c r="R8" s="104" t="s">
        <v>379</v>
      </c>
      <c r="S8" s="100" t="s">
        <v>596</v>
      </c>
      <c r="T8" s="100" t="s">
        <v>603</v>
      </c>
      <c r="U8" s="105" t="s">
        <v>362</v>
      </c>
      <c r="V8" s="100" t="s">
        <v>596</v>
      </c>
      <c r="W8" s="100" t="s">
        <v>604</v>
      </c>
      <c r="X8" s="105" t="s">
        <v>457</v>
      </c>
      <c r="Y8" s="100" t="s">
        <v>596</v>
      </c>
      <c r="Z8" s="106" t="s">
        <v>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4</vt:i4>
      </vt:variant>
    </vt:vector>
  </HeadingPairs>
  <TitlesOfParts>
    <vt:vector size="18" baseType="lpstr">
      <vt:lpstr>map</vt:lpstr>
      <vt:lpstr>plan</vt:lpstr>
      <vt:lpstr>Лист1</vt:lpstr>
      <vt:lpstr>calendar_plan</vt:lpstr>
      <vt:lpstr>calendar_men</vt:lpstr>
      <vt:lpstr>calendar_women</vt:lpstr>
      <vt:lpstr>calendar_child</vt:lpstr>
      <vt:lpstr>calendar_old</vt:lpstr>
      <vt:lpstr>calendar_country</vt:lpstr>
      <vt:lpstr>top 100</vt:lpstr>
      <vt:lpstr>top fide</vt:lpstr>
      <vt:lpstr>секции</vt:lpstr>
      <vt:lpstr>время работы клуба</vt:lpstr>
      <vt:lpstr>bill_federation</vt:lpstr>
      <vt:lpstr>Лист1!__DdeLink__347_65971897711</vt:lpstr>
      <vt:lpstr>Лист1!__DdeLink__349_6597189771</vt:lpstr>
      <vt:lpstr>Лист1!__DdeLink__351_659718977</vt:lpstr>
      <vt:lpstr>'время работы клуба'!_GoBack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P22_LoskutovaYM</cp:lastModifiedBy>
  <dcterms:created xsi:type="dcterms:W3CDTF">2020-01-16T14:58:46Z</dcterms:created>
  <dcterms:modified xsi:type="dcterms:W3CDTF">2020-03-11T09:46:58Z</dcterms:modified>
</cp:coreProperties>
</file>