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defaultThemeVersion="166925"/>
  <mc:AlternateContent xmlns:mc="http://schemas.openxmlformats.org/markup-compatibility/2006">
    <mc:Choice Requires="x15">
      <x15ac:absPath xmlns:x15ac="http://schemas.microsoft.com/office/spreadsheetml/2010/11/ac" url="/Users/jules/Downloads/OPENCLASSROOMS/LIVRABLE 8/"/>
    </mc:Choice>
  </mc:AlternateContent>
  <xr:revisionPtr revIDLastSave="0" documentId="13_ncr:1_{F8936477-D7B4-714E-8BB8-A3BDEC2BC689}" xr6:coauthVersionLast="47" xr6:coauthVersionMax="47" xr10:uidLastSave="{00000000-0000-0000-0000-000000000000}"/>
  <bookViews>
    <workbookView xWindow="0" yWindow="500" windowWidth="28800" windowHeight="16020" tabRatio="821" xr2:uid="{00000000-000D-0000-FFFF-FFFF00000000}"/>
  </bookViews>
  <sheets>
    <sheet name="1- Ecart rémunération" sheetId="5" r:id="rId1"/>
    <sheet name="2- Ecart augmentations" sheetId="9" r:id="rId2"/>
    <sheet name="3- Ecart promotions" sheetId="11" r:id="rId3"/>
    <sheet name="4- Retour maternité" sheetId="12" r:id="rId4"/>
    <sheet name="5- 10 + hautes rémunérations" sheetId="10" r:id="rId5"/>
    <sheet name="Index" sheetId="7" r:id="rId6"/>
    <sheet name="Barèmes" sheetId="8" r:id="rId7"/>
  </sheets>
  <definedNames>
    <definedName name="_xlnm.Print_Area" localSheetId="0">'1- Ecart rémunération'!$A$1:$K$40</definedName>
    <definedName name="_xlnm.Print_Area" localSheetId="1">'2- Ecart augmentations'!$A$1:$L$20</definedName>
    <definedName name="_xlnm.Print_Area" localSheetId="2">'3- Ecart promotions'!$A$1:$L$19</definedName>
    <definedName name="_xlnm.Print_Area" localSheetId="3">'4- Retour maternité'!$A$1:$M$14</definedName>
    <definedName name="_xlnm.Print_Area" localSheetId="4">'5- 10 + hautes rémunérations'!$A$1:$M$12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1" l="1"/>
  <c r="E11" i="11"/>
  <c r="F10" i="11"/>
  <c r="E10" i="11"/>
  <c r="G10" i="11" s="1"/>
  <c r="D10" i="11"/>
  <c r="D11" i="11"/>
  <c r="F11" i="9"/>
  <c r="F10" i="9"/>
  <c r="E11" i="9"/>
  <c r="E10" i="9"/>
  <c r="G10" i="9" s="1"/>
  <c r="D11" i="9"/>
  <c r="D10" i="9"/>
  <c r="I23" i="5"/>
  <c r="E23" i="5"/>
  <c r="F23" i="5" s="1"/>
  <c r="I22" i="5"/>
  <c r="E22" i="5"/>
  <c r="F22" i="5" s="1"/>
  <c r="I21" i="5"/>
  <c r="J21" i="5" s="1"/>
  <c r="E21" i="5"/>
  <c r="F21" i="5" s="1"/>
  <c r="I20" i="5"/>
  <c r="K20" i="5" s="1"/>
  <c r="E20" i="5"/>
  <c r="F20" i="5" s="1"/>
  <c r="I19" i="5"/>
  <c r="F19" i="5"/>
  <c r="E19" i="5"/>
  <c r="I18" i="5"/>
  <c r="E18" i="5"/>
  <c r="F18" i="5" s="1"/>
  <c r="I17" i="5"/>
  <c r="E17" i="5"/>
  <c r="F17" i="5" s="1"/>
  <c r="I16" i="5"/>
  <c r="J16" i="5" s="1"/>
  <c r="E16" i="5"/>
  <c r="F16" i="5" s="1"/>
  <c r="D9" i="9"/>
  <c r="G11" i="9" l="1"/>
  <c r="H11" i="9" s="1"/>
  <c r="G11" i="11"/>
  <c r="H11" i="11" s="1"/>
  <c r="H10" i="11"/>
  <c r="H10" i="9"/>
  <c r="J17" i="5"/>
  <c r="K16" i="5"/>
  <c r="J20" i="5"/>
  <c r="J22" i="5"/>
  <c r="J23" i="5"/>
  <c r="J18" i="5"/>
  <c r="J19" i="5"/>
  <c r="C12" i="12"/>
  <c r="D12" i="12" s="1"/>
  <c r="C8" i="12" l="1"/>
  <c r="C36" i="5" l="1"/>
  <c r="H36" i="5"/>
  <c r="G36" i="5"/>
  <c r="G37" i="5" l="1"/>
  <c r="D36" i="5" l="1"/>
  <c r="F12" i="9" l="1"/>
  <c r="F13" i="9"/>
  <c r="D9" i="11" l="1"/>
  <c r="E9" i="9"/>
  <c r="F9" i="9"/>
  <c r="E12" i="9"/>
  <c r="E13" i="9"/>
  <c r="E14" i="9"/>
  <c r="F14" i="9"/>
  <c r="D12" i="9"/>
  <c r="D13" i="9"/>
  <c r="D14" i="9"/>
  <c r="I13" i="5"/>
  <c r="J13" i="5" s="1"/>
  <c r="I14" i="5"/>
  <c r="J14" i="5" s="1"/>
  <c r="I15" i="5"/>
  <c r="J15" i="5" s="1"/>
  <c r="I24" i="5"/>
  <c r="J24" i="5" s="1"/>
  <c r="I25" i="5"/>
  <c r="J25" i="5" s="1"/>
  <c r="I26" i="5"/>
  <c r="J26" i="5" s="1"/>
  <c r="I27" i="5"/>
  <c r="J27" i="5" s="1"/>
  <c r="I28" i="5"/>
  <c r="J28" i="5" s="1"/>
  <c r="I29" i="5"/>
  <c r="J29" i="5" s="1"/>
  <c r="I30" i="5"/>
  <c r="J30" i="5" s="1"/>
  <c r="I31" i="5"/>
  <c r="J31" i="5" s="1"/>
  <c r="I32" i="5"/>
  <c r="J32" i="5" s="1"/>
  <c r="I33" i="5"/>
  <c r="J33" i="5" s="1"/>
  <c r="I34" i="5"/>
  <c r="J34" i="5" s="1"/>
  <c r="I35" i="5"/>
  <c r="J35" i="5" s="1"/>
  <c r="E13" i="5"/>
  <c r="F13" i="5" s="1"/>
  <c r="E14" i="5"/>
  <c r="F14" i="5" s="1"/>
  <c r="E15" i="5"/>
  <c r="F15" i="5" s="1"/>
  <c r="E24" i="5"/>
  <c r="F24" i="5" s="1"/>
  <c r="E25" i="5"/>
  <c r="F25" i="5" s="1"/>
  <c r="E26" i="5"/>
  <c r="F26" i="5" s="1"/>
  <c r="E27" i="5"/>
  <c r="F27" i="5" s="1"/>
  <c r="E28" i="5"/>
  <c r="F28" i="5" s="1"/>
  <c r="E29" i="5"/>
  <c r="F29" i="5" s="1"/>
  <c r="E30" i="5"/>
  <c r="F30" i="5" s="1"/>
  <c r="E31" i="5"/>
  <c r="F31" i="5" s="1"/>
  <c r="E32" i="5"/>
  <c r="F32" i="5" s="1"/>
  <c r="E33" i="5"/>
  <c r="F33" i="5" s="1"/>
  <c r="E34" i="5"/>
  <c r="F34" i="5" s="1"/>
  <c r="E35" i="5"/>
  <c r="F35" i="5" s="1"/>
  <c r="C15" i="9" l="1"/>
  <c r="B15" i="9"/>
  <c r="F15" i="9"/>
  <c r="E15" i="9"/>
  <c r="B9" i="7"/>
  <c r="G13" i="9"/>
  <c r="H13" i="9" s="1"/>
  <c r="G14" i="9"/>
  <c r="H14" i="9" s="1"/>
  <c r="G12" i="9"/>
  <c r="H12" i="9" s="1"/>
  <c r="C13" i="12"/>
  <c r="F14" i="11"/>
  <c r="E14" i="11"/>
  <c r="F13" i="11"/>
  <c r="E13" i="11"/>
  <c r="F12" i="11"/>
  <c r="E12" i="11"/>
  <c r="F9" i="11"/>
  <c r="E9" i="11"/>
  <c r="D15" i="9" l="1"/>
  <c r="F15" i="11"/>
  <c r="E15" i="11"/>
  <c r="C15" i="11"/>
  <c r="B15" i="11"/>
  <c r="D14" i="11"/>
  <c r="D13" i="11"/>
  <c r="D12" i="11"/>
  <c r="C9" i="7"/>
  <c r="G12" i="11"/>
  <c r="H12" i="11" s="1"/>
  <c r="G14" i="11"/>
  <c r="H14" i="11" s="1"/>
  <c r="G13" i="11"/>
  <c r="H13" i="11" s="1"/>
  <c r="G9" i="11"/>
  <c r="F10" i="7"/>
  <c r="C8" i="10"/>
  <c r="D11" i="10" s="1"/>
  <c r="E12" i="5"/>
  <c r="F12" i="5" s="1"/>
  <c r="E36" i="5"/>
  <c r="I12" i="5"/>
  <c r="D8" i="10" l="1"/>
  <c r="C11" i="10" s="1"/>
  <c r="D15" i="11"/>
  <c r="C14" i="12"/>
  <c r="F9" i="7"/>
  <c r="J12" i="5"/>
  <c r="J36" i="5" s="1"/>
  <c r="H9" i="11"/>
  <c r="H15" i="11" s="1"/>
  <c r="G9" i="9"/>
  <c r="C17" i="11" l="1"/>
  <c r="I11" i="11"/>
  <c r="I10" i="11"/>
  <c r="D39" i="5"/>
  <c r="E39" i="5" s="1"/>
  <c r="K22" i="5"/>
  <c r="K21" i="5"/>
  <c r="K18" i="5"/>
  <c r="K19" i="5"/>
  <c r="K17" i="5"/>
  <c r="K23" i="5"/>
  <c r="K12" i="5"/>
  <c r="I9" i="11"/>
  <c r="D14" i="12"/>
  <c r="D9" i="7"/>
  <c r="K15" i="5"/>
  <c r="K13" i="5"/>
  <c r="K35" i="5"/>
  <c r="K14" i="5"/>
  <c r="H9" i="9"/>
  <c r="H15" i="9" s="1"/>
  <c r="I11" i="9" s="1"/>
  <c r="I12" i="11"/>
  <c r="K31" i="5"/>
  <c r="K32" i="5"/>
  <c r="K33" i="5"/>
  <c r="K27" i="5"/>
  <c r="K28" i="5"/>
  <c r="K24" i="5"/>
  <c r="K26" i="5"/>
  <c r="K34" i="5"/>
  <c r="K25" i="5"/>
  <c r="K30" i="5"/>
  <c r="K29" i="5"/>
  <c r="I14" i="11"/>
  <c r="I13" i="11"/>
  <c r="C12" i="10"/>
  <c r="D10" i="7" s="1"/>
  <c r="C10" i="7"/>
  <c r="D17" i="11" l="1"/>
  <c r="C18" i="9"/>
  <c r="D18" i="9" s="1"/>
  <c r="I10" i="9"/>
  <c r="I9" i="9"/>
  <c r="I13" i="9"/>
  <c r="I15" i="11"/>
  <c r="D18" i="11" s="1"/>
  <c r="B8" i="7"/>
  <c r="K36" i="5"/>
  <c r="E40" i="5" s="1"/>
  <c r="I14" i="9"/>
  <c r="I12" i="9"/>
  <c r="C18" i="11" l="1"/>
  <c r="D40" i="5"/>
  <c r="F8" i="7"/>
  <c r="B7" i="7"/>
  <c r="I15" i="9"/>
  <c r="D19" i="9" s="1"/>
  <c r="C19" i="9" l="1"/>
  <c r="F7" i="7"/>
  <c r="C8" i="7"/>
  <c r="D41" i="5"/>
  <c r="C19" i="11" s="1"/>
  <c r="B6" i="7"/>
  <c r="C20" i="9" l="1"/>
  <c r="D7" i="7" s="1"/>
  <c r="D19" i="11"/>
  <c r="D20" i="9"/>
  <c r="D8" i="7"/>
  <c r="D6" i="7"/>
  <c r="F6" i="7"/>
  <c r="F11" i="7" s="1"/>
  <c r="C7" i="7"/>
  <c r="D11" i="7" l="1"/>
  <c r="D12" i="7" s="1"/>
  <c r="C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CECI-RENAUD, Nila 2 (DARES)</author>
  </authors>
  <commentList>
    <comment ref="C10" authorId="0" shapeId="0" xr:uid="{00000000-0006-0000-0000-000001000000}">
      <text>
        <r>
          <rPr>
            <sz val="14"/>
            <color indexed="81"/>
            <rFont val="Tahoma"/>
            <family val="2"/>
          </rPr>
          <t>Prendre en compte tous les éléments de rémunération, sauf :
- indemnités de licenciement ou de départ à la retraite ;
- primes liées à une sujétion particulière qui ne concerne pas la personne du salarié ;
- primes d'ancienneté ;
- heures supplémentaires ou complémentaires.
- intéressement et participation.
Pour chaque salarié, la rémunération est rapportée au nombre d'équivalent temps plein (EQTP) en tenant compte de la durée de présence du salarié au cours de la période de référence annuelle, et le cas échéant de sa quotité de temps partiel.
Puis on calcule la moyenne des salaires par EQTP.</t>
        </r>
      </text>
    </comment>
    <comment ref="G10" authorId="0" shapeId="0" xr:uid="{00000000-0006-0000-0000-000002000000}">
      <text>
        <r>
          <rPr>
            <sz val="14"/>
            <color rgb="FF000000"/>
            <rFont val="Tahoma"/>
            <family val="2"/>
          </rPr>
          <t xml:space="preserve">Prendre en compte l'ensemble des salariés présents pendant la période annuelle de référence, sauf :
</t>
        </r>
        <r>
          <rPr>
            <sz val="14"/>
            <color rgb="FF000000"/>
            <rFont val="Tahoma"/>
            <family val="2"/>
          </rPr>
          <t xml:space="preserve">- apprentis ou titulaires d'un contrat de professionnalisation ;
</t>
        </r>
        <r>
          <rPr>
            <sz val="14"/>
            <color rgb="FF000000"/>
            <rFont val="Tahoma"/>
            <family val="2"/>
          </rPr>
          <t xml:space="preserve">- salariés mis à disposition par une entreprise extérieure ;
</t>
        </r>
        <r>
          <rPr>
            <sz val="14"/>
            <color rgb="FF000000"/>
            <rFont val="Tahoma"/>
            <family val="2"/>
          </rPr>
          <t xml:space="preserve">- salariés expatriés ;
</t>
        </r>
        <r>
          <rPr>
            <sz val="14"/>
            <color rgb="FF000000"/>
            <rFont val="Tahoma"/>
            <family val="2"/>
          </rPr>
          <t>- salariés absents plus de la moitié de la période de référence.</t>
        </r>
      </text>
    </comment>
  </commentList>
</comments>
</file>

<file path=xl/sharedStrings.xml><?xml version="1.0" encoding="utf-8"?>
<sst xmlns="http://schemas.openxmlformats.org/spreadsheetml/2006/main" count="167" uniqueCount="90">
  <si>
    <t>30 à 39 ans</t>
  </si>
  <si>
    <t>40 à 49 ans</t>
  </si>
  <si>
    <t>50 ans et plus</t>
  </si>
  <si>
    <t>moins de 30 ans</t>
  </si>
  <si>
    <t>plancher</t>
  </si>
  <si>
    <t>note</t>
  </si>
  <si>
    <t>Nombre de salariés parmi les 10 plus hautes rémunérations*</t>
  </si>
  <si>
    <t>Indicateur 5 : nombre de salariés du sexe sous-représenté parmi les 10 plus hautes rémunérations</t>
  </si>
  <si>
    <t>Catégories de postes équivalents :</t>
  </si>
  <si>
    <t>Seuil de pertinence associé :</t>
  </si>
  <si>
    <t>1- Indicateur d'écart de rémunération</t>
  </si>
  <si>
    <t>INDEX (sur 100 points)</t>
  </si>
  <si>
    <t>Total des indicateurs calculables</t>
  </si>
  <si>
    <t xml:space="preserve">Les résultats apparaissent dans les cellules jaunes. Ils peuvent être accompagnés de commmentaires pour les interpréter. </t>
  </si>
  <si>
    <t>Pour des catégories de postes équivalents plus fines que les 4 CSP, dupliquer et insérer les lignes 12 à 15 après la ligne 19 autant de fois que nécessaire et modifier les intitulés de catégories de postes.</t>
  </si>
  <si>
    <t>Par défaut, les catégories de postes équivalents sont les 4 catégories socioprofessionnelles (CSP).</t>
  </si>
  <si>
    <t>Indicateur calculable (1=oui, 0=non) :</t>
  </si>
  <si>
    <t>Nombre de points obtenus sur 40 :</t>
  </si>
  <si>
    <t>Catégorie socioprofessionnelle (CSP)</t>
  </si>
  <si>
    <t>Tranche d'âge</t>
  </si>
  <si>
    <t>Rémunération annuelle brute moyenne par EQTP</t>
  </si>
  <si>
    <t>Femmes</t>
  </si>
  <si>
    <t>Hommes</t>
  </si>
  <si>
    <t>Ecart de rémunération moyenne</t>
  </si>
  <si>
    <t>Ecart après application du seuil de pertinence</t>
  </si>
  <si>
    <t>Effectifs valides (groupes pris en compte)</t>
  </si>
  <si>
    <t>Ecart pondéré</t>
  </si>
  <si>
    <r>
      <t xml:space="preserve">Saisir vos données dans les seules cellules vertes. </t>
    </r>
    <r>
      <rPr>
        <b/>
        <sz val="18"/>
        <color rgb="FFC00000"/>
        <rFont val="Calibri"/>
        <family val="2"/>
        <scheme val="minor"/>
      </rPr>
      <t xml:space="preserve">Ne rien saisir dans les autres cellules. </t>
    </r>
  </si>
  <si>
    <t>Nombre de salariés
(en effectif physique)</t>
  </si>
  <si>
    <t>Ne renseigner les rémunérations moyennes que pour les groupes valides, c’est-à-dire comptant au moins 3 femmes et 3 hommes (validité du groupe=1).</t>
  </si>
  <si>
    <t>Ensemble des salariés</t>
  </si>
  <si>
    <t>Ecart de taux d'augmen-tation</t>
  </si>
  <si>
    <t>Nombre de salariés (en effectif physique)</t>
  </si>
  <si>
    <t>Effectifs valides</t>
  </si>
  <si>
    <t>Nombre de points obtenus sur 20 :</t>
  </si>
  <si>
    <t>Dans ce cas, les effectifs par CSP doivent être renseignés dans les cellules grises pour le calcul des indicateurs d'écart de taux d'augmentations et de promotions.</t>
  </si>
  <si>
    <t>En l'absence de modification de votre part, les nombres de salariés sont calculés d'après les données renseignées pour l'indicateur d'écart de rémunération (cellules grises).</t>
  </si>
  <si>
    <t>Taux d'augmentation (proportion de salariés augmentés)*</t>
  </si>
  <si>
    <t>Nombre de points obtenus sur 15 :</t>
  </si>
  <si>
    <t>2- Indicateur d'écart de taux d'augmentations individuelles (hors promotions)</t>
  </si>
  <si>
    <t>3- Indicateur d'écart de taux de promotions</t>
  </si>
  <si>
    <t>4- Pourcentage de salariés ayant bénéficié d'une augmentation dans l'année suivant leur retour de congé maternité</t>
  </si>
  <si>
    <t>5- Nombre de salariés du sexe sous-représenté parmi les 10 plus hautes rémunérations</t>
  </si>
  <si>
    <t>Taux de promotion (proportion de salariés promus)</t>
  </si>
  <si>
    <t>Ecart de taux de promotion</t>
  </si>
  <si>
    <t>Nombre de salariés de retour de congé maternité/adoption*</t>
  </si>
  <si>
    <t>Total</t>
  </si>
  <si>
    <t>Augmentés**</t>
  </si>
  <si>
    <t>Pourcentage de salariés augmentés</t>
  </si>
  <si>
    <t xml:space="preserve">*Les salariés à considérer sont les salariés revenus de congé maternité ou d’adoption (éventuellement prolongé par un congé parental) pendant la période de référence, et durant lequel sont intervenues des augmentations générales et/ou individuelles pour les salariés relevant de la même catégorie professionnelle, ou à défaut, pour l’ensemble des salariés de l’entreprise. Même si ces salariés ont été absents plus de la moitié de la période de référence, ils doivent être pris en compte pour le calcul de l'indicateur. </t>
  </si>
  <si>
    <t>**Les augmentations à prendre en compte sont celles qui sont intervenues soit pendant le congé maternité/adoption, soit à son retour, avant la fin de la période de référence.</t>
  </si>
  <si>
    <t>*Seules les augmentations individuelles du salaire de base sont à prendre en compte, lorsqu'elles ne correspondent pas à des promotions.</t>
  </si>
  <si>
    <t>Nombre de points obtenus sur 10 :</t>
  </si>
  <si>
    <t>Nombre de salariés du sexe sous-représenté</t>
  </si>
  <si>
    <t>Ensemble</t>
  </si>
  <si>
    <r>
      <t xml:space="preserve">Saisir vos données dans les seules cellules vertes. </t>
    </r>
    <r>
      <rPr>
        <b/>
        <sz val="18"/>
        <color rgb="FFC00000"/>
        <rFont val="Calibri"/>
        <family val="2"/>
        <scheme val="minor"/>
      </rPr>
      <t xml:space="preserve">Ne rien saisir dans les autres cellules, </t>
    </r>
    <r>
      <rPr>
        <b/>
        <sz val="18"/>
        <rFont val="Calibri"/>
        <family val="2"/>
        <scheme val="minor"/>
      </rPr>
      <t xml:space="preserve">sauf les cellules grises si vous utilisez une autre catégorisation que les CSP pour l'indicateur d'écart de rémunération. </t>
    </r>
  </si>
  <si>
    <r>
      <t xml:space="preserve">Saisir vos données dans les seules cellules vertes. </t>
    </r>
    <r>
      <rPr>
        <b/>
        <sz val="18"/>
        <color rgb="FFC00000"/>
        <rFont val="Calibri"/>
        <family val="2"/>
        <scheme val="minor"/>
      </rPr>
      <t>Ne rien saisir dans les autres cellules.</t>
    </r>
    <r>
      <rPr>
        <b/>
        <sz val="18"/>
        <rFont val="Calibri"/>
        <family val="2"/>
        <scheme val="minor"/>
      </rPr>
      <t xml:space="preserve"> </t>
    </r>
  </si>
  <si>
    <t>Indicateur calculable (1=oui, 0=non)</t>
  </si>
  <si>
    <t>Nombre de points obtenus</t>
  </si>
  <si>
    <t>Nombre de points maximum de l'indicateur</t>
  </si>
  <si>
    <t>Nombre de points maximum des indicateurs calculables</t>
  </si>
  <si>
    <t>Index de l'égalité professionnelle femmes-hommes</t>
  </si>
  <si>
    <t>*Les rémunérations à considérer sont les rémunérations brutes annuelles par EQTP utilisées pour l'indicateur 1.</t>
  </si>
  <si>
    <t>Résultat final obtenu</t>
  </si>
  <si>
    <t>Indicateur 2 : écart de taux d'augmentations individuelles (en %)</t>
  </si>
  <si>
    <t>Indicateur 3 : écart de taux de promotion (en %)</t>
  </si>
  <si>
    <t>Indicateur 1 : écart de rémunération (en %)</t>
  </si>
  <si>
    <t>S'il n'y a pas eu de retour de congé maternité pendant la période de référence, indiquez 0 pour la colonne Total</t>
  </si>
  <si>
    <t>S'il n'y a pas eu d'augmentations salariales pendant la durée du ou des congés, indiquez 0 pour la colonne Total et pour la colonne Augmentés</t>
  </si>
  <si>
    <t>Par défaut, le seuil de pertinence est fixé à 5% (pour une catégorisation en 4 CSP). Pour toute autre catégorisation, il est fixé à 2%. Remplacer 5% par 2% si vous êtes dans ce cas.</t>
  </si>
  <si>
    <t>Résultat final obtenu à l'indicateur en % :</t>
  </si>
  <si>
    <t>Indicateur 4 : pourcentage de salariés ayant bénéficié d'une augmentation dans l'année suivant leur retour de congé maternité</t>
  </si>
  <si>
    <t>Ne pas modifier les barèmes des indicateurs</t>
  </si>
  <si>
    <t>Calculs automatiques, ne pas modifier</t>
  </si>
  <si>
    <t>1- Ecart de rémunération (en %)</t>
  </si>
  <si>
    <t>2- Ecart de taux d'augmentations individuelles (en %)</t>
  </si>
  <si>
    <t>3- Ecart de taux de promotions (en %)</t>
  </si>
  <si>
    <t>Résultat final en nombre de salariés du sexe sous-représenté :</t>
  </si>
  <si>
    <t>Validité du groupe
(1=oui, 0=non)</t>
  </si>
  <si>
    <t>Résultat final obtenu à l'indicateur en % * :</t>
  </si>
  <si>
    <t>*Le résultat final obtenu est la valeur absolue de l’écart global de rémunération, arrondie à la première décimale.</t>
  </si>
  <si>
    <t>*Le résultat final obtenu est la valeur absolue de l’écart global de taux d’augmentations, arrondie à la première décimale.</t>
  </si>
  <si>
    <t>*Le résultat final obtenu est la valeur absolue de l’écart global de taux de promotions, arrondie à la première décimale.</t>
  </si>
  <si>
    <t>6 CSP</t>
  </si>
  <si>
    <t>Commercial</t>
  </si>
  <si>
    <t>Compta Finances</t>
  </si>
  <si>
    <t>Consultant</t>
  </si>
  <si>
    <t>Informatique</t>
  </si>
  <si>
    <t>Marketing</t>
  </si>
  <si>
    <t>RH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</si>
</sst>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6" x14ac:knownFonts="1">
    <font>
      <sz val="11"/>
      <color theme="1"/>
      <name val="Calibri"/>
      <family val="2"/>
      <scheme val="minor"/>
    </font>
    <font>
      <sz val="26"/>
      <color rgb="FF87D200"/>
      <name val="Arial"/>
      <family val="2"/>
    </font>
    <font>
      <sz val="18"/>
      <color theme="1"/>
      <name val="Calibri"/>
      <family val="2"/>
      <scheme val="minor"/>
    </font>
    <font>
      <b/>
      <sz val="18"/>
      <color rgb="FFFFFFFF"/>
      <name val="Calibri"/>
      <family val="2"/>
      <scheme val="minor"/>
    </font>
    <font>
      <sz val="18"/>
      <color rgb="FFFF0000"/>
      <name val="Calibri"/>
      <family val="2"/>
      <scheme val="minor"/>
    </font>
    <font>
      <sz val="18"/>
      <color rgb="FF000000"/>
      <name val="Calibri"/>
      <family val="2"/>
      <scheme val="minor"/>
    </font>
    <font>
      <sz val="18"/>
      <name val="Calibri"/>
      <family val="2"/>
      <scheme val="minor"/>
    </font>
    <font>
      <b/>
      <sz val="18"/>
      <name val="Calibri"/>
      <family val="2"/>
      <scheme val="minor"/>
    </font>
    <font>
      <sz val="18"/>
      <name val="Arial"/>
      <family val="2"/>
    </font>
    <font>
      <b/>
      <sz val="11"/>
      <color theme="1"/>
      <name val="Calibri"/>
      <family val="2"/>
      <scheme val="minor"/>
    </font>
    <font>
      <sz val="11"/>
      <color theme="1"/>
      <name val="Calibri"/>
      <family val="2"/>
      <scheme val="minor"/>
    </font>
    <font>
      <b/>
      <sz val="16"/>
      <color rgb="FFFF0000"/>
      <name val="Calibri"/>
      <family val="2"/>
      <scheme val="minor"/>
    </font>
    <font>
      <b/>
      <sz val="26"/>
      <color theme="4"/>
      <name val="Arial"/>
      <family val="2"/>
    </font>
    <font>
      <sz val="16"/>
      <color theme="1"/>
      <name val="Calibri"/>
      <family val="2"/>
      <scheme val="minor"/>
    </font>
    <font>
      <b/>
      <sz val="18"/>
      <color theme="1"/>
      <name val="Calibri"/>
      <family val="2"/>
      <scheme val="minor"/>
    </font>
    <font>
      <b/>
      <sz val="18"/>
      <color rgb="FF000000"/>
      <name val="Calibri"/>
      <family val="2"/>
      <scheme val="minor"/>
    </font>
    <font>
      <sz val="16"/>
      <name val="Calibri"/>
      <family val="2"/>
      <scheme val="minor"/>
    </font>
    <font>
      <b/>
      <sz val="16"/>
      <color theme="1"/>
      <name val="Calibri"/>
      <family val="2"/>
      <scheme val="minor"/>
    </font>
    <font>
      <b/>
      <sz val="28"/>
      <color theme="4"/>
      <name val="Arial"/>
      <family val="2"/>
    </font>
    <font>
      <sz val="11"/>
      <name val="Calibri"/>
      <family val="2"/>
      <scheme val="minor"/>
    </font>
    <font>
      <sz val="14"/>
      <color indexed="81"/>
      <name val="Tahoma"/>
      <family val="2"/>
    </font>
    <font>
      <b/>
      <sz val="18"/>
      <color rgb="FFC00000"/>
      <name val="Calibri"/>
      <family val="2"/>
      <scheme val="minor"/>
    </font>
    <font>
      <b/>
      <sz val="16"/>
      <color rgb="FFC00000"/>
      <name val="Calibri"/>
      <family val="2"/>
      <scheme val="minor"/>
    </font>
    <font>
      <b/>
      <sz val="14"/>
      <name val="Arial"/>
      <family val="2"/>
    </font>
    <font>
      <sz val="14"/>
      <name val="Arial"/>
      <family val="2"/>
    </font>
    <font>
      <sz val="14"/>
      <color rgb="FF000000"/>
      <name val="Tahoma"/>
      <family val="2"/>
    </font>
  </fonts>
  <fills count="12">
    <fill>
      <patternFill patternType="none"/>
    </fill>
    <fill>
      <patternFill patternType="gray125"/>
    </fill>
    <fill>
      <patternFill patternType="solid">
        <fgColor rgb="FFFFD100"/>
        <bgColor indexed="64"/>
      </patternFill>
    </fill>
    <fill>
      <patternFill patternType="solid">
        <fgColor rgb="FFFFEECB"/>
        <bgColor indexed="64"/>
      </patternFill>
    </fill>
    <fill>
      <patternFill patternType="solid">
        <fgColor rgb="FFFFF7E7"/>
        <bgColor indexed="64"/>
      </patternFill>
    </fill>
    <fill>
      <patternFill patternType="solid">
        <fgColor theme="0"/>
        <bgColor indexed="64"/>
      </patternFill>
    </fill>
    <fill>
      <patternFill patternType="solid">
        <fgColor rgb="FFFFFF00"/>
        <bgColor indexed="64"/>
      </patternFill>
    </fill>
    <fill>
      <patternFill patternType="solid">
        <fgColor theme="4"/>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0" tint="-0.14999847407452621"/>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rgb="FFFFFFFF"/>
      </left>
      <right style="medium">
        <color rgb="FFFFFFFF"/>
      </right>
      <top style="medium">
        <color rgb="FFFFFFFF"/>
      </top>
      <bottom/>
      <diagonal/>
    </border>
    <border>
      <left style="medium">
        <color rgb="FFFFFFFF"/>
      </left>
      <right style="medium">
        <color rgb="FFFFFFFF"/>
      </right>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s>
  <cellStyleXfs count="2">
    <xf numFmtId="0" fontId="0" fillId="0" borderId="0"/>
    <xf numFmtId="9" fontId="10" fillId="0" borderId="0" applyFont="0" applyFill="0" applyBorder="0" applyAlignment="0" applyProtection="0"/>
  </cellStyleXfs>
  <cellXfs count="125">
    <xf numFmtId="0" fontId="0" fillId="0" borderId="0" xfId="0"/>
    <xf numFmtId="0" fontId="8" fillId="2" borderId="3" xfId="0" applyFont="1" applyFill="1" applyBorder="1" applyAlignment="1">
      <alignment vertical="top" wrapText="1"/>
    </xf>
    <xf numFmtId="0" fontId="3" fillId="7" borderId="1" xfId="0" applyFont="1" applyFill="1" applyBorder="1" applyAlignment="1">
      <alignment horizontal="center" vertical="center" wrapText="1" readingOrder="1"/>
    </xf>
    <xf numFmtId="0" fontId="3" fillId="7" borderId="1" xfId="0" applyFont="1" applyFill="1" applyBorder="1" applyAlignment="1">
      <alignment horizontal="left" vertical="center" wrapText="1" readingOrder="1"/>
    </xf>
    <xf numFmtId="3" fontId="2" fillId="8" borderId="1" xfId="0" applyNumberFormat="1" applyFont="1" applyFill="1" applyBorder="1" applyAlignment="1" applyProtection="1">
      <alignment horizontal="center" wrapText="1" readingOrder="1"/>
      <protection locked="0"/>
    </xf>
    <xf numFmtId="0" fontId="15" fillId="5" borderId="1" xfId="0" applyFont="1" applyFill="1" applyBorder="1" applyAlignment="1">
      <alignment horizontal="center" vertical="center" wrapText="1" readingOrder="1"/>
    </xf>
    <xf numFmtId="0" fontId="3" fillId="9" borderId="1" xfId="0" applyFont="1" applyFill="1" applyBorder="1" applyAlignment="1">
      <alignment horizontal="center" vertical="center" wrapText="1" readingOrder="1"/>
    </xf>
    <xf numFmtId="1" fontId="2" fillId="8" borderId="1" xfId="0" applyNumberFormat="1" applyFont="1" applyFill="1" applyBorder="1" applyAlignment="1" applyProtection="1">
      <alignment horizontal="center" vertical="center" wrapText="1" readingOrder="1"/>
      <protection locked="0"/>
    </xf>
    <xf numFmtId="1" fontId="2" fillId="0" borderId="1" xfId="0" applyNumberFormat="1" applyFont="1" applyBorder="1" applyAlignment="1" applyProtection="1">
      <alignment horizontal="center" vertical="center" wrapText="1" readingOrder="1"/>
      <protection locked="0"/>
    </xf>
    <xf numFmtId="0" fontId="3" fillId="7" borderId="7" xfId="0" applyFont="1" applyFill="1" applyBorder="1" applyAlignment="1">
      <alignment horizontal="center" vertical="center" wrapText="1" readingOrder="1"/>
    </xf>
    <xf numFmtId="0" fontId="12" fillId="5" borderId="0" xfId="0" applyFont="1" applyFill="1" applyAlignment="1">
      <alignment horizontal="left" vertical="center" readingOrder="1"/>
    </xf>
    <xf numFmtId="0" fontId="0" fillId="5" borderId="0" xfId="0" applyFill="1"/>
    <xf numFmtId="0" fontId="1" fillId="5" borderId="0" xfId="0" applyFont="1" applyFill="1" applyAlignment="1">
      <alignment horizontal="left" vertical="center" readingOrder="1"/>
    </xf>
    <xf numFmtId="0" fontId="7" fillId="5" borderId="0" xfId="0" applyFont="1" applyFill="1"/>
    <xf numFmtId="0" fontId="19" fillId="5" borderId="0" xfId="0" applyFont="1" applyFill="1"/>
    <xf numFmtId="0" fontId="11" fillId="5" borderId="0" xfId="0" applyFont="1" applyFill="1"/>
    <xf numFmtId="0" fontId="13" fillId="5" borderId="0" xfId="0" applyFont="1" applyFill="1"/>
    <xf numFmtId="0" fontId="13" fillId="5" borderId="0" xfId="0" applyFont="1" applyFill="1" applyAlignment="1">
      <alignment vertical="center"/>
    </xf>
    <xf numFmtId="0" fontId="6" fillId="5" borderId="0" xfId="0" applyFont="1" applyFill="1"/>
    <xf numFmtId="0" fontId="4" fillId="5" borderId="0" xfId="0" applyFont="1" applyFill="1"/>
    <xf numFmtId="0" fontId="2" fillId="0" borderId="1" xfId="0" applyFont="1" applyBorder="1" applyAlignment="1">
      <alignment horizontal="center" vertical="center" wrapText="1" readingOrder="1"/>
    </xf>
    <xf numFmtId="164" fontId="2" fillId="5" borderId="0" xfId="0" applyNumberFormat="1" applyFont="1" applyFill="1" applyAlignment="1" applyProtection="1">
      <alignment horizontal="center" vertical="top" wrapText="1" readingOrder="1"/>
      <protection locked="0"/>
    </xf>
    <xf numFmtId="164" fontId="2" fillId="5" borderId="0" xfId="0" applyNumberFormat="1" applyFont="1" applyFill="1" applyAlignment="1" applyProtection="1">
      <alignment horizontal="right" wrapText="1" indent="2" readingOrder="1"/>
      <protection locked="0"/>
    </xf>
    <xf numFmtId="0" fontId="5" fillId="5" borderId="0" xfId="0" applyFont="1" applyFill="1" applyAlignment="1">
      <alignment horizontal="center" wrapText="1" readingOrder="1"/>
    </xf>
    <xf numFmtId="10" fontId="7" fillId="5" borderId="0" xfId="0" applyNumberFormat="1" applyFont="1" applyFill="1" applyAlignment="1">
      <alignment horizontal="center" wrapText="1"/>
    </xf>
    <xf numFmtId="0" fontId="16" fillId="5" borderId="0" xfId="0" applyFont="1" applyFill="1" applyAlignment="1">
      <alignment horizontal="left" vertical="center" readingOrder="1"/>
    </xf>
    <xf numFmtId="0" fontId="0" fillId="5" borderId="0" xfId="0" applyFill="1" applyAlignment="1">
      <alignment wrapText="1"/>
    </xf>
    <xf numFmtId="0" fontId="12" fillId="5" borderId="0" xfId="0" applyFont="1" applyFill="1" applyAlignment="1">
      <alignment vertical="center" readingOrder="1"/>
    </xf>
    <xf numFmtId="0" fontId="7" fillId="5" borderId="0" xfId="0" applyFont="1" applyFill="1" applyAlignment="1">
      <alignment vertical="center" wrapText="1"/>
    </xf>
    <xf numFmtId="0" fontId="0" fillId="5" borderId="0" xfId="0" applyFill="1" applyAlignment="1">
      <alignment vertical="center" wrapText="1"/>
    </xf>
    <xf numFmtId="1" fontId="7" fillId="6" borderId="0" xfId="1" applyNumberFormat="1" applyFont="1" applyFill="1" applyAlignment="1">
      <alignment horizontal="center" vertical="center"/>
    </xf>
    <xf numFmtId="1" fontId="7" fillId="6" borderId="0" xfId="0" applyNumberFormat="1" applyFont="1" applyFill="1" applyAlignment="1">
      <alignment horizontal="center" vertical="center" wrapText="1"/>
    </xf>
    <xf numFmtId="0" fontId="7" fillId="5" borderId="0" xfId="0" applyFont="1" applyFill="1" applyAlignment="1">
      <alignment horizontal="left" vertical="center"/>
    </xf>
    <xf numFmtId="0" fontId="7" fillId="5" borderId="0" xfId="0" applyFont="1" applyFill="1" applyAlignment="1">
      <alignment vertical="center"/>
    </xf>
    <xf numFmtId="0" fontId="0" fillId="5" borderId="0" xfId="0" applyFill="1" applyAlignment="1">
      <alignment vertical="center"/>
    </xf>
    <xf numFmtId="0" fontId="17" fillId="5" borderId="0" xfId="0" applyFont="1" applyFill="1" applyAlignment="1">
      <alignment horizontal="center" vertical="center"/>
    </xf>
    <xf numFmtId="0" fontId="4" fillId="5" borderId="0" xfId="0" applyFont="1" applyFill="1" applyAlignment="1">
      <alignment vertical="center"/>
    </xf>
    <xf numFmtId="1" fontId="7" fillId="5" borderId="0" xfId="0" applyNumberFormat="1" applyFont="1" applyFill="1" applyAlignment="1">
      <alignment horizontal="center" vertical="center"/>
    </xf>
    <xf numFmtId="0" fontId="7" fillId="0" borderId="0" xfId="0" applyFont="1" applyAlignment="1">
      <alignment vertical="center"/>
    </xf>
    <xf numFmtId="0" fontId="4" fillId="0" borderId="0" xfId="0" applyFont="1" applyAlignment="1">
      <alignment vertical="center"/>
    </xf>
    <xf numFmtId="0" fontId="0" fillId="0" borderId="0" xfId="0" applyAlignment="1">
      <alignment vertical="center"/>
    </xf>
    <xf numFmtId="165" fontId="7" fillId="6" borderId="0" xfId="1" applyNumberFormat="1" applyFont="1" applyFill="1" applyAlignment="1">
      <alignment horizontal="center" vertical="center"/>
    </xf>
    <xf numFmtId="1" fontId="7" fillId="6" borderId="0" xfId="0" applyNumberFormat="1" applyFont="1" applyFill="1" applyAlignment="1">
      <alignment horizontal="center" vertical="center"/>
    </xf>
    <xf numFmtId="0" fontId="6" fillId="5" borderId="0" xfId="0" applyFont="1" applyFill="1" applyAlignment="1">
      <alignment vertical="center"/>
    </xf>
    <xf numFmtId="165" fontId="0" fillId="5" borderId="0" xfId="0" applyNumberFormat="1" applyFill="1"/>
    <xf numFmtId="1" fontId="0" fillId="5" borderId="0" xfId="0" applyNumberFormat="1" applyFill="1"/>
    <xf numFmtId="9" fontId="0" fillId="5" borderId="0" xfId="0" applyNumberFormat="1" applyFill="1"/>
    <xf numFmtId="0" fontId="22" fillId="5" borderId="0" xfId="0" applyFont="1" applyFill="1"/>
    <xf numFmtId="0" fontId="0" fillId="5" borderId="0" xfId="0" applyFill="1" applyAlignment="1">
      <alignment horizontal="center" vertical="center"/>
    </xf>
    <xf numFmtId="0" fontId="0" fillId="5" borderId="0" xfId="0" applyFill="1" applyAlignment="1">
      <alignment horizontal="center"/>
    </xf>
    <xf numFmtId="1" fontId="14" fillId="6" borderId="1" xfId="0" applyNumberFormat="1" applyFont="1" applyFill="1" applyBorder="1" applyAlignment="1" applyProtection="1">
      <alignment horizontal="center" vertical="center" wrapText="1" readingOrder="1"/>
      <protection locked="0"/>
    </xf>
    <xf numFmtId="1" fontId="7" fillId="6" borderId="0" xfId="1" applyNumberFormat="1" applyFont="1" applyFill="1" applyAlignment="1">
      <alignment horizontal="center" vertical="center" wrapText="1"/>
    </xf>
    <xf numFmtId="0" fontId="0" fillId="5" borderId="0" xfId="0" applyFill="1" applyAlignment="1">
      <alignment horizontal="left" vertical="center"/>
    </xf>
    <xf numFmtId="0" fontId="14" fillId="5" borderId="0" xfId="0" applyFont="1" applyFill="1" applyAlignment="1">
      <alignment vertical="center"/>
    </xf>
    <xf numFmtId="0" fontId="2" fillId="5" borderId="0" xfId="0" applyFont="1" applyFill="1" applyAlignment="1">
      <alignment vertical="center"/>
    </xf>
    <xf numFmtId="0" fontId="18" fillId="5" borderId="0" xfId="0" applyFont="1" applyFill="1" applyAlignment="1">
      <alignment horizontal="left" vertical="center" readingOrder="1"/>
    </xf>
    <xf numFmtId="0" fontId="21" fillId="5" borderId="0" xfId="0" applyFont="1" applyFill="1"/>
    <xf numFmtId="0" fontId="23" fillId="2" borderId="3" xfId="0" applyFont="1" applyFill="1" applyBorder="1" applyAlignment="1">
      <alignment horizontal="center" vertical="center" wrapText="1" readingOrder="1"/>
    </xf>
    <xf numFmtId="0" fontId="24" fillId="3" borderId="4" xfId="0" applyFont="1" applyFill="1" applyBorder="1" applyAlignment="1">
      <alignment horizontal="left" vertical="center" wrapText="1" readingOrder="1"/>
    </xf>
    <xf numFmtId="0" fontId="24" fillId="4" borderId="5" xfId="0" applyFont="1" applyFill="1" applyBorder="1" applyAlignment="1">
      <alignment horizontal="left" vertical="center" wrapText="1" readingOrder="1"/>
    </xf>
    <xf numFmtId="0" fontId="24" fillId="3" borderId="5" xfId="0" applyFont="1" applyFill="1" applyBorder="1" applyAlignment="1">
      <alignment horizontal="left" vertical="center" wrapText="1" readingOrder="1"/>
    </xf>
    <xf numFmtId="0" fontId="24" fillId="3" borderId="2" xfId="0" applyFont="1" applyFill="1" applyBorder="1" applyAlignment="1">
      <alignment horizontal="left" vertical="center" wrapText="1" readingOrder="1"/>
    </xf>
    <xf numFmtId="0" fontId="23" fillId="4" borderId="0" xfId="0" applyFont="1" applyFill="1" applyAlignment="1">
      <alignment horizontal="left" vertical="center" wrapText="1" readingOrder="1"/>
    </xf>
    <xf numFmtId="0" fontId="23" fillId="6" borderId="0" xfId="0" applyFont="1" applyFill="1" applyAlignment="1">
      <alignment horizontal="left" vertical="center" wrapText="1" readingOrder="1"/>
    </xf>
    <xf numFmtId="2" fontId="24" fillId="6" borderId="0" xfId="0" applyNumberFormat="1" applyFont="1" applyFill="1" applyAlignment="1">
      <alignment horizontal="center" vertical="center" wrapText="1" readingOrder="1"/>
    </xf>
    <xf numFmtId="1" fontId="23" fillId="6" borderId="0" xfId="0" applyNumberFormat="1" applyFont="1" applyFill="1" applyAlignment="1">
      <alignment horizontal="center" vertical="center" wrapText="1" readingOrder="1"/>
    </xf>
    <xf numFmtId="3" fontId="2" fillId="10" borderId="1" xfId="0" applyNumberFormat="1" applyFont="1" applyFill="1" applyBorder="1" applyAlignment="1" applyProtection="1">
      <alignment horizontal="center" vertical="center" wrapText="1" readingOrder="1"/>
      <protection locked="0"/>
    </xf>
    <xf numFmtId="3" fontId="15" fillId="5" borderId="6" xfId="0" applyNumberFormat="1" applyFont="1" applyFill="1" applyBorder="1" applyAlignment="1">
      <alignment horizontal="center" vertical="center" wrapText="1" readingOrder="1"/>
    </xf>
    <xf numFmtId="3" fontId="2" fillId="0" borderId="1" xfId="0" applyNumberFormat="1" applyFont="1" applyBorder="1" applyAlignment="1">
      <alignment horizontal="center" vertical="center" wrapText="1" readingOrder="1"/>
    </xf>
    <xf numFmtId="3" fontId="15" fillId="5" borderId="1" xfId="0" applyNumberFormat="1" applyFont="1" applyFill="1" applyBorder="1" applyAlignment="1">
      <alignment horizontal="center" vertical="center" wrapText="1" readingOrder="1"/>
    </xf>
    <xf numFmtId="1" fontId="24" fillId="3" borderId="4" xfId="0" applyNumberFormat="1" applyFont="1" applyFill="1" applyBorder="1" applyAlignment="1">
      <alignment horizontal="center" vertical="center" wrapText="1" readingOrder="1"/>
    </xf>
    <xf numFmtId="0" fontId="24" fillId="3" borderId="4" xfId="0" applyFont="1" applyFill="1" applyBorder="1" applyAlignment="1">
      <alignment horizontal="center" vertical="center" wrapText="1" readingOrder="1"/>
    </xf>
    <xf numFmtId="0" fontId="24" fillId="4" borderId="5" xfId="0" applyFont="1" applyFill="1" applyBorder="1" applyAlignment="1">
      <alignment horizontal="center" vertical="center" wrapText="1" readingOrder="1"/>
    </xf>
    <xf numFmtId="1" fontId="24" fillId="3" borderId="5" xfId="0" applyNumberFormat="1" applyFont="1" applyFill="1" applyBorder="1" applyAlignment="1">
      <alignment horizontal="center" vertical="center" wrapText="1" readingOrder="1"/>
    </xf>
    <xf numFmtId="0" fontId="24" fillId="3" borderId="5" xfId="0" applyFont="1" applyFill="1" applyBorder="1" applyAlignment="1">
      <alignment horizontal="center" vertical="center" wrapText="1" readingOrder="1"/>
    </xf>
    <xf numFmtId="1" fontId="24" fillId="4" borderId="5" xfId="0" applyNumberFormat="1" applyFont="1" applyFill="1" applyBorder="1" applyAlignment="1">
      <alignment horizontal="center" vertical="center" wrapText="1" readingOrder="1"/>
    </xf>
    <xf numFmtId="1" fontId="24" fillId="3" borderId="2" xfId="0" applyNumberFormat="1" applyFont="1" applyFill="1" applyBorder="1" applyAlignment="1">
      <alignment horizontal="center" vertical="center" wrapText="1" readingOrder="1"/>
    </xf>
    <xf numFmtId="0" fontId="24" fillId="3" borderId="2" xfId="0" applyFont="1" applyFill="1" applyBorder="1" applyAlignment="1">
      <alignment horizontal="center" vertical="center" wrapText="1" readingOrder="1"/>
    </xf>
    <xf numFmtId="0" fontId="24" fillId="4" borderId="0" xfId="0" applyFont="1" applyFill="1" applyAlignment="1">
      <alignment horizontal="center" vertical="center" wrapText="1" readingOrder="1"/>
    </xf>
    <xf numFmtId="1" fontId="23" fillId="4" borderId="0" xfId="0" applyNumberFormat="1" applyFont="1" applyFill="1" applyAlignment="1">
      <alignment horizontal="center" vertical="center" wrapText="1" readingOrder="1"/>
    </xf>
    <xf numFmtId="0" fontId="23" fillId="4" borderId="0" xfId="0" applyFont="1" applyFill="1" applyAlignment="1">
      <alignment horizontal="center" vertical="center" wrapText="1" readingOrder="1"/>
    </xf>
    <xf numFmtId="0" fontId="0" fillId="5" borderId="1" xfId="0" applyFill="1" applyBorder="1" applyAlignment="1">
      <alignment horizontal="center"/>
    </xf>
    <xf numFmtId="2" fontId="0" fillId="5" borderId="1" xfId="0" applyNumberFormat="1" applyFill="1" applyBorder="1" applyAlignment="1">
      <alignment horizontal="center"/>
    </xf>
    <xf numFmtId="1" fontId="0" fillId="5" borderId="1" xfId="0" applyNumberFormat="1" applyFill="1" applyBorder="1" applyAlignment="1">
      <alignment horizontal="center"/>
    </xf>
    <xf numFmtId="0" fontId="16" fillId="5" borderId="0" xfId="0" applyFont="1" applyFill="1" applyAlignment="1">
      <alignment vertical="center" readingOrder="1"/>
    </xf>
    <xf numFmtId="0" fontId="0" fillId="5" borderId="0" xfId="0" applyFill="1" applyAlignment="1">
      <alignment readingOrder="1"/>
    </xf>
    <xf numFmtId="0" fontId="14" fillId="8" borderId="0" xfId="0" applyFont="1" applyFill="1" applyAlignment="1">
      <alignment horizontal="center" vertical="center"/>
    </xf>
    <xf numFmtId="9" fontId="14" fillId="8" borderId="0" xfId="0" applyNumberFormat="1" applyFont="1" applyFill="1" applyAlignment="1">
      <alignment horizontal="center" vertical="center"/>
    </xf>
    <xf numFmtId="3" fontId="14" fillId="5" borderId="0" xfId="0" applyNumberFormat="1" applyFont="1" applyFill="1" applyAlignment="1">
      <alignment horizontal="center" vertical="center"/>
    </xf>
    <xf numFmtId="165" fontId="4" fillId="5" borderId="0" xfId="0" applyNumberFormat="1" applyFont="1" applyFill="1" applyAlignment="1">
      <alignment vertical="center"/>
    </xf>
    <xf numFmtId="9" fontId="14" fillId="6" borderId="1" xfId="1" applyFont="1" applyFill="1" applyBorder="1" applyAlignment="1" applyProtection="1">
      <alignment horizontal="center" vertical="center" wrapText="1" readingOrder="1"/>
      <protection locked="0"/>
    </xf>
    <xf numFmtId="164" fontId="16" fillId="5" borderId="0" xfId="1" applyNumberFormat="1" applyFont="1" applyFill="1" applyAlignment="1">
      <alignment vertical="center"/>
    </xf>
    <xf numFmtId="165" fontId="24" fillId="3" borderId="4" xfId="0" applyNumberFormat="1" applyFont="1" applyFill="1" applyBorder="1" applyAlignment="1">
      <alignment horizontal="center" vertical="center" wrapText="1" readingOrder="1"/>
    </xf>
    <xf numFmtId="165" fontId="24" fillId="4" borderId="5" xfId="0" applyNumberFormat="1" applyFont="1" applyFill="1" applyBorder="1" applyAlignment="1">
      <alignment horizontal="center" vertical="center" wrapText="1" readingOrder="1"/>
    </xf>
    <xf numFmtId="165" fontId="24" fillId="3" borderId="5" xfId="0" applyNumberFormat="1" applyFont="1" applyFill="1" applyBorder="1" applyAlignment="1">
      <alignment horizontal="center" vertical="center" wrapText="1" readingOrder="1"/>
    </xf>
    <xf numFmtId="166" fontId="2" fillId="0" borderId="1" xfId="0" applyNumberFormat="1" applyFont="1" applyBorder="1" applyAlignment="1">
      <alignment horizontal="center" vertical="center" wrapText="1"/>
    </xf>
    <xf numFmtId="166" fontId="7" fillId="6" borderId="1" xfId="0" applyNumberFormat="1" applyFont="1" applyFill="1" applyBorder="1" applyAlignment="1">
      <alignment horizontal="center" vertical="center" wrapText="1" readingOrder="1"/>
    </xf>
    <xf numFmtId="166" fontId="7" fillId="6" borderId="1" xfId="0" applyNumberFormat="1" applyFont="1" applyFill="1" applyBorder="1" applyAlignment="1">
      <alignment horizontal="center" vertical="center" wrapText="1"/>
    </xf>
    <xf numFmtId="4" fontId="2" fillId="8" borderId="1" xfId="0" applyNumberFormat="1" applyFont="1" applyFill="1" applyBorder="1" applyAlignment="1" applyProtection="1">
      <alignment horizontal="center" wrapText="1" readingOrder="1"/>
      <protection locked="0"/>
    </xf>
    <xf numFmtId="4" fontId="2" fillId="8" borderId="1" xfId="0" applyNumberFormat="1" applyFont="1" applyFill="1" applyBorder="1" applyAlignment="1" applyProtection="1">
      <alignment horizontal="center" vertical="top" wrapText="1" readingOrder="1"/>
      <protection locked="0"/>
    </xf>
    <xf numFmtId="10" fontId="2" fillId="8" borderId="1" xfId="0" applyNumberFormat="1" applyFont="1" applyFill="1" applyBorder="1" applyAlignment="1" applyProtection="1">
      <alignment horizontal="center" vertical="center" wrapText="1" readingOrder="1"/>
      <protection locked="0"/>
    </xf>
    <xf numFmtId="166" fontId="2" fillId="5" borderId="1" xfId="0" applyNumberFormat="1" applyFont="1" applyFill="1" applyBorder="1" applyAlignment="1" applyProtection="1">
      <alignment horizontal="center" vertical="center" wrapText="1" readingOrder="1"/>
      <protection locked="0"/>
    </xf>
    <xf numFmtId="166" fontId="14" fillId="5" borderId="1" xfId="0" applyNumberFormat="1" applyFont="1" applyFill="1" applyBorder="1" applyAlignment="1" applyProtection="1">
      <alignment horizontal="center" vertical="center" wrapText="1" readingOrder="1"/>
      <protection locked="0"/>
    </xf>
    <xf numFmtId="10" fontId="14" fillId="0" borderId="1" xfId="0" applyNumberFormat="1" applyFont="1" applyBorder="1" applyAlignment="1" applyProtection="1">
      <alignment horizontal="center" vertical="center" wrapText="1" readingOrder="1"/>
      <protection locked="0"/>
    </xf>
    <xf numFmtId="4" fontId="14" fillId="0" borderId="1" xfId="0" applyNumberFormat="1" applyFont="1" applyBorder="1" applyAlignment="1" applyProtection="1">
      <alignment horizontal="center" vertical="center" wrapText="1" readingOrder="1"/>
      <protection locked="0"/>
    </xf>
    <xf numFmtId="0" fontId="16" fillId="5" borderId="0" xfId="0" applyFont="1" applyFill="1" applyAlignment="1">
      <alignment vertical="center"/>
    </xf>
    <xf numFmtId="166" fontId="2" fillId="5" borderId="1" xfId="0" applyNumberFormat="1" applyFont="1" applyFill="1" applyBorder="1" applyAlignment="1">
      <alignment horizontal="center" vertical="center" wrapText="1" readingOrder="1"/>
    </xf>
    <xf numFmtId="3" fontId="2" fillId="10" borderId="1" xfId="0" applyNumberFormat="1" applyFont="1" applyFill="1" applyBorder="1" applyAlignment="1">
      <alignment horizontal="center" vertical="center" wrapText="1" readingOrder="1"/>
    </xf>
    <xf numFmtId="0" fontId="3" fillId="7" borderId="1" xfId="0" applyFont="1" applyFill="1" applyBorder="1" applyAlignment="1">
      <alignment horizontal="center" vertical="center" wrapText="1" readingOrder="1"/>
    </xf>
    <xf numFmtId="0" fontId="3" fillId="9" borderId="1" xfId="0" applyFont="1" applyFill="1" applyBorder="1" applyAlignment="1">
      <alignment horizontal="center" vertical="center" wrapText="1" readingOrder="1"/>
    </xf>
    <xf numFmtId="3" fontId="14" fillId="5" borderId="6" xfId="0" applyNumberFormat="1" applyFont="1" applyFill="1" applyBorder="1" applyAlignment="1">
      <alignment horizontal="center" vertical="center"/>
    </xf>
    <xf numFmtId="3" fontId="14" fillId="5" borderId="7" xfId="0" applyNumberFormat="1" applyFont="1" applyFill="1" applyBorder="1" applyAlignment="1">
      <alignment horizontal="center" vertical="center"/>
    </xf>
    <xf numFmtId="0" fontId="2" fillId="5" borderId="0" xfId="0" applyFont="1" applyFill="1" applyAlignment="1">
      <alignment horizontal="left" vertical="center" wrapText="1"/>
    </xf>
    <xf numFmtId="0" fontId="3" fillId="7" borderId="6" xfId="0" applyFont="1" applyFill="1" applyBorder="1" applyAlignment="1">
      <alignment horizontal="center" vertical="center" wrapText="1" readingOrder="1"/>
    </xf>
    <xf numFmtId="0" fontId="3" fillId="7" borderId="7" xfId="0" applyFont="1" applyFill="1" applyBorder="1" applyAlignment="1">
      <alignment horizontal="center" vertical="center" wrapText="1" readingOrder="1"/>
    </xf>
    <xf numFmtId="0" fontId="16" fillId="5" borderId="0" xfId="0" applyFont="1" applyFill="1" applyAlignment="1">
      <alignment horizontal="justify" vertical="justify" wrapText="1" readingOrder="1"/>
    </xf>
    <xf numFmtId="0" fontId="13" fillId="5" borderId="9" xfId="0" applyFont="1" applyFill="1" applyBorder="1" applyAlignment="1">
      <alignment horizontal="justify" vertical="justify" wrapText="1" readingOrder="1"/>
    </xf>
    <xf numFmtId="0" fontId="13" fillId="5" borderId="0" xfId="0" applyFont="1" applyFill="1" applyAlignment="1">
      <alignment horizontal="justify" vertical="justify" wrapText="1" readingOrder="1"/>
    </xf>
    <xf numFmtId="0" fontId="16" fillId="5" borderId="0" xfId="0" applyFont="1" applyFill="1" applyAlignment="1">
      <alignment horizontal="justify" vertical="center" wrapText="1" readingOrder="1"/>
    </xf>
    <xf numFmtId="0" fontId="0" fillId="5" borderId="0" xfId="0" applyFill="1" applyAlignment="1">
      <alignment horizontal="justify" wrapText="1" readingOrder="1"/>
    </xf>
    <xf numFmtId="0" fontId="7" fillId="5" borderId="0" xfId="0" applyFont="1" applyFill="1" applyAlignment="1">
      <alignment vertical="center" wrapText="1"/>
    </xf>
    <xf numFmtId="0" fontId="7" fillId="5" borderId="0" xfId="0" applyFont="1" applyFill="1" applyAlignment="1">
      <alignment horizontal="left" vertical="center" wrapText="1"/>
    </xf>
    <xf numFmtId="0" fontId="0" fillId="5" borderId="0" xfId="0" applyFill="1" applyAlignment="1">
      <alignment horizontal="left" vertical="center" wrapText="1"/>
    </xf>
    <xf numFmtId="0" fontId="3" fillId="7" borderId="8" xfId="0" applyFont="1" applyFill="1" applyBorder="1" applyAlignment="1">
      <alignment horizontal="center" vertical="center" wrapText="1" readingOrder="1"/>
    </xf>
    <xf numFmtId="0" fontId="9" fillId="11" borderId="1" xfId="0" applyFont="1" applyFill="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47"/>
  <sheetViews>
    <sheetView tabSelected="1" topLeftCell="A16" zoomScale="80" zoomScaleNormal="80" workbookViewId="0">
      <selection activeCell="F27" sqref="F27"/>
    </sheetView>
  </sheetViews>
  <sheetFormatPr baseColWidth="10" defaultColWidth="11.5" defaultRowHeight="15" x14ac:dyDescent="0.2"/>
  <cols>
    <col min="1" max="1" width="24" style="11" customWidth="1"/>
    <col min="2" max="2" width="26.5" style="11" customWidth="1"/>
    <col min="3" max="4" width="20.6640625" style="11" customWidth="1"/>
    <col min="5" max="5" width="23.33203125" style="11" customWidth="1"/>
    <col min="6" max="6" width="30.1640625" style="11" customWidth="1"/>
    <col min="7" max="8" width="16.83203125" style="11" customWidth="1"/>
    <col min="9" max="9" width="22.1640625" style="11" customWidth="1"/>
    <col min="10" max="10" width="26.83203125" style="11" customWidth="1"/>
    <col min="11" max="11" width="17.1640625" style="11" customWidth="1"/>
    <col min="12" max="12" width="9.5" style="11" customWidth="1"/>
    <col min="13" max="16384" width="11.5" style="11"/>
  </cols>
  <sheetData>
    <row r="1" spans="1:11" ht="33" x14ac:dyDescent="0.2">
      <c r="A1" s="10" t="s">
        <v>10</v>
      </c>
      <c r="D1" s="12"/>
    </row>
    <row r="3" spans="1:11" ht="24" x14ac:dyDescent="0.3">
      <c r="A3" s="13" t="s">
        <v>27</v>
      </c>
      <c r="B3" s="14"/>
      <c r="C3" s="14"/>
      <c r="D3" s="14"/>
      <c r="E3" s="14"/>
      <c r="F3" s="14"/>
      <c r="G3" s="14"/>
      <c r="H3" s="14"/>
    </row>
    <row r="4" spans="1:11" ht="24" x14ac:dyDescent="0.3">
      <c r="A4" s="13" t="s">
        <v>29</v>
      </c>
      <c r="B4" s="14"/>
      <c r="C4" s="14"/>
      <c r="D4" s="14"/>
      <c r="E4" s="14"/>
      <c r="F4" s="14"/>
      <c r="G4" s="14"/>
      <c r="H4" s="14"/>
    </row>
    <row r="5" spans="1:11" ht="24" x14ac:dyDescent="0.3">
      <c r="A5" s="13" t="s">
        <v>13</v>
      </c>
      <c r="B5" s="14"/>
      <c r="C5" s="14"/>
      <c r="D5" s="14"/>
      <c r="E5" s="14"/>
      <c r="F5" s="14"/>
      <c r="G5" s="14"/>
      <c r="H5" s="14"/>
    </row>
    <row r="6" spans="1:11" ht="21" x14ac:dyDescent="0.25">
      <c r="A6" s="15"/>
    </row>
    <row r="7" spans="1:11" s="34" customFormat="1" ht="36.75" customHeight="1" x14ac:dyDescent="0.2">
      <c r="A7" s="53" t="s">
        <v>8</v>
      </c>
      <c r="B7" s="17"/>
      <c r="C7" s="86" t="s">
        <v>83</v>
      </c>
      <c r="D7" s="54" t="s">
        <v>15</v>
      </c>
      <c r="E7" s="54"/>
      <c r="F7" s="54"/>
      <c r="G7" s="54"/>
      <c r="H7" s="54"/>
      <c r="I7" s="54"/>
      <c r="J7" s="54"/>
      <c r="K7" s="54"/>
    </row>
    <row r="8" spans="1:11" ht="44.25" customHeight="1" x14ac:dyDescent="0.2">
      <c r="A8" s="53" t="s">
        <v>9</v>
      </c>
      <c r="B8" s="17"/>
      <c r="C8" s="87">
        <v>0.02</v>
      </c>
      <c r="D8" s="112" t="s">
        <v>69</v>
      </c>
      <c r="E8" s="112"/>
      <c r="F8" s="112"/>
      <c r="G8" s="112"/>
      <c r="H8" s="112"/>
      <c r="I8" s="112"/>
      <c r="J8" s="112"/>
      <c r="K8" s="112"/>
    </row>
    <row r="10" spans="1:11" ht="55.5" customHeight="1" x14ac:dyDescent="0.2">
      <c r="A10" s="108" t="s">
        <v>18</v>
      </c>
      <c r="B10" s="108" t="s">
        <v>19</v>
      </c>
      <c r="C10" s="108" t="s">
        <v>20</v>
      </c>
      <c r="D10" s="108"/>
      <c r="E10" s="108" t="s">
        <v>23</v>
      </c>
      <c r="F10" s="108" t="s">
        <v>24</v>
      </c>
      <c r="G10" s="113" t="s">
        <v>28</v>
      </c>
      <c r="H10" s="114"/>
      <c r="I10" s="108" t="s">
        <v>78</v>
      </c>
      <c r="J10" s="108" t="s">
        <v>25</v>
      </c>
      <c r="K10" s="108" t="s">
        <v>26</v>
      </c>
    </row>
    <row r="11" spans="1:11" ht="25" x14ac:dyDescent="0.2">
      <c r="A11" s="108"/>
      <c r="B11" s="108"/>
      <c r="C11" s="2" t="s">
        <v>21</v>
      </c>
      <c r="D11" s="2" t="s">
        <v>22</v>
      </c>
      <c r="E11" s="108"/>
      <c r="F11" s="108"/>
      <c r="G11" s="2" t="s">
        <v>21</v>
      </c>
      <c r="H11" s="2" t="s">
        <v>22</v>
      </c>
      <c r="I11" s="108"/>
      <c r="J11" s="108"/>
      <c r="K11" s="108"/>
    </row>
    <row r="12" spans="1:11" ht="23.25" customHeight="1" x14ac:dyDescent="0.3">
      <c r="A12" s="108" t="s">
        <v>84</v>
      </c>
      <c r="B12" s="3" t="s">
        <v>3</v>
      </c>
      <c r="C12" s="98"/>
      <c r="D12" s="98"/>
      <c r="E12" s="101" t="str">
        <f>IF(AND(C12&gt;0,D12&gt;0),(D12-C12)/D12," ")</f>
        <v xml:space="preserve"> </v>
      </c>
      <c r="F12" s="101" t="str">
        <f t="shared" ref="F12" si="0">IF(ISNUMBER(E12),SIGN(E12)*MAX(0,ABS(E12)-$C$8)," ")</f>
        <v xml:space="preserve"> </v>
      </c>
      <c r="G12" s="4"/>
      <c r="H12" s="4"/>
      <c r="I12" s="20">
        <f>IF(AND(G12&gt;=3,H12&gt;=3),1,0)</f>
        <v>0</v>
      </c>
      <c r="J12" s="68">
        <f>I12*SUM(G12:H12)</f>
        <v>0</v>
      </c>
      <c r="K12" s="95">
        <f>IF(I12=1,F12*J12/J$36,0)</f>
        <v>0</v>
      </c>
    </row>
    <row r="13" spans="1:11" ht="25" x14ac:dyDescent="0.3">
      <c r="A13" s="108"/>
      <c r="B13" s="3" t="s">
        <v>0</v>
      </c>
      <c r="C13" s="98">
        <v>82152.8433735</v>
      </c>
      <c r="D13" s="98">
        <v>91067.288077714198</v>
      </c>
      <c r="E13" s="101">
        <f t="shared" ref="E13:E35" si="1">IF(AND(C13&gt;0,D13&gt;0),(D13-C13)/D13," ")</f>
        <v>9.7888549141892406E-2</v>
      </c>
      <c r="F13" s="101">
        <f t="shared" ref="F13:F35" si="2">IF(ISNUMBER(E13),SIGN(E13)*MAX(0,ABS(E13)-$C$8)," ")</f>
        <v>7.7888549141892402E-2</v>
      </c>
      <c r="G13" s="4">
        <v>8</v>
      </c>
      <c r="H13" s="4">
        <v>7</v>
      </c>
      <c r="I13" s="20">
        <f t="shared" ref="I13:I35" si="3">IF(AND(G13&gt;=3,H13&gt;=3),1,0)</f>
        <v>1</v>
      </c>
      <c r="J13" s="68">
        <f t="shared" ref="J13:J35" si="4">I13*SUM(G13:H13)</f>
        <v>15</v>
      </c>
      <c r="K13" s="95">
        <f t="shared" ref="K13:K35" si="5">IF(I13=1,F13*J13/J$36,0)</f>
        <v>5.1018700311283235E-3</v>
      </c>
    </row>
    <row r="14" spans="1:11" ht="25" x14ac:dyDescent="0.3">
      <c r="A14" s="108"/>
      <c r="B14" s="3" t="s">
        <v>1</v>
      </c>
      <c r="C14" s="99">
        <v>94952.675882999902</v>
      </c>
      <c r="D14" s="99">
        <v>81664.376078181798</v>
      </c>
      <c r="E14" s="101">
        <f t="shared" si="1"/>
        <v>-0.16271843909144035</v>
      </c>
      <c r="F14" s="101">
        <f t="shared" si="2"/>
        <v>-0.14271843909144036</v>
      </c>
      <c r="G14" s="4">
        <v>12</v>
      </c>
      <c r="H14" s="4">
        <v>11</v>
      </c>
      <c r="I14" s="20">
        <f t="shared" si="3"/>
        <v>1</v>
      </c>
      <c r="J14" s="68">
        <f t="shared" si="4"/>
        <v>23</v>
      </c>
      <c r="K14" s="95">
        <f t="shared" si="5"/>
        <v>-1.4334166371629381E-2</v>
      </c>
    </row>
    <row r="15" spans="1:11" ht="25" x14ac:dyDescent="0.3">
      <c r="A15" s="108"/>
      <c r="B15" s="3" t="s">
        <v>2</v>
      </c>
      <c r="C15" s="99">
        <v>53345.385546666599</v>
      </c>
      <c r="D15" s="99">
        <v>122863.86871920001</v>
      </c>
      <c r="E15" s="101">
        <f t="shared" si="1"/>
        <v>0.5658171429666996</v>
      </c>
      <c r="F15" s="101">
        <f t="shared" si="2"/>
        <v>0.54581714296669959</v>
      </c>
      <c r="G15" s="4">
        <v>9</v>
      </c>
      <c r="H15" s="4">
        <v>5</v>
      </c>
      <c r="I15" s="20">
        <f t="shared" si="3"/>
        <v>1</v>
      </c>
      <c r="J15" s="68">
        <f t="shared" si="4"/>
        <v>14</v>
      </c>
      <c r="K15" s="95">
        <f t="shared" si="5"/>
        <v>3.3368733631151941E-2</v>
      </c>
    </row>
    <row r="16" spans="1:11" ht="23.25" customHeight="1" x14ac:dyDescent="0.3">
      <c r="A16" s="108" t="s">
        <v>85</v>
      </c>
      <c r="B16" s="3" t="s">
        <v>3</v>
      </c>
      <c r="C16" s="98">
        <v>37792.117996000001</v>
      </c>
      <c r="D16" s="98"/>
      <c r="E16" s="106" t="str">
        <f>IF(AND(C16&gt;0,D16&gt;0),(D16-C16)/D16," ")</f>
        <v xml:space="preserve"> </v>
      </c>
      <c r="F16" s="106" t="str">
        <f t="shared" si="2"/>
        <v xml:space="preserve"> </v>
      </c>
      <c r="G16" s="4">
        <v>3</v>
      </c>
      <c r="H16" s="4"/>
      <c r="I16" s="20">
        <f>IF(AND(G16&gt;=3,H16&gt;=3),1,0)</f>
        <v>0</v>
      </c>
      <c r="J16" s="68">
        <f>I16*SUM(G16:H16)</f>
        <v>0</v>
      </c>
      <c r="K16" s="95">
        <f>IF(I16=1,F16*J16/J$36,0)</f>
        <v>0</v>
      </c>
    </row>
    <row r="17" spans="1:11" ht="25" x14ac:dyDescent="0.3">
      <c r="A17" s="108"/>
      <c r="B17" s="3" t="s">
        <v>0</v>
      </c>
      <c r="C17" s="98">
        <v>72485.790795428504</v>
      </c>
      <c r="D17" s="98">
        <v>44817.853679999898</v>
      </c>
      <c r="E17" s="106">
        <f t="shared" ref="E17:E19" si="6">IF(AND(C17&gt;0,D17&gt;0),(D17-C17)/D17," ")</f>
        <v>-0.61734185918357587</v>
      </c>
      <c r="F17" s="106">
        <f t="shared" ref="F17:F23" si="7">IF(ISNUMBER(E17),SIGN(E17)*MAX(0,ABS(E17)-$C$8)," ")</f>
        <v>-0.59734185918357585</v>
      </c>
      <c r="G17" s="4">
        <v>7</v>
      </c>
      <c r="H17" s="4">
        <v>5</v>
      </c>
      <c r="I17" s="20">
        <f t="shared" ref="I17:I19" si="8">IF(AND(G17&gt;=3,H17&gt;=3),1,0)</f>
        <v>1</v>
      </c>
      <c r="J17" s="68">
        <f t="shared" ref="J17:J19" si="9">I17*SUM(G17:H17)</f>
        <v>12</v>
      </c>
      <c r="K17" s="95">
        <f t="shared" ref="K17:K19" si="10">IF(I17=1,F17*J17/J$36,0)</f>
        <v>-3.1301756813113146E-2</v>
      </c>
    </row>
    <row r="18" spans="1:11" ht="25" x14ac:dyDescent="0.3">
      <c r="A18" s="108"/>
      <c r="B18" s="3" t="s">
        <v>1</v>
      </c>
      <c r="C18" s="99">
        <v>82322.143737999999</v>
      </c>
      <c r="D18" s="99">
        <v>104261.8668984</v>
      </c>
      <c r="E18" s="106">
        <f t="shared" si="6"/>
        <v>0.21042902657574306</v>
      </c>
      <c r="F18" s="106">
        <f t="shared" si="7"/>
        <v>0.19042902657574307</v>
      </c>
      <c r="G18" s="4">
        <v>6</v>
      </c>
      <c r="H18" s="4">
        <v>5</v>
      </c>
      <c r="I18" s="20">
        <f t="shared" si="8"/>
        <v>1</v>
      </c>
      <c r="J18" s="68">
        <f t="shared" si="9"/>
        <v>11</v>
      </c>
      <c r="K18" s="95">
        <f t="shared" si="10"/>
        <v>9.1472458180487937E-3</v>
      </c>
    </row>
    <row r="19" spans="1:11" ht="25" x14ac:dyDescent="0.3">
      <c r="A19" s="108"/>
      <c r="B19" s="3" t="s">
        <v>2</v>
      </c>
      <c r="C19" s="99">
        <v>98835.766289999898</v>
      </c>
      <c r="D19" s="99">
        <v>64148.526085714198</v>
      </c>
      <c r="E19" s="106">
        <f t="shared" si="6"/>
        <v>-0.54073323770427995</v>
      </c>
      <c r="F19" s="106">
        <f t="shared" si="7"/>
        <v>-0.52073323770427993</v>
      </c>
      <c r="G19" s="4">
        <v>8</v>
      </c>
      <c r="H19" s="4">
        <v>7</v>
      </c>
      <c r="I19" s="20">
        <f t="shared" si="8"/>
        <v>1</v>
      </c>
      <c r="J19" s="68">
        <f t="shared" si="9"/>
        <v>15</v>
      </c>
      <c r="K19" s="95">
        <f t="shared" si="10"/>
        <v>-3.4109164041765061E-2</v>
      </c>
    </row>
    <row r="20" spans="1:11" ht="23.25" customHeight="1" x14ac:dyDescent="0.3">
      <c r="A20" s="108" t="s">
        <v>86</v>
      </c>
      <c r="B20" s="3" t="s">
        <v>3</v>
      </c>
      <c r="C20" s="98">
        <v>56134.380991999999</v>
      </c>
      <c r="D20" s="98">
        <v>68478.883199999997</v>
      </c>
      <c r="E20" s="106">
        <f>IF(AND(C20&gt;0,D20&gt;0),(D20-C20)/D20," ")</f>
        <v>0.18026728286363172</v>
      </c>
      <c r="F20" s="106">
        <f t="shared" si="7"/>
        <v>0.16026728286363173</v>
      </c>
      <c r="G20" s="4">
        <v>3</v>
      </c>
      <c r="H20" s="4"/>
      <c r="I20" s="20">
        <f>IF(AND(G20&gt;=3,H20&gt;=3),1,0)</f>
        <v>0</v>
      </c>
      <c r="J20" s="68">
        <f>I20*SUM(G20:H20)</f>
        <v>0</v>
      </c>
      <c r="K20" s="95">
        <f>IF(I20=1,F20*J20/J$36,0)</f>
        <v>0</v>
      </c>
    </row>
    <row r="21" spans="1:11" ht="25" x14ac:dyDescent="0.3">
      <c r="A21" s="108"/>
      <c r="B21" s="3" t="s">
        <v>0</v>
      </c>
      <c r="C21" s="98">
        <v>77020.913723999998</v>
      </c>
      <c r="D21" s="98">
        <v>56404.666485000002</v>
      </c>
      <c r="E21" s="106">
        <f t="shared" ref="E21:E23" si="11">IF(AND(C21&gt;0,D21&gt;0),(D21-C21)/D21," ")</f>
        <v>-0.36550605692319071</v>
      </c>
      <c r="F21" s="106">
        <f t="shared" si="7"/>
        <v>-0.3455060569231907</v>
      </c>
      <c r="G21" s="4">
        <v>6</v>
      </c>
      <c r="H21" s="4">
        <v>9</v>
      </c>
      <c r="I21" s="20">
        <f t="shared" ref="I21:I23" si="12">IF(AND(G21&gt;=3,H21&gt;=3),1,0)</f>
        <v>1</v>
      </c>
      <c r="J21" s="68">
        <f t="shared" ref="J21:J23" si="13">I21*SUM(G21:H21)</f>
        <v>15</v>
      </c>
      <c r="K21" s="95">
        <f t="shared" ref="K21:K23" si="14">IF(I21=1,F21*J21/J$36,0)</f>
        <v>-2.2631401108505939E-2</v>
      </c>
    </row>
    <row r="22" spans="1:11" ht="25" x14ac:dyDescent="0.3">
      <c r="A22" s="108"/>
      <c r="B22" s="3" t="s">
        <v>1</v>
      </c>
      <c r="C22" s="99">
        <v>63964.619372000001</v>
      </c>
      <c r="D22" s="99">
        <v>53606.126074500004</v>
      </c>
      <c r="E22" s="106">
        <f t="shared" si="11"/>
        <v>-0.19323338685403435</v>
      </c>
      <c r="F22" s="106">
        <f t="shared" si="7"/>
        <v>-0.17323338685403436</v>
      </c>
      <c r="G22" s="4">
        <v>12</v>
      </c>
      <c r="H22" s="4">
        <v>15</v>
      </c>
      <c r="I22" s="20">
        <f t="shared" si="12"/>
        <v>1</v>
      </c>
      <c r="J22" s="68">
        <f t="shared" si="13"/>
        <v>27</v>
      </c>
      <c r="K22" s="95">
        <f t="shared" si="14"/>
        <v>-2.0424897139995315E-2</v>
      </c>
    </row>
    <row r="23" spans="1:11" ht="25" x14ac:dyDescent="0.3">
      <c r="A23" s="108"/>
      <c r="B23" s="3" t="s">
        <v>2</v>
      </c>
      <c r="C23" s="99">
        <v>81142.010241333293</v>
      </c>
      <c r="D23" s="99">
        <v>67165.563808285704</v>
      </c>
      <c r="E23" s="106">
        <f t="shared" si="11"/>
        <v>-0.20808946788478266</v>
      </c>
      <c r="F23" s="106">
        <f t="shared" si="7"/>
        <v>-0.18808946788478267</v>
      </c>
      <c r="G23" s="4">
        <v>9</v>
      </c>
      <c r="H23" s="4">
        <v>15</v>
      </c>
      <c r="I23" s="20">
        <f t="shared" si="12"/>
        <v>1</v>
      </c>
      <c r="J23" s="68">
        <f t="shared" si="13"/>
        <v>24</v>
      </c>
      <c r="K23" s="95">
        <f t="shared" si="14"/>
        <v>-1.9712433315435741E-2</v>
      </c>
    </row>
    <row r="24" spans="1:11" ht="23.25" customHeight="1" x14ac:dyDescent="0.3">
      <c r="A24" s="108" t="s">
        <v>87</v>
      </c>
      <c r="B24" s="3" t="s">
        <v>3</v>
      </c>
      <c r="C24" s="98"/>
      <c r="D24" s="98"/>
      <c r="E24" s="101" t="str">
        <f t="shared" si="1"/>
        <v xml:space="preserve"> </v>
      </c>
      <c r="F24" s="101" t="str">
        <f t="shared" si="2"/>
        <v xml:space="preserve"> </v>
      </c>
      <c r="G24" s="4"/>
      <c r="H24" s="4"/>
      <c r="I24" s="20">
        <f t="shared" si="3"/>
        <v>0</v>
      </c>
      <c r="J24" s="68">
        <f t="shared" si="4"/>
        <v>0</v>
      </c>
      <c r="K24" s="95">
        <f t="shared" si="5"/>
        <v>0</v>
      </c>
    </row>
    <row r="25" spans="1:11" ht="25" x14ac:dyDescent="0.3">
      <c r="A25" s="108"/>
      <c r="B25" s="3" t="s">
        <v>0</v>
      </c>
      <c r="C25" s="98">
        <v>96108.012000000002</v>
      </c>
      <c r="D25" s="98">
        <v>86512.289481</v>
      </c>
      <c r="E25" s="101">
        <f t="shared" si="1"/>
        <v>-0.11091744972380409</v>
      </c>
      <c r="F25" s="101">
        <f t="shared" si="2"/>
        <v>-9.0917449723804084E-2</v>
      </c>
      <c r="G25" s="4">
        <v>1</v>
      </c>
      <c r="H25" s="4">
        <v>4</v>
      </c>
      <c r="I25" s="20">
        <f t="shared" si="3"/>
        <v>0</v>
      </c>
      <c r="J25" s="68">
        <f t="shared" si="4"/>
        <v>0</v>
      </c>
      <c r="K25" s="95">
        <f t="shared" si="5"/>
        <v>0</v>
      </c>
    </row>
    <row r="26" spans="1:11" ht="25" x14ac:dyDescent="0.3">
      <c r="A26" s="108"/>
      <c r="B26" s="3" t="s">
        <v>1</v>
      </c>
      <c r="C26" s="99">
        <v>121395.455568</v>
      </c>
      <c r="D26" s="98">
        <v>93313.217394000007</v>
      </c>
      <c r="E26" s="101">
        <f t="shared" si="1"/>
        <v>-0.30094598555558616</v>
      </c>
      <c r="F26" s="101">
        <f t="shared" si="2"/>
        <v>-0.28094598555558614</v>
      </c>
      <c r="G26" s="4">
        <v>1</v>
      </c>
      <c r="H26" s="4">
        <v>4</v>
      </c>
      <c r="I26" s="20">
        <f t="shared" si="3"/>
        <v>0</v>
      </c>
      <c r="J26" s="68">
        <f t="shared" si="4"/>
        <v>0</v>
      </c>
      <c r="K26" s="95">
        <f t="shared" si="5"/>
        <v>0</v>
      </c>
    </row>
    <row r="27" spans="1:11" ht="25" x14ac:dyDescent="0.3">
      <c r="A27" s="108"/>
      <c r="B27" s="3" t="s">
        <v>2</v>
      </c>
      <c r="C27" s="99">
        <v>58763.25</v>
      </c>
      <c r="D27" s="99">
        <v>100411.40238299999</v>
      </c>
      <c r="E27" s="101">
        <f t="shared" si="1"/>
        <v>0.41477512906493547</v>
      </c>
      <c r="F27" s="101">
        <f t="shared" si="2"/>
        <v>0.39477512906493545</v>
      </c>
      <c r="G27" s="4">
        <v>1</v>
      </c>
      <c r="H27" s="4">
        <v>4</v>
      </c>
      <c r="I27" s="20">
        <f t="shared" si="3"/>
        <v>0</v>
      </c>
      <c r="J27" s="68">
        <f t="shared" si="4"/>
        <v>0</v>
      </c>
      <c r="K27" s="95">
        <f t="shared" si="5"/>
        <v>0</v>
      </c>
    </row>
    <row r="28" spans="1:11" ht="23.25" customHeight="1" x14ac:dyDescent="0.3">
      <c r="A28" s="108" t="s">
        <v>88</v>
      </c>
      <c r="B28" s="3" t="s">
        <v>3</v>
      </c>
      <c r="C28" s="98"/>
      <c r="D28" s="98">
        <v>61221.827508000002</v>
      </c>
      <c r="E28" s="101" t="str">
        <f t="shared" si="1"/>
        <v xml:space="preserve"> </v>
      </c>
      <c r="F28" s="101" t="str">
        <f t="shared" si="2"/>
        <v xml:space="preserve"> </v>
      </c>
      <c r="G28" s="4"/>
      <c r="H28" s="4">
        <v>3</v>
      </c>
      <c r="I28" s="20">
        <f t="shared" si="3"/>
        <v>0</v>
      </c>
      <c r="J28" s="68">
        <f t="shared" si="4"/>
        <v>0</v>
      </c>
      <c r="K28" s="95">
        <f t="shared" si="5"/>
        <v>0</v>
      </c>
    </row>
    <row r="29" spans="1:11" ht="25" x14ac:dyDescent="0.3">
      <c r="A29" s="108"/>
      <c r="B29" s="3" t="s">
        <v>0</v>
      </c>
      <c r="C29" s="98">
        <v>41460.100374000001</v>
      </c>
      <c r="D29" s="98">
        <v>86806.119909000001</v>
      </c>
      <c r="E29" s="101">
        <f t="shared" si="1"/>
        <v>0.52238274884923819</v>
      </c>
      <c r="F29" s="101">
        <f t="shared" si="2"/>
        <v>0.50238274884923817</v>
      </c>
      <c r="G29" s="4">
        <v>4</v>
      </c>
      <c r="H29" s="4">
        <v>8</v>
      </c>
      <c r="I29" s="20">
        <f t="shared" si="3"/>
        <v>1</v>
      </c>
      <c r="J29" s="68">
        <f t="shared" si="4"/>
        <v>12</v>
      </c>
      <c r="K29" s="95">
        <f t="shared" si="5"/>
        <v>2.6325733564152222E-2</v>
      </c>
    </row>
    <row r="30" spans="1:11" ht="25" x14ac:dyDescent="0.3">
      <c r="A30" s="108"/>
      <c r="B30" s="3" t="s">
        <v>1</v>
      </c>
      <c r="C30" s="99">
        <v>76046.9087325</v>
      </c>
      <c r="D30" s="99">
        <v>84711.863793600001</v>
      </c>
      <c r="E30" s="101">
        <f t="shared" si="1"/>
        <v>0.10228738541524854</v>
      </c>
      <c r="F30" s="101">
        <f t="shared" si="2"/>
        <v>8.2287385415248535E-2</v>
      </c>
      <c r="G30" s="4">
        <v>8</v>
      </c>
      <c r="H30" s="4">
        <v>5</v>
      </c>
      <c r="I30" s="20">
        <f t="shared" si="3"/>
        <v>1</v>
      </c>
      <c r="J30" s="68">
        <f t="shared" si="4"/>
        <v>13</v>
      </c>
      <c r="K30" s="95">
        <f t="shared" si="5"/>
        <v>4.6713362899486067E-3</v>
      </c>
    </row>
    <row r="31" spans="1:11" ht="25" x14ac:dyDescent="0.3">
      <c r="A31" s="108"/>
      <c r="B31" s="3" t="s">
        <v>2</v>
      </c>
      <c r="C31" s="99">
        <v>62937.480488000001</v>
      </c>
      <c r="D31" s="99">
        <v>93350.458348800006</v>
      </c>
      <c r="E31" s="101">
        <f t="shared" si="1"/>
        <v>0.32579355686892519</v>
      </c>
      <c r="F31" s="101">
        <f t="shared" si="2"/>
        <v>0.30579355686892518</v>
      </c>
      <c r="G31" s="4">
        <v>3</v>
      </c>
      <c r="H31" s="4">
        <v>5</v>
      </c>
      <c r="I31" s="20">
        <f t="shared" si="3"/>
        <v>1</v>
      </c>
      <c r="J31" s="68">
        <f t="shared" si="4"/>
        <v>8</v>
      </c>
      <c r="K31" s="95">
        <f t="shared" si="5"/>
        <v>1.0682744344765944E-2</v>
      </c>
    </row>
    <row r="32" spans="1:11" ht="23.25" customHeight="1" x14ac:dyDescent="0.3">
      <c r="A32" s="108" t="s">
        <v>89</v>
      </c>
      <c r="B32" s="3" t="s">
        <v>3</v>
      </c>
      <c r="C32" s="98"/>
      <c r="D32" s="98">
        <v>94076.831516000006</v>
      </c>
      <c r="E32" s="101" t="str">
        <f t="shared" si="1"/>
        <v xml:space="preserve"> </v>
      </c>
      <c r="F32" s="101" t="str">
        <f t="shared" si="2"/>
        <v xml:space="preserve"> </v>
      </c>
      <c r="G32" s="4"/>
      <c r="H32" s="4">
        <v>3</v>
      </c>
      <c r="I32" s="20">
        <f t="shared" si="3"/>
        <v>0</v>
      </c>
      <c r="J32" s="68">
        <f t="shared" si="4"/>
        <v>0</v>
      </c>
      <c r="K32" s="95">
        <f t="shared" si="5"/>
        <v>0</v>
      </c>
    </row>
    <row r="33" spans="1:11" ht="25" x14ac:dyDescent="0.3">
      <c r="A33" s="108"/>
      <c r="B33" s="3" t="s">
        <v>0</v>
      </c>
      <c r="C33" s="98">
        <v>98839.247162</v>
      </c>
      <c r="D33" s="98">
        <v>106285.72508400001</v>
      </c>
      <c r="E33" s="101">
        <f t="shared" si="1"/>
        <v>7.006094107289465E-2</v>
      </c>
      <c r="F33" s="101">
        <f t="shared" si="2"/>
        <v>5.0060941072894646E-2</v>
      </c>
      <c r="G33" s="4">
        <v>6</v>
      </c>
      <c r="H33" s="4">
        <v>4</v>
      </c>
      <c r="I33" s="20">
        <f t="shared" si="3"/>
        <v>1</v>
      </c>
      <c r="J33" s="68">
        <f t="shared" si="4"/>
        <v>10</v>
      </c>
      <c r="K33" s="95">
        <f t="shared" si="5"/>
        <v>2.1860672957595916E-3</v>
      </c>
    </row>
    <row r="34" spans="1:11" ht="25" x14ac:dyDescent="0.3">
      <c r="A34" s="108"/>
      <c r="B34" s="3" t="s">
        <v>1</v>
      </c>
      <c r="C34" s="99">
        <v>79422.8264319999</v>
      </c>
      <c r="D34" s="99">
        <v>88402.495880999995</v>
      </c>
      <c r="E34" s="101">
        <f t="shared" si="1"/>
        <v>0.1015771032198884</v>
      </c>
      <c r="F34" s="101">
        <f t="shared" si="2"/>
        <v>8.1577103219888397E-2</v>
      </c>
      <c r="G34" s="4">
        <v>9</v>
      </c>
      <c r="H34" s="4">
        <v>4</v>
      </c>
      <c r="I34" s="20">
        <f t="shared" si="3"/>
        <v>1</v>
      </c>
      <c r="J34" s="68">
        <f t="shared" si="4"/>
        <v>13</v>
      </c>
      <c r="K34" s="95">
        <f t="shared" si="5"/>
        <v>4.6310145932687737E-3</v>
      </c>
    </row>
    <row r="35" spans="1:11" ht="25" x14ac:dyDescent="0.3">
      <c r="A35" s="108"/>
      <c r="B35" s="3" t="s">
        <v>2</v>
      </c>
      <c r="C35" s="99">
        <v>65353.206370666601</v>
      </c>
      <c r="D35" s="99">
        <v>73063.978114500002</v>
      </c>
      <c r="E35" s="101">
        <f t="shared" si="1"/>
        <v>0.10553451841548646</v>
      </c>
      <c r="F35" s="101">
        <f t="shared" si="2"/>
        <v>8.5534518415486455E-2</v>
      </c>
      <c r="G35" s="4">
        <v>9</v>
      </c>
      <c r="H35" s="4">
        <v>8</v>
      </c>
      <c r="I35" s="20">
        <f t="shared" si="3"/>
        <v>1</v>
      </c>
      <c r="J35" s="68">
        <f t="shared" si="4"/>
        <v>17</v>
      </c>
      <c r="K35" s="95">
        <f t="shared" si="5"/>
        <v>6.3497240745120954E-3</v>
      </c>
    </row>
    <row r="36" spans="1:11" ht="36.75" customHeight="1" x14ac:dyDescent="0.2">
      <c r="A36" s="109" t="s">
        <v>30</v>
      </c>
      <c r="B36" s="109"/>
      <c r="C36" s="104">
        <f>SUMPRODUCT(C12:C35,G12:G35)/SUM(G12:G35)</f>
        <v>75566.847746783955</v>
      </c>
      <c r="D36" s="104">
        <f>SUMPRODUCT(D12:D35,H12:H35)/SUM(H12:H35)</f>
        <v>77852.084137120473</v>
      </c>
      <c r="E36" s="102">
        <f>IF(AND(C36&gt;0,D36&gt;0),(D36-C36)/D36," ")</f>
        <v>2.9353567289368176E-2</v>
      </c>
      <c r="F36" s="5"/>
      <c r="G36" s="67">
        <f>SUM(G12:G35)</f>
        <v>125</v>
      </c>
      <c r="H36" s="67">
        <f>SUM(H12:H35)</f>
        <v>131</v>
      </c>
      <c r="I36" s="5"/>
      <c r="J36" s="69">
        <f>SUM(J12:J35)</f>
        <v>229</v>
      </c>
      <c r="K36" s="96">
        <f>SUM(K12:K35)</f>
        <v>-4.0049349147708316E-2</v>
      </c>
    </row>
    <row r="37" spans="1:11" ht="24" x14ac:dyDescent="0.2">
      <c r="G37" s="110">
        <f>G36+H36</f>
        <v>256</v>
      </c>
      <c r="H37" s="111"/>
    </row>
    <row r="38" spans="1:11" ht="24" x14ac:dyDescent="0.2">
      <c r="G38" s="88"/>
      <c r="H38" s="88"/>
    </row>
    <row r="39" spans="1:11" s="34" customFormat="1" ht="24" x14ac:dyDescent="0.2">
      <c r="A39" s="33" t="s">
        <v>16</v>
      </c>
      <c r="B39" s="36"/>
      <c r="D39" s="37">
        <f>IF(SUM(G36:H36)&gt;0,IF(J36&gt;=40%*SUM(G36:H36),1,0),"#N/A")</f>
        <v>1</v>
      </c>
      <c r="E39" s="91" t="str">
        <f>IF(D39=1,"Les effectifs valides représentent plus de 40 % des effectifs totaux.",IF(D39=0,"Les effectifs valides représentent moins de 40 % des effectifs totaux.",""))</f>
        <v>Les effectifs valides représentent plus de 40 % des effectifs totaux.</v>
      </c>
      <c r="H39" s="36"/>
    </row>
    <row r="40" spans="1:11" s="34" customFormat="1" ht="24" x14ac:dyDescent="0.2">
      <c r="A40" s="38" t="s">
        <v>79</v>
      </c>
      <c r="B40" s="39"/>
      <c r="C40" s="40"/>
      <c r="D40" s="41">
        <f>IF(D39=1,ABS(ROUND(100*K36,1)),IF(D39=0,"INCALCULABLE","#N/A"))</f>
        <v>4</v>
      </c>
      <c r="E40" s="91" t="str">
        <f>IFERROR(IF(AND(D39=1,K36&gt;=0.05%),"Un écart de rémunération est constaté en faveur des hommes.",IF(AND(D39=1,K36&lt;=-0.05%),"Un écart de rémunération est constaté en faveur des femmes.",IF(AND(D39=1,K36&gt;-0.05%,K36&lt;0.05%),"Les femmes et les hommes sont à parité",""))),"")</f>
        <v>Un écart de rémunération est constaté en faveur des femmes.</v>
      </c>
      <c r="H40" s="36"/>
    </row>
    <row r="41" spans="1:11" s="34" customFormat="1" ht="24" x14ac:dyDescent="0.2">
      <c r="A41" s="33" t="s">
        <v>17</v>
      </c>
      <c r="B41" s="36"/>
      <c r="D41" s="42">
        <f>VLOOKUP(D40,Barèmes!A5:B26,2)</f>
        <v>36</v>
      </c>
    </row>
    <row r="42" spans="1:11" s="34" customFormat="1" x14ac:dyDescent="0.2"/>
    <row r="43" spans="1:11" s="34" customFormat="1" x14ac:dyDescent="0.2"/>
    <row r="44" spans="1:11" s="34" customFormat="1" ht="21" x14ac:dyDescent="0.2">
      <c r="A44" s="105" t="s">
        <v>80</v>
      </c>
    </row>
    <row r="45" spans="1:11" s="34" customFormat="1" x14ac:dyDescent="0.2"/>
    <row r="46" spans="1:11" s="34" customFormat="1" ht="24" x14ac:dyDescent="0.2">
      <c r="A46" s="43" t="s">
        <v>14</v>
      </c>
    </row>
    <row r="47" spans="1:11" s="34" customFormat="1" ht="24" x14ac:dyDescent="0.2">
      <c r="A47" s="43" t="s">
        <v>35</v>
      </c>
    </row>
  </sheetData>
  <mergeCells count="18">
    <mergeCell ref="G37:H37"/>
    <mergeCell ref="D8:K8"/>
    <mergeCell ref="I10:I11"/>
    <mergeCell ref="K10:K11"/>
    <mergeCell ref="J10:J11"/>
    <mergeCell ref="F10:F11"/>
    <mergeCell ref="G10:H10"/>
    <mergeCell ref="A10:A11"/>
    <mergeCell ref="C10:D10"/>
    <mergeCell ref="E10:E11"/>
    <mergeCell ref="B10:B11"/>
    <mergeCell ref="A36:B36"/>
    <mergeCell ref="A28:A31"/>
    <mergeCell ref="A24:A27"/>
    <mergeCell ref="A12:A15"/>
    <mergeCell ref="A32:A35"/>
    <mergeCell ref="A16:A19"/>
    <mergeCell ref="A20:A23"/>
  </mergeCells>
  <pageMargins left="0.7" right="0.7" top="0.75" bottom="0.75" header="0.3" footer="0.3"/>
  <pageSetup paperSize="9" scale="52" orientation="landscape" r:id="rId1"/>
  <ignoredErrors>
    <ignoredError sqref="F24:F35 F12:F15" unlockedFormula="1"/>
    <ignoredError sqref="I24:I35 J24:J35 G36:H36 J12:J15 I12:I15" emptyCellReference="1"/>
    <ignoredError sqref="E24:E35 E12:E15" unlockedFormula="1" emptyCellReference="1"/>
    <ignoredError sqref="D41" evalError="1"/>
    <ignoredError sqref="E36" evalError="1" unlockedFormula="1"/>
    <ignoredError sqref="C36:D36" evalError="1" unlockedFormula="1" emptyCellReference="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23"/>
  <sheetViews>
    <sheetView zoomScale="80" zoomScaleNormal="80" workbookViewId="0">
      <selection activeCell="B19" sqref="B19"/>
    </sheetView>
  </sheetViews>
  <sheetFormatPr baseColWidth="10" defaultColWidth="11.5" defaultRowHeight="15" x14ac:dyDescent="0.2"/>
  <cols>
    <col min="1" max="1" width="59.6640625" style="11" customWidth="1"/>
    <col min="2" max="3" width="21.83203125" style="11" customWidth="1"/>
    <col min="4" max="4" width="21.1640625" style="11" customWidth="1"/>
    <col min="5" max="6" width="16.83203125" style="11" customWidth="1"/>
    <col min="7" max="7" width="22.1640625" style="11" customWidth="1"/>
    <col min="8" max="8" width="14.6640625" style="11" customWidth="1"/>
    <col min="9" max="9" width="17.1640625" style="11" customWidth="1"/>
    <col min="10" max="10" width="9.5" style="11" customWidth="1"/>
    <col min="11" max="16384" width="11.5" style="11"/>
  </cols>
  <sheetData>
    <row r="1" spans="1:9" ht="33" x14ac:dyDescent="0.2">
      <c r="A1" s="10" t="s">
        <v>39</v>
      </c>
      <c r="C1" s="12"/>
    </row>
    <row r="3" spans="1:9" s="18" customFormat="1" ht="24" x14ac:dyDescent="0.3">
      <c r="A3" s="13" t="s">
        <v>55</v>
      </c>
    </row>
    <row r="4" spans="1:9" s="18" customFormat="1" ht="24" x14ac:dyDescent="0.3">
      <c r="A4" s="13" t="s">
        <v>36</v>
      </c>
    </row>
    <row r="5" spans="1:9" s="18" customFormat="1" ht="24" x14ac:dyDescent="0.3">
      <c r="A5" s="13" t="s">
        <v>13</v>
      </c>
    </row>
    <row r="6" spans="1:9" s="14" customFormat="1" x14ac:dyDescent="0.2"/>
    <row r="7" spans="1:9" ht="74.25" customHeight="1" x14ac:dyDescent="0.2">
      <c r="A7" s="108" t="s">
        <v>18</v>
      </c>
      <c r="B7" s="108" t="s">
        <v>37</v>
      </c>
      <c r="C7" s="108"/>
      <c r="D7" s="108" t="s">
        <v>31</v>
      </c>
      <c r="E7" s="113" t="s">
        <v>32</v>
      </c>
      <c r="F7" s="114"/>
      <c r="G7" s="108" t="s">
        <v>78</v>
      </c>
      <c r="H7" s="108" t="s">
        <v>33</v>
      </c>
      <c r="I7" s="108" t="s">
        <v>26</v>
      </c>
    </row>
    <row r="8" spans="1:9" ht="25" x14ac:dyDescent="0.2">
      <c r="A8" s="108"/>
      <c r="B8" s="2" t="s">
        <v>21</v>
      </c>
      <c r="C8" s="2" t="s">
        <v>22</v>
      </c>
      <c r="D8" s="108"/>
      <c r="E8" s="2" t="s">
        <v>21</v>
      </c>
      <c r="F8" s="2" t="s">
        <v>22</v>
      </c>
      <c r="G8" s="108"/>
      <c r="H8" s="108"/>
      <c r="I8" s="108"/>
    </row>
    <row r="9" spans="1:9" ht="23.25" customHeight="1" x14ac:dyDescent="0.2">
      <c r="A9" s="2" t="s">
        <v>84</v>
      </c>
      <c r="B9" s="100">
        <v>0.65517241379310343</v>
      </c>
      <c r="C9" s="100">
        <v>0.39130434782608697</v>
      </c>
      <c r="D9" s="106">
        <f>IF(AND(C9&gt;=0,B9&gt;=0),C9-B9," ")</f>
        <v>-0.26386806596701645</v>
      </c>
      <c r="E9" s="107">
        <f>SUM('1- Ecart rémunération'!G12:G15)</f>
        <v>29</v>
      </c>
      <c r="F9" s="107">
        <f>SUM('1- Ecart rémunération'!H12:H15)</f>
        <v>23</v>
      </c>
      <c r="G9" s="20">
        <f>IF(AND(E9&gt;=10,F9&gt;=10),1,0)</f>
        <v>1</v>
      </c>
      <c r="H9" s="68">
        <f>G9*SUM(E9:F9)</f>
        <v>52</v>
      </c>
      <c r="I9" s="95">
        <f t="shared" ref="I9:I14" si="0">IF(G9=1,D9*H9/H$15,0)</f>
        <v>-5.6934188507406037E-2</v>
      </c>
    </row>
    <row r="10" spans="1:9" ht="23.25" customHeight="1" x14ac:dyDescent="0.2">
      <c r="A10" s="2" t="s">
        <v>85</v>
      </c>
      <c r="B10" s="100">
        <v>0.54545454545454541</v>
      </c>
      <c r="C10" s="100">
        <v>0.52941176470588236</v>
      </c>
      <c r="D10" s="106">
        <f>IF(AND(C10&gt;=0,B10&gt;=0),C10-B10," ")</f>
        <v>-1.6042780748663055E-2</v>
      </c>
      <c r="E10" s="107">
        <f>SUM('1- Ecart rémunération'!G16:G19)</f>
        <v>24</v>
      </c>
      <c r="F10" s="107">
        <f>SUM('1- Ecart rémunération'!H16:H19)</f>
        <v>17</v>
      </c>
      <c r="G10" s="20">
        <f>IF(AND(E10&gt;=10,F10&gt;=10),1,0)</f>
        <v>1</v>
      </c>
      <c r="H10" s="68">
        <f>G10*SUM(E10:F10)</f>
        <v>41</v>
      </c>
      <c r="I10" s="95">
        <f t="shared" si="0"/>
        <v>-2.7292697539219304E-3</v>
      </c>
    </row>
    <row r="11" spans="1:9" ht="23.25" customHeight="1" x14ac:dyDescent="0.2">
      <c r="A11" s="2" t="s">
        <v>86</v>
      </c>
      <c r="B11" s="100">
        <v>0.53333333333333333</v>
      </c>
      <c r="C11" s="100">
        <v>0.5641025641025641</v>
      </c>
      <c r="D11" s="106">
        <f>IF(AND(C11&gt;=0,B11&gt;=0),C11-B11," ")</f>
        <v>3.0769230769230771E-2</v>
      </c>
      <c r="E11" s="107">
        <f>SUM('1- Ecart rémunération'!G20:G23)</f>
        <v>30</v>
      </c>
      <c r="F11" s="107">
        <f>SUM('1- Ecart rémunération'!H20:H23)</f>
        <v>39</v>
      </c>
      <c r="G11" s="20">
        <f>IF(AND(E11&gt;=10,F11&gt;=10),1,0)</f>
        <v>1</v>
      </c>
      <c r="H11" s="68">
        <f>G11*SUM(E11:F11)</f>
        <v>69</v>
      </c>
      <c r="I11" s="95">
        <f t="shared" si="0"/>
        <v>8.8094478135971911E-3</v>
      </c>
    </row>
    <row r="12" spans="1:9" ht="23.25" customHeight="1" x14ac:dyDescent="0.2">
      <c r="A12" s="2" t="s">
        <v>87</v>
      </c>
      <c r="B12" s="100">
        <v>0.66666666666666663</v>
      </c>
      <c r="C12" s="100">
        <v>0.25</v>
      </c>
      <c r="D12" s="106">
        <f t="shared" ref="D12:D14" si="1">IF(AND(C12&gt;=0,B12&gt;=0),C12-B12," ")</f>
        <v>-0.41666666666666663</v>
      </c>
      <c r="E12" s="107">
        <f>SUM('1- Ecart rémunération'!G24:G27)</f>
        <v>3</v>
      </c>
      <c r="F12" s="107">
        <f>SUM('1- Ecart rémunération'!H24:H27)</f>
        <v>12</v>
      </c>
      <c r="G12" s="20">
        <f t="shared" ref="G12:G14" si="2">IF(AND(E12&gt;=10,F12&gt;=10),1,0)</f>
        <v>0</v>
      </c>
      <c r="H12" s="68">
        <f t="shared" ref="H12:H14" si="3">G12*SUM(E12:F12)</f>
        <v>0</v>
      </c>
      <c r="I12" s="95">
        <f t="shared" si="0"/>
        <v>0</v>
      </c>
    </row>
    <row r="13" spans="1:9" ht="23.25" customHeight="1" x14ac:dyDescent="0.2">
      <c r="A13" s="2" t="s">
        <v>88</v>
      </c>
      <c r="B13" s="100">
        <v>0.4</v>
      </c>
      <c r="C13" s="100">
        <v>0.47619047619047616</v>
      </c>
      <c r="D13" s="106">
        <f t="shared" si="1"/>
        <v>7.6190476190476142E-2</v>
      </c>
      <c r="E13" s="107">
        <f>SUM('1- Ecart rémunération'!G28:G31)</f>
        <v>15</v>
      </c>
      <c r="F13" s="107">
        <f>SUM('1- Ecart rémunération'!H28:H31)</f>
        <v>21</v>
      </c>
      <c r="G13" s="20">
        <f t="shared" si="2"/>
        <v>1</v>
      </c>
      <c r="H13" s="68">
        <f t="shared" si="3"/>
        <v>36</v>
      </c>
      <c r="I13" s="95">
        <f t="shared" si="0"/>
        <v>1.1381149970361581E-2</v>
      </c>
    </row>
    <row r="14" spans="1:9" ht="23.25" customHeight="1" x14ac:dyDescent="0.2">
      <c r="A14" s="2" t="s">
        <v>89</v>
      </c>
      <c r="B14" s="100">
        <v>0.5</v>
      </c>
      <c r="C14" s="100">
        <v>0.42105263157894735</v>
      </c>
      <c r="D14" s="106">
        <f t="shared" si="1"/>
        <v>-7.8947368421052655E-2</v>
      </c>
      <c r="E14" s="107">
        <f>SUM('1- Ecart rémunération'!G32:G35)</f>
        <v>24</v>
      </c>
      <c r="F14" s="107">
        <f>SUM('1- Ecart rémunération'!H32:H35)</f>
        <v>19</v>
      </c>
      <c r="G14" s="20">
        <f t="shared" si="2"/>
        <v>1</v>
      </c>
      <c r="H14" s="68">
        <f t="shared" si="3"/>
        <v>43</v>
      </c>
      <c r="I14" s="95">
        <f t="shared" si="0"/>
        <v>-1.4086044987988648E-2</v>
      </c>
    </row>
    <row r="15" spans="1:9" ht="34.5" customHeight="1" x14ac:dyDescent="0.2">
      <c r="A15" s="6" t="s">
        <v>30</v>
      </c>
      <c r="B15" s="103">
        <f>SUMPRODUCT(B9:B14,E9:E14)/SUM(E9:E14)</f>
        <v>0.54472727272727273</v>
      </c>
      <c r="C15" s="103">
        <f>(SUMPRODUCT(C9:C14,F9:F14)/SUM(F9:F14))</f>
        <v>0.46564885496183206</v>
      </c>
      <c r="D15" s="102">
        <f>(IF(AND(C15&gt;=0,B15&gt;=0),C15-B15," "))</f>
        <v>-7.9078417765440667E-2</v>
      </c>
      <c r="E15" s="67">
        <f>SUM(E9:E14)</f>
        <v>125</v>
      </c>
      <c r="F15" s="67">
        <f>SUM(F9:F14)</f>
        <v>131</v>
      </c>
      <c r="G15" s="5"/>
      <c r="H15" s="69">
        <f>SUM(H9:H14)</f>
        <v>241</v>
      </c>
      <c r="I15" s="97">
        <f>SUM(I9:I14)</f>
        <v>-5.3558905465357839E-2</v>
      </c>
    </row>
    <row r="16" spans="1:9" ht="23.25" customHeight="1" x14ac:dyDescent="0.3">
      <c r="A16" s="25" t="s">
        <v>51</v>
      </c>
      <c r="B16" s="21"/>
      <c r="C16" s="21"/>
      <c r="D16" s="22"/>
      <c r="E16" s="23"/>
      <c r="F16" s="23"/>
      <c r="G16" s="23"/>
      <c r="H16" s="23"/>
      <c r="I16" s="24"/>
    </row>
    <row r="18" spans="1:6" s="34" customFormat="1" ht="24" x14ac:dyDescent="0.2">
      <c r="A18" s="33" t="s">
        <v>16</v>
      </c>
      <c r="C18" s="37">
        <f>IFERROR(IF(AND(H15&gt;=40%*SUM(E15:F15),OR(B15&gt;0,C15&gt;0)),1,0),"#N/A")</f>
        <v>1</v>
      </c>
      <c r="D18" s="17" t="str">
        <f>IFERROR(IF(C18=1,"Il y a eu des augmentations et les effectifs valides représentent plus de 40% des effectifs totaux.",IF(H15&lt;40%*SUM(E15:F15),"Les effectifs valides représentent moins de 40% des effectifs totaux.",IF(AND(B15=0,C15=0),"Il n'y a pas eu d'augmentations."))),"")</f>
        <v>Il y a eu des augmentations et les effectifs valides représentent plus de 40% des effectifs totaux.</v>
      </c>
      <c r="F18" s="36"/>
    </row>
    <row r="19" spans="1:6" s="34" customFormat="1" ht="24" x14ac:dyDescent="0.2">
      <c r="A19" s="38" t="s">
        <v>79</v>
      </c>
      <c r="C19" s="41">
        <f>IF(C18=1,ABS(ROUND(100*I15,1)),IF(C18=0,"INCALCULABLE","#N/A"))</f>
        <v>5.4</v>
      </c>
      <c r="D19" s="17" t="str">
        <f>IF(AND(C18=1,I15&gt;=0.05%),"Un écart d'augmentations est constaté en faveur des hommes.",IF(AND(C18=1,I15&lt;=-0.05%),"Un écart d'augmentations est constaté en faveur des femmes.",IF(AND(C18=1,I15&gt;-0.05%,I15&lt;0.05%),"Les femmes et les hommes sont à parité","")))</f>
        <v>Un écart d'augmentations est constaté en faveur des femmes.</v>
      </c>
      <c r="F19" s="89"/>
    </row>
    <row r="20" spans="1:6" s="34" customFormat="1" ht="24" x14ac:dyDescent="0.2">
      <c r="A20" s="33" t="s">
        <v>34</v>
      </c>
      <c r="C20" s="42">
        <f>IF('1- Ecart rémunération'!D39=1,IF(AND('1- Ecart rémunération'!D41&lt;MAX(Barèmes!B5:B26), SIGN(I15)=-SIGN('1- Ecart rémunération'!K36)),MAX(Barèmes!E5:E8),VLOOKUP(C19,Barèmes!D5:E8,2)),VLOOKUP(C19,Barèmes!D5:E8,2))</f>
        <v>5</v>
      </c>
      <c r="D20" s="17" t="str">
        <f>IF('1- Ecart rémunération'!D39=1,IF(AND('1- Ecart rémunération'!D41&lt;MAX(Barèmes!B5:B26), SIGN(I15)=-SIGN('1- Ecart rémunération'!K36),C19&gt;=0.1),"L'écart d'augmentations réduit l'écart de rémunération. Tous les points sont accordés.",""),"")</f>
        <v/>
      </c>
      <c r="F20" s="36"/>
    </row>
    <row r="23" spans="1:6" ht="21" x14ac:dyDescent="0.2">
      <c r="A23" s="105" t="s">
        <v>81</v>
      </c>
    </row>
  </sheetData>
  <mergeCells count="7">
    <mergeCell ref="H7:H8"/>
    <mergeCell ref="I7:I8"/>
    <mergeCell ref="A7:A8"/>
    <mergeCell ref="B7:C7"/>
    <mergeCell ref="D7:D8"/>
    <mergeCell ref="E7:F7"/>
    <mergeCell ref="G7:G8"/>
  </mergeCells>
  <pageMargins left="0.7" right="0.7" top="0.75" bottom="0.75" header="0.3" footer="0.3"/>
  <pageSetup paperSize="9" scale="55" orientation="landscape" r:id="rId1"/>
  <ignoredErrors>
    <ignoredError sqref="E9:F14"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2"/>
  <sheetViews>
    <sheetView zoomScale="80" zoomScaleNormal="80" workbookViewId="0">
      <selection activeCell="I15" sqref="I15"/>
    </sheetView>
  </sheetViews>
  <sheetFormatPr baseColWidth="10" defaultColWidth="11.5" defaultRowHeight="15" x14ac:dyDescent="0.2"/>
  <cols>
    <col min="1" max="1" width="55" style="11" customWidth="1"/>
    <col min="2" max="3" width="21.6640625" style="11" customWidth="1"/>
    <col min="4" max="4" width="21.1640625" style="11" customWidth="1"/>
    <col min="5" max="6" width="16.83203125" style="11" customWidth="1"/>
    <col min="7" max="7" width="22.1640625" style="11" customWidth="1"/>
    <col min="8" max="8" width="14.6640625" style="11" customWidth="1"/>
    <col min="9" max="9" width="17.1640625" style="11" customWidth="1"/>
    <col min="10" max="10" width="9.5" style="11" customWidth="1"/>
    <col min="11" max="16384" width="11.5" style="11"/>
  </cols>
  <sheetData>
    <row r="1" spans="1:9" ht="33" x14ac:dyDescent="0.2">
      <c r="A1" s="10" t="s">
        <v>40</v>
      </c>
      <c r="C1" s="12"/>
    </row>
    <row r="3" spans="1:9" s="18" customFormat="1" ht="24" x14ac:dyDescent="0.3">
      <c r="A3" s="13" t="s">
        <v>55</v>
      </c>
    </row>
    <row r="4" spans="1:9" s="18" customFormat="1" ht="24" x14ac:dyDescent="0.3">
      <c r="A4" s="13" t="s">
        <v>36</v>
      </c>
    </row>
    <row r="5" spans="1:9" s="18" customFormat="1" ht="24" x14ac:dyDescent="0.3">
      <c r="A5" s="13" t="s">
        <v>13</v>
      </c>
    </row>
    <row r="7" spans="1:9" ht="74.25" customHeight="1" x14ac:dyDescent="0.2">
      <c r="A7" s="108" t="s">
        <v>18</v>
      </c>
      <c r="B7" s="108" t="s">
        <v>43</v>
      </c>
      <c r="C7" s="108"/>
      <c r="D7" s="108" t="s">
        <v>44</v>
      </c>
      <c r="E7" s="113" t="s">
        <v>32</v>
      </c>
      <c r="F7" s="114"/>
      <c r="G7" s="108" t="s">
        <v>78</v>
      </c>
      <c r="H7" s="108" t="s">
        <v>33</v>
      </c>
      <c r="I7" s="108" t="s">
        <v>26</v>
      </c>
    </row>
    <row r="8" spans="1:9" ht="25" x14ac:dyDescent="0.2">
      <c r="A8" s="108"/>
      <c r="B8" s="2" t="s">
        <v>21</v>
      </c>
      <c r="C8" s="2" t="s">
        <v>22</v>
      </c>
      <c r="D8" s="108"/>
      <c r="E8" s="2" t="s">
        <v>21</v>
      </c>
      <c r="F8" s="2" t="s">
        <v>22</v>
      </c>
      <c r="G8" s="108"/>
      <c r="H8" s="108"/>
      <c r="I8" s="108"/>
    </row>
    <row r="9" spans="1:9" ht="23.25" customHeight="1" x14ac:dyDescent="0.2">
      <c r="A9" s="2" t="s">
        <v>84</v>
      </c>
      <c r="B9" s="100">
        <v>0.20689655172413793</v>
      </c>
      <c r="C9" s="100">
        <v>0.21739130434782608</v>
      </c>
      <c r="D9" s="101">
        <f>IF(AND(C9&gt;=0,B9&gt;=0),C9-B9," ")</f>
        <v>1.0494752623688153E-2</v>
      </c>
      <c r="E9" s="66">
        <f>SUM('1- Ecart rémunération'!G12:G15)</f>
        <v>29</v>
      </c>
      <c r="F9" s="66">
        <f>SUM('1- Ecart rémunération'!H12:H15)</f>
        <v>23</v>
      </c>
      <c r="G9" s="20">
        <f>IF(AND(E9&gt;=10,F9&gt;=10),1,0)</f>
        <v>1</v>
      </c>
      <c r="H9" s="68">
        <f>G9*SUM(E9:F9)</f>
        <v>52</v>
      </c>
      <c r="I9" s="95">
        <f>IF(G9=1,D9*H9/H$15,0)</f>
        <v>2.2644279519991035E-3</v>
      </c>
    </row>
    <row r="10" spans="1:9" ht="23.25" customHeight="1" x14ac:dyDescent="0.2">
      <c r="A10" s="2" t="s">
        <v>85</v>
      </c>
      <c r="B10" s="100">
        <v>0.29166666666666669</v>
      </c>
      <c r="C10" s="100">
        <v>0.23529411764705882</v>
      </c>
      <c r="D10" s="101">
        <f t="shared" ref="D10:D11" si="0">IF(AND(C10&gt;=0,B10&gt;=0),C10-B10," ")</f>
        <v>-5.6372549019607865E-2</v>
      </c>
      <c r="E10" s="66">
        <f>SUM('1- Ecart rémunération'!G16:G19)</f>
        <v>24</v>
      </c>
      <c r="F10" s="66">
        <f>SUM('1- Ecart rémunération'!H16:H19)</f>
        <v>17</v>
      </c>
      <c r="G10" s="20">
        <f t="shared" ref="G10:G11" si="1">IF(AND(E10&gt;=10,F10&gt;=10),1,0)</f>
        <v>1</v>
      </c>
      <c r="H10" s="68">
        <f t="shared" ref="H10:H11" si="2">G10*SUM(E10:F10)</f>
        <v>41</v>
      </c>
      <c r="I10" s="95">
        <f t="shared" ref="I10:I11" si="3">IF(G10=1,D10*H10/H$15,0)</f>
        <v>-9.5903506630868156E-3</v>
      </c>
    </row>
    <row r="11" spans="1:9" ht="23.25" customHeight="1" x14ac:dyDescent="0.2">
      <c r="A11" s="2" t="s">
        <v>86</v>
      </c>
      <c r="B11" s="100">
        <v>0.13333333333333333</v>
      </c>
      <c r="C11" s="100">
        <v>0.12820512820512819</v>
      </c>
      <c r="D11" s="101">
        <f t="shared" si="0"/>
        <v>-5.1282051282051377E-3</v>
      </c>
      <c r="E11" s="66">
        <f>SUM('1- Ecart rémunération'!G20:G23)</f>
        <v>30</v>
      </c>
      <c r="F11" s="66">
        <f>SUM('1- Ecart rémunération'!H20:H23)</f>
        <v>39</v>
      </c>
      <c r="G11" s="20">
        <f t="shared" si="1"/>
        <v>1</v>
      </c>
      <c r="H11" s="68">
        <f t="shared" si="2"/>
        <v>69</v>
      </c>
      <c r="I11" s="95">
        <f t="shared" si="3"/>
        <v>-1.4682413022662011E-3</v>
      </c>
    </row>
    <row r="12" spans="1:9" ht="23.25" customHeight="1" x14ac:dyDescent="0.2">
      <c r="A12" s="2" t="s">
        <v>87</v>
      </c>
      <c r="B12" s="100">
        <v>0.33333333333333331</v>
      </c>
      <c r="C12" s="100">
        <v>8.3333333333333329E-2</v>
      </c>
      <c r="D12" s="101">
        <f t="shared" ref="D12:D14" si="4">IF(AND(C12&gt;=0,B12&gt;=0),C12-B12," ")</f>
        <v>-0.25</v>
      </c>
      <c r="E12" s="66">
        <f>SUM('1- Ecart rémunération'!G24:G27)</f>
        <v>3</v>
      </c>
      <c r="F12" s="66">
        <f>SUM('1- Ecart rémunération'!H24:H27)</f>
        <v>12</v>
      </c>
      <c r="G12" s="20">
        <f t="shared" ref="G12:G14" si="5">IF(AND(E12&gt;=10,F12&gt;=10),1,0)</f>
        <v>0</v>
      </c>
      <c r="H12" s="68">
        <f t="shared" ref="H12:H14" si="6">G12*SUM(E12:F12)</f>
        <v>0</v>
      </c>
      <c r="I12" s="95">
        <f>IF(G12=1,D12*H12/H$15,0)</f>
        <v>0</v>
      </c>
    </row>
    <row r="13" spans="1:9" ht="23.25" customHeight="1" x14ac:dyDescent="0.2">
      <c r="A13" s="2" t="s">
        <v>88</v>
      </c>
      <c r="B13" s="100">
        <v>0.13333333333333333</v>
      </c>
      <c r="C13" s="100">
        <v>9.5238095238095233E-2</v>
      </c>
      <c r="D13" s="101">
        <f t="shared" si="4"/>
        <v>-3.8095238095238099E-2</v>
      </c>
      <c r="E13" s="66">
        <f>SUM('1- Ecart rémunération'!G28:G31)</f>
        <v>15</v>
      </c>
      <c r="F13" s="66">
        <f>SUM('1- Ecart rémunération'!H28:H31)</f>
        <v>21</v>
      </c>
      <c r="G13" s="20">
        <f t="shared" si="5"/>
        <v>1</v>
      </c>
      <c r="H13" s="68">
        <f t="shared" si="6"/>
        <v>36</v>
      </c>
      <c r="I13" s="95">
        <f>IF(G13=1,D13*H13/H$15,0)</f>
        <v>-5.690574985180794E-3</v>
      </c>
    </row>
    <row r="14" spans="1:9" ht="23.25" customHeight="1" x14ac:dyDescent="0.2">
      <c r="A14" s="2" t="s">
        <v>89</v>
      </c>
      <c r="B14" s="100">
        <v>8.3333333333333329E-2</v>
      </c>
      <c r="C14" s="100">
        <v>0.26315789473684209</v>
      </c>
      <c r="D14" s="101">
        <f t="shared" si="4"/>
        <v>0.17982456140350878</v>
      </c>
      <c r="E14" s="66">
        <f>SUM('1- Ecart rémunération'!G32:G35)</f>
        <v>24</v>
      </c>
      <c r="F14" s="66">
        <f>SUM('1- Ecart rémunération'!H32:H35)</f>
        <v>19</v>
      </c>
      <c r="G14" s="20">
        <f t="shared" si="5"/>
        <v>1</v>
      </c>
      <c r="H14" s="68">
        <f t="shared" si="6"/>
        <v>43</v>
      </c>
      <c r="I14" s="95">
        <f>IF(G14=1,D14*H14/H$15,0)</f>
        <v>3.2084880250418578E-2</v>
      </c>
    </row>
    <row r="15" spans="1:9" ht="34.5" customHeight="1" x14ac:dyDescent="0.2">
      <c r="A15" s="6" t="s">
        <v>30</v>
      </c>
      <c r="B15" s="103">
        <f>SUMPRODUCT(B9:B14,E9:E14)/SUM(E9:E14)</f>
        <v>0.17599999999999999</v>
      </c>
      <c r="C15" s="103">
        <f>SUMPRODUCT(C9:C14,F9:F14)/SUM(F9:F14)</f>
        <v>0.16793893129770993</v>
      </c>
      <c r="D15" s="102">
        <f>IF(AND(C15&gt;=0,B15&gt;=0),C15-B15," ")</f>
        <v>-8.061068702290064E-3</v>
      </c>
      <c r="E15" s="67">
        <f>SUM(E9:E14)</f>
        <v>125</v>
      </c>
      <c r="F15" s="67">
        <f>SUM(F9:F14)</f>
        <v>131</v>
      </c>
      <c r="G15" s="5"/>
      <c r="H15" s="69">
        <f>SUM(H9:H14)</f>
        <v>241</v>
      </c>
      <c r="I15" s="97">
        <f>SUM(I9:I14)</f>
        <v>1.7600141251883871E-2</v>
      </c>
    </row>
    <row r="17" spans="1:6" s="34" customFormat="1" ht="24" x14ac:dyDescent="0.2">
      <c r="A17" s="33" t="s">
        <v>16</v>
      </c>
      <c r="C17" s="37">
        <f>IFERROR(IF(AND(H15&gt;=40%*SUM(E15:F15),OR(B15&gt;0,C15&gt;0)),1,0),"#N/A")</f>
        <v>1</v>
      </c>
      <c r="D17" s="17" t="str">
        <f>IFERROR(IF(C17=1,"Il y a eu des promotions et les effectifs valides représentent plus de 40 % des effectifs totaux.",IF(H15&lt;40%*SUM(E15:F15),"Les effectifs valides représentent moins de 40 % des effectifs totaux.",IF(AND(B15=0,C15=0),"Il n'y a pas eu de promotions."))),"")</f>
        <v>Il y a eu des promotions et les effectifs valides représentent plus de 40 % des effectifs totaux.</v>
      </c>
      <c r="F17" s="36"/>
    </row>
    <row r="18" spans="1:6" s="34" customFormat="1" ht="24" x14ac:dyDescent="0.2">
      <c r="A18" s="38" t="s">
        <v>79</v>
      </c>
      <c r="C18" s="41">
        <f>IF(C17=1,ABS(ROUND(100*I15,1)),IF(C17=0,"INCALCULABLE","#N/A"))</f>
        <v>1.8</v>
      </c>
      <c r="D18" s="17" t="str">
        <f>IF(AND(C17=1,I15&gt;=0.05%),"Un écart de promotions est constaté en faveur des hommes.",IF(AND(C17=1,I15&lt;=-0.05%),"Un écart de promotions est constaté en faveur des femmes.",IF(AND(C17=1,I15&gt;-0.05%,I15&lt;0.05%),"Les femmes et les hommes sont à parité","")))</f>
        <v>Un écart de promotions est constaté en faveur des hommes.</v>
      </c>
      <c r="F18" s="36"/>
    </row>
    <row r="19" spans="1:6" s="34" customFormat="1" ht="24" x14ac:dyDescent="0.2">
      <c r="A19" s="33" t="s">
        <v>38</v>
      </c>
      <c r="C19" s="42">
        <f>IF('1- Ecart rémunération'!D39=1,IF(AND('1- Ecart rémunération'!D41&lt;MAX(Barèmes!B5:B26), SIGN(I15)=-SIGN('1- Ecart rémunération'!K36)),MAX(Barèmes!H5:H8),VLOOKUP(C18,Barèmes!G5:H8,2)),VLOOKUP(C18,Barèmes!G5:H8,2))</f>
        <v>15</v>
      </c>
      <c r="D19" s="17" t="str">
        <f>IF('1- Ecart rémunération'!D39=1,IF(AND('1- Ecart rémunération'!D41&lt;MAX(Barèmes!B5:B26), SIGN(I15)=-SIGN('1- Ecart rémunération'!K36),C18&gt;=0.1),"L'écart de promotions réduit l'écart de rémunération. Tous les points sont accordés."," ")," ")</f>
        <v>L'écart de promotions réduit l'écart de rémunération. Tous les points sont accordés.</v>
      </c>
      <c r="F19" s="36"/>
    </row>
    <row r="22" spans="1:6" ht="21" x14ac:dyDescent="0.2">
      <c r="A22" s="105" t="s">
        <v>82</v>
      </c>
    </row>
  </sheetData>
  <mergeCells count="7">
    <mergeCell ref="I7:I8"/>
    <mergeCell ref="A7:A8"/>
    <mergeCell ref="B7:C7"/>
    <mergeCell ref="D7:D8"/>
    <mergeCell ref="E7:F7"/>
    <mergeCell ref="G7:G8"/>
    <mergeCell ref="H7:H8"/>
  </mergeCells>
  <pageMargins left="0.7" right="0.7" top="0.75" bottom="0.75" header="0.3" footer="0.3"/>
  <pageSetup paperSize="9" scale="55" orientation="landscape" r:id="rId1"/>
  <ignoredErrors>
    <ignoredError sqref="C19" evalError="1"/>
    <ignoredError sqref="E12:F14 E9:F9"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18"/>
  <sheetViews>
    <sheetView zoomScale="80" zoomScaleNormal="80" workbookViewId="0">
      <selection activeCell="A10" sqref="A10:D10"/>
    </sheetView>
  </sheetViews>
  <sheetFormatPr baseColWidth="10" defaultColWidth="11.5" defaultRowHeight="15" x14ac:dyDescent="0.2"/>
  <cols>
    <col min="1" max="2" width="35.5" style="11" customWidth="1"/>
    <col min="3" max="3" width="24.5" style="11" customWidth="1"/>
    <col min="4" max="4" width="19.33203125" style="11" customWidth="1"/>
    <col min="5" max="5" width="9.5" style="11" customWidth="1"/>
    <col min="6" max="16384" width="11.5" style="11"/>
  </cols>
  <sheetData>
    <row r="1" spans="1:14" ht="33" x14ac:dyDescent="0.2">
      <c r="A1" s="27" t="s">
        <v>41</v>
      </c>
      <c r="B1" s="26"/>
      <c r="C1" s="26"/>
      <c r="D1" s="26"/>
      <c r="E1" s="26"/>
      <c r="F1" s="26"/>
      <c r="G1" s="26"/>
      <c r="H1" s="26"/>
      <c r="I1" s="26"/>
      <c r="J1" s="26"/>
      <c r="K1" s="26"/>
      <c r="L1" s="26"/>
      <c r="M1" s="26"/>
    </row>
    <row r="3" spans="1:14" s="18" customFormat="1" ht="24" x14ac:dyDescent="0.3">
      <c r="A3" s="13" t="s">
        <v>27</v>
      </c>
    </row>
    <row r="4" spans="1:14" s="18" customFormat="1" ht="24" x14ac:dyDescent="0.3">
      <c r="A4" s="13" t="s">
        <v>13</v>
      </c>
    </row>
    <row r="6" spans="1:14" ht="57" customHeight="1" x14ac:dyDescent="0.2">
      <c r="A6" s="108" t="s">
        <v>45</v>
      </c>
      <c r="B6" s="108"/>
      <c r="C6" s="108" t="s">
        <v>48</v>
      </c>
    </row>
    <row r="7" spans="1:14" ht="25" x14ac:dyDescent="0.2">
      <c r="A7" s="9" t="s">
        <v>46</v>
      </c>
      <c r="B7" s="2" t="s">
        <v>47</v>
      </c>
      <c r="C7" s="108"/>
    </row>
    <row r="8" spans="1:14" ht="36" customHeight="1" x14ac:dyDescent="0.2">
      <c r="A8" s="7">
        <v>8</v>
      </c>
      <c r="B8" s="7">
        <v>8</v>
      </c>
      <c r="C8" s="90">
        <f>IF(C12=1,IF(AND(B8&gt;=0,B8&lt;=A8),B8/A8,"ERREUR"),IF(AND(A8=0,B8&gt;0),"ERREUR",""))</f>
        <v>1</v>
      </c>
    </row>
    <row r="9" spans="1:14" ht="128.25" customHeight="1" x14ac:dyDescent="0.2">
      <c r="A9" s="115" t="s">
        <v>49</v>
      </c>
      <c r="B9" s="116"/>
      <c r="C9" s="116"/>
      <c r="D9" s="117"/>
    </row>
    <row r="10" spans="1:14" ht="49.5" customHeight="1" x14ac:dyDescent="0.2">
      <c r="A10" s="118" t="s">
        <v>50</v>
      </c>
      <c r="B10" s="119"/>
      <c r="C10" s="119"/>
      <c r="D10" s="119"/>
    </row>
    <row r="12" spans="1:14" ht="24" x14ac:dyDescent="0.3">
      <c r="A12" s="33" t="s">
        <v>16</v>
      </c>
      <c r="B12" s="34"/>
      <c r="C12" s="35">
        <f>IF(ISBLANK(A8),"#N/A",IF(A8&gt;0,1,0))</f>
        <v>1</v>
      </c>
      <c r="D12" s="17" t="str">
        <f>IF(C12=1,"Il y a eu au moins un retour de congé maternité avec augmentation pendant ce congé.",IF(AND(A8&lt;&gt;"",A8=0,ISBLANK(B8)),"Il n'y a pas eu de retour de congé maternité pendant la période de référence.",IF(AND(A8&lt;&gt;"",B8&lt;&gt;"",A8=0,B8=0),"Il n'y a pas eu d'augmentations salariales pendant la durée du ou des congés","")))</f>
        <v>Il y a eu au moins un retour de congé maternité avec augmentation pendant ce congé.</v>
      </c>
      <c r="E12" s="19"/>
    </row>
    <row r="13" spans="1:14" ht="24" x14ac:dyDescent="0.25">
      <c r="A13" s="120" t="s">
        <v>70</v>
      </c>
      <c r="B13" s="120"/>
      <c r="C13" s="30">
        <f>IF(C12=1,ABS(ROUND(100*C8,1)),IF(C12=0,"INCALCULABLE","#N/A"))</f>
        <v>100</v>
      </c>
      <c r="D13" s="28"/>
      <c r="E13" s="16"/>
    </row>
    <row r="14" spans="1:14" ht="24" x14ac:dyDescent="0.2">
      <c r="A14" s="32" t="s">
        <v>38</v>
      </c>
      <c r="B14" s="29"/>
      <c r="C14" s="31">
        <f>VLOOKUP(C13,Barèmes!J5:K6,2)</f>
        <v>15</v>
      </c>
      <c r="D14" s="17" t="str">
        <f>IFERROR(IF(C14=0,"Les salariés de retour de congé maternité ou d’adoption, durant lequel des augmentations sont intervenues, n’ont pas tous été augmentés. Aucun point n’est accordé.",IF(C14=MAX(Barèmes!K5:K6),"Tous les salariés de retour de congé maternité ou d’adoption, durant lequel des augmentations sont intervenues, ont été augmentés. Tous les points sont accordés.",)),"")</f>
        <v>Tous les salariés de retour de congé maternité ou d’adoption, durant lequel des augmentations sont intervenues, ont été augmentés. Tous les points sont accordés.</v>
      </c>
      <c r="E14" s="17"/>
      <c r="F14" s="17"/>
      <c r="G14" s="17"/>
      <c r="H14" s="17"/>
      <c r="I14" s="17"/>
      <c r="J14" s="17"/>
      <c r="K14" s="17"/>
      <c r="L14" s="17"/>
      <c r="M14" s="17"/>
      <c r="N14" s="17"/>
    </row>
    <row r="17" spans="1:4" ht="19.5" customHeight="1" x14ac:dyDescent="0.2">
      <c r="A17" s="84" t="s">
        <v>67</v>
      </c>
      <c r="B17" s="85"/>
      <c r="C17" s="85"/>
      <c r="D17" s="85"/>
    </row>
    <row r="18" spans="1:4" ht="19.5" customHeight="1" x14ac:dyDescent="0.2">
      <c r="A18" s="84" t="s">
        <v>68</v>
      </c>
      <c r="B18" s="84"/>
      <c r="C18" s="84"/>
      <c r="D18" s="84"/>
    </row>
  </sheetData>
  <mergeCells count="5">
    <mergeCell ref="A9:D9"/>
    <mergeCell ref="A10:D10"/>
    <mergeCell ref="A13:B13"/>
    <mergeCell ref="C6:C7"/>
    <mergeCell ref="A6:B6"/>
  </mergeCells>
  <pageMargins left="0.7" right="0.7" top="0.75" bottom="0.75" header="0.3" footer="0.3"/>
  <pageSetup paperSize="9" scale="60" orientation="landscape" r:id="rId1"/>
  <ignoredErrors>
    <ignoredError sqref="C14" evalError="1"/>
    <ignoredError sqref="C12:D12" emptyCellReferenc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12"/>
  <sheetViews>
    <sheetView zoomScale="80" zoomScaleNormal="80" workbookViewId="0">
      <selection activeCell="F22" sqref="F22"/>
    </sheetView>
  </sheetViews>
  <sheetFormatPr baseColWidth="10" defaultColWidth="11.5" defaultRowHeight="15" x14ac:dyDescent="0.2"/>
  <cols>
    <col min="1" max="3" width="25.5" style="11" customWidth="1"/>
    <col min="4" max="4" width="27.5" style="11" customWidth="1"/>
    <col min="5" max="5" width="26.83203125" style="11" customWidth="1"/>
    <col min="6" max="6" width="9.5" style="11" customWidth="1"/>
    <col min="7" max="16384" width="11.5" style="11"/>
  </cols>
  <sheetData>
    <row r="1" spans="1:5" ht="33" x14ac:dyDescent="0.2">
      <c r="A1" s="10" t="s">
        <v>42</v>
      </c>
      <c r="C1" s="12"/>
      <c r="D1" s="12"/>
    </row>
    <row r="3" spans="1:5" s="18" customFormat="1" ht="24" x14ac:dyDescent="0.3">
      <c r="A3" s="13" t="s">
        <v>56</v>
      </c>
    </row>
    <row r="4" spans="1:5" s="18" customFormat="1" ht="24" x14ac:dyDescent="0.3">
      <c r="A4" s="13" t="s">
        <v>13</v>
      </c>
    </row>
    <row r="6" spans="1:5" ht="54" customHeight="1" x14ac:dyDescent="0.2">
      <c r="A6" s="113" t="s">
        <v>6</v>
      </c>
      <c r="B6" s="123"/>
      <c r="C6" s="114"/>
      <c r="D6" s="108" t="s">
        <v>53</v>
      </c>
    </row>
    <row r="7" spans="1:5" ht="25" x14ac:dyDescent="0.2">
      <c r="A7" s="2" t="s">
        <v>21</v>
      </c>
      <c r="B7" s="2" t="s">
        <v>22</v>
      </c>
      <c r="C7" s="2" t="s">
        <v>54</v>
      </c>
      <c r="D7" s="108"/>
    </row>
    <row r="8" spans="1:5" ht="45" customHeight="1" x14ac:dyDescent="0.2">
      <c r="A8" s="7">
        <v>2</v>
      </c>
      <c r="B8" s="7">
        <v>8</v>
      </c>
      <c r="C8" s="8">
        <f>A8+B8</f>
        <v>10</v>
      </c>
      <c r="D8" s="50">
        <f>IF(C8=10,MIN(A8,B8),"TOTAL différent de 10")</f>
        <v>2</v>
      </c>
    </row>
    <row r="9" spans="1:5" ht="23.25" customHeight="1" x14ac:dyDescent="0.3">
      <c r="A9" s="25" t="s">
        <v>62</v>
      </c>
      <c r="B9" s="21"/>
      <c r="C9" s="21"/>
      <c r="D9" s="21"/>
      <c r="E9" s="22"/>
    </row>
    <row r="11" spans="1:5" ht="43.5" customHeight="1" x14ac:dyDescent="0.2">
      <c r="A11" s="121" t="s">
        <v>77</v>
      </c>
      <c r="B11" s="122"/>
      <c r="C11" s="51">
        <f>IF(D8&lt;&gt;"TOTAL différent de 10",D8,"#N/A")</f>
        <v>2</v>
      </c>
      <c r="D11" s="17" t="str">
        <f>IF(C8=10,IF(A8&gt;B8,"Les femmes sont sur-représentées parmi les salariés les mieux rémunérés.",IF(B8&gt;A8,"Les hommes sont sur-représentés parmi les salariés les mieux rémunérés.","Les hommes et les femmes sont à parité parmi les salariés les mieux rémunérés."))," ")</f>
        <v>Les hommes sont sur-représentés parmi les salariés les mieux rémunérés.</v>
      </c>
    </row>
    <row r="12" spans="1:5" ht="43.5" customHeight="1" x14ac:dyDescent="0.2">
      <c r="A12" s="32" t="s">
        <v>52</v>
      </c>
      <c r="B12" s="52"/>
      <c r="C12" s="42">
        <f>VLOOKUP(C11,Barèmes!M5:N7,2)</f>
        <v>5</v>
      </c>
    </row>
  </sheetData>
  <mergeCells count="3">
    <mergeCell ref="D6:D7"/>
    <mergeCell ref="A11:B11"/>
    <mergeCell ref="A6:C6"/>
  </mergeCells>
  <pageMargins left="0.7" right="0.7" top="0.75" bottom="0.75" header="0.3" footer="0.3"/>
  <pageSetup paperSize="9" scale="6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3"/>
  <sheetViews>
    <sheetView zoomScale="80" zoomScaleNormal="80" workbookViewId="0">
      <selection activeCell="E15" sqref="E15"/>
    </sheetView>
  </sheetViews>
  <sheetFormatPr baseColWidth="10" defaultColWidth="11.5" defaultRowHeight="15" x14ac:dyDescent="0.2"/>
  <cols>
    <col min="1" max="1" width="57.5" style="11" customWidth="1"/>
    <col min="2" max="4" width="23.33203125" style="11" customWidth="1"/>
    <col min="5" max="5" width="27.6640625" style="11" customWidth="1"/>
    <col min="6" max="6" width="30.6640625" style="11" customWidth="1"/>
    <col min="7" max="16384" width="11.5" style="11"/>
  </cols>
  <sheetData>
    <row r="1" spans="1:6" ht="35" x14ac:dyDescent="0.2">
      <c r="A1" s="55" t="s">
        <v>61</v>
      </c>
    </row>
    <row r="3" spans="1:6" s="14" customFormat="1" ht="24" x14ac:dyDescent="0.3">
      <c r="A3" s="56" t="s">
        <v>73</v>
      </c>
      <c r="B3" s="18"/>
    </row>
    <row r="5" spans="1:6" ht="59.25" customHeight="1" thickBot="1" x14ac:dyDescent="0.25">
      <c r="A5" s="1"/>
      <c r="B5" s="57" t="s">
        <v>57</v>
      </c>
      <c r="C5" s="57" t="s">
        <v>63</v>
      </c>
      <c r="D5" s="57" t="s">
        <v>58</v>
      </c>
      <c r="E5" s="57" t="s">
        <v>59</v>
      </c>
      <c r="F5" s="57" t="s">
        <v>60</v>
      </c>
    </row>
    <row r="6" spans="1:6" ht="42" customHeight="1" thickTop="1" thickBot="1" x14ac:dyDescent="0.25">
      <c r="A6" s="58" t="s">
        <v>74</v>
      </c>
      <c r="B6" s="70">
        <f>'1- Ecart rémunération'!D39</f>
        <v>1</v>
      </c>
      <c r="C6" s="92">
        <f>'1- Ecart rémunération'!D40</f>
        <v>4</v>
      </c>
      <c r="D6" s="70">
        <f>IF(B6=1,'1- Ecart rémunération'!D41,IF(B6=0,"","#N/A"))</f>
        <v>36</v>
      </c>
      <c r="E6" s="71">
        <v>40</v>
      </c>
      <c r="F6" s="71">
        <f>B6*E6</f>
        <v>40</v>
      </c>
    </row>
    <row r="7" spans="1:6" ht="42" customHeight="1" thickBot="1" x14ac:dyDescent="0.25">
      <c r="A7" s="59" t="s">
        <v>75</v>
      </c>
      <c r="B7" s="72">
        <f>'2- Ecart augmentations'!C18</f>
        <v>1</v>
      </c>
      <c r="C7" s="93">
        <f>'2- Ecart augmentations'!C19</f>
        <v>5.4</v>
      </c>
      <c r="D7" s="72">
        <f>IF(B7=1,'2- Ecart augmentations'!C20,IF(B7=0,"","#N/A"))</f>
        <v>5</v>
      </c>
      <c r="E7" s="72">
        <v>20</v>
      </c>
      <c r="F7" s="72">
        <f t="shared" ref="F7:F10" si="0">B7*E7</f>
        <v>20</v>
      </c>
    </row>
    <row r="8" spans="1:6" ht="42" customHeight="1" thickTop="1" thickBot="1" x14ac:dyDescent="0.25">
      <c r="A8" s="60" t="s">
        <v>76</v>
      </c>
      <c r="B8" s="73">
        <f>'3- Ecart promotions'!C17</f>
        <v>1</v>
      </c>
      <c r="C8" s="94">
        <f>'3- Ecart promotions'!C18</f>
        <v>1.8</v>
      </c>
      <c r="D8" s="70">
        <f>IF(B8=1,'3- Ecart promotions'!C19,IF(B8=0,"","#N/A"))</f>
        <v>15</v>
      </c>
      <c r="E8" s="74">
        <v>15</v>
      </c>
      <c r="F8" s="74">
        <f>B8*E8</f>
        <v>15</v>
      </c>
    </row>
    <row r="9" spans="1:6" ht="66" customHeight="1" thickBot="1" x14ac:dyDescent="0.25">
      <c r="A9" s="59" t="s">
        <v>41</v>
      </c>
      <c r="B9" s="72">
        <f>'4- Retour maternité'!C12</f>
        <v>1</v>
      </c>
      <c r="C9" s="75">
        <f>'4- Retour maternité'!C13</f>
        <v>100</v>
      </c>
      <c r="D9" s="72">
        <f>IF(B9=1,'4- Retour maternité'!C14,IF(B9=0,"","#N/A"))</f>
        <v>15</v>
      </c>
      <c r="E9" s="72">
        <v>15</v>
      </c>
      <c r="F9" s="72">
        <f t="shared" si="0"/>
        <v>15</v>
      </c>
    </row>
    <row r="10" spans="1:6" ht="60" customHeight="1" x14ac:dyDescent="0.2">
      <c r="A10" s="61" t="s">
        <v>42</v>
      </c>
      <c r="B10" s="76">
        <v>1</v>
      </c>
      <c r="C10" s="76">
        <f>'5- 10 + hautes rémunérations'!C11</f>
        <v>2</v>
      </c>
      <c r="D10" s="76">
        <f>'5- 10 + hautes rémunérations'!C12</f>
        <v>5</v>
      </c>
      <c r="E10" s="77">
        <v>10</v>
      </c>
      <c r="F10" s="77">
        <f t="shared" si="0"/>
        <v>10</v>
      </c>
    </row>
    <row r="11" spans="1:6" ht="42" customHeight="1" x14ac:dyDescent="0.2">
      <c r="A11" s="62" t="s">
        <v>12</v>
      </c>
      <c r="B11" s="78"/>
      <c r="C11" s="78"/>
      <c r="D11" s="79">
        <f>SUM(D6:D10)</f>
        <v>76</v>
      </c>
      <c r="E11" s="80"/>
      <c r="F11" s="80">
        <f>SUM(F6:F10)</f>
        <v>100</v>
      </c>
    </row>
    <row r="12" spans="1:6" ht="42" customHeight="1" x14ac:dyDescent="0.2">
      <c r="A12" s="63" t="s">
        <v>11</v>
      </c>
      <c r="B12" s="64"/>
      <c r="C12" s="64"/>
      <c r="D12" s="65">
        <f>IF(F11&gt;=75,D11*100/F11,"INCALCULABLE")</f>
        <v>76</v>
      </c>
      <c r="E12" s="65"/>
      <c r="F12" s="65">
        <v>100</v>
      </c>
    </row>
    <row r="13" spans="1:6" ht="21" x14ac:dyDescent="0.25">
      <c r="A13" s="16"/>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9"/>
  <sheetViews>
    <sheetView workbookViewId="0">
      <selection activeCell="J12" sqref="J12"/>
    </sheetView>
  </sheetViews>
  <sheetFormatPr baseColWidth="10" defaultColWidth="11.5" defaultRowHeight="15" x14ac:dyDescent="0.2"/>
  <cols>
    <col min="1" max="2" width="13.6640625" style="11" customWidth="1"/>
    <col min="3" max="3" width="4.33203125" style="11" customWidth="1"/>
    <col min="4" max="5" width="13.6640625" style="11" customWidth="1"/>
    <col min="6" max="6" width="4.33203125" style="11" customWidth="1"/>
    <col min="7" max="8" width="13.6640625" style="11" customWidth="1"/>
    <col min="9" max="9" width="4.33203125" style="11" customWidth="1"/>
    <col min="10" max="11" width="15.6640625" style="11" customWidth="1"/>
    <col min="12" max="12" width="4.33203125" style="11" customWidth="1"/>
    <col min="13" max="14" width="15.6640625" style="11" customWidth="1"/>
    <col min="15" max="16384" width="11.5" style="11"/>
  </cols>
  <sheetData>
    <row r="1" spans="1:14" ht="21" x14ac:dyDescent="0.25">
      <c r="A1" s="47" t="s">
        <v>72</v>
      </c>
    </row>
    <row r="3" spans="1:14" s="48" customFormat="1" ht="78.75" customHeight="1" x14ac:dyDescent="0.2">
      <c r="A3" s="124" t="s">
        <v>66</v>
      </c>
      <c r="B3" s="124"/>
      <c r="D3" s="124" t="s">
        <v>64</v>
      </c>
      <c r="E3" s="124"/>
      <c r="G3" s="124" t="s">
        <v>65</v>
      </c>
      <c r="H3" s="124"/>
      <c r="J3" s="124" t="s">
        <v>71</v>
      </c>
      <c r="K3" s="124"/>
      <c r="M3" s="124" t="s">
        <v>7</v>
      </c>
      <c r="N3" s="124"/>
    </row>
    <row r="4" spans="1:14" s="49" customFormat="1" x14ac:dyDescent="0.2">
      <c r="A4" s="81" t="s">
        <v>4</v>
      </c>
      <c r="B4" s="81" t="s">
        <v>5</v>
      </c>
      <c r="D4" s="81" t="s">
        <v>4</v>
      </c>
      <c r="E4" s="81" t="s">
        <v>5</v>
      </c>
      <c r="G4" s="81" t="s">
        <v>4</v>
      </c>
      <c r="H4" s="81" t="s">
        <v>5</v>
      </c>
      <c r="J4" s="81" t="s">
        <v>4</v>
      </c>
      <c r="K4" s="81" t="s">
        <v>5</v>
      </c>
      <c r="M4" s="81" t="s">
        <v>4</v>
      </c>
      <c r="N4" s="81" t="s">
        <v>5</v>
      </c>
    </row>
    <row r="5" spans="1:14" x14ac:dyDescent="0.2">
      <c r="A5" s="82">
        <v>0</v>
      </c>
      <c r="B5" s="81">
        <v>40</v>
      </c>
      <c r="D5" s="82">
        <v>0</v>
      </c>
      <c r="E5" s="81">
        <v>20</v>
      </c>
      <c r="G5" s="82">
        <v>0</v>
      </c>
      <c r="H5" s="81">
        <v>15</v>
      </c>
      <c r="J5" s="83">
        <v>0</v>
      </c>
      <c r="K5" s="81">
        <v>0</v>
      </c>
      <c r="M5" s="83">
        <v>0</v>
      </c>
      <c r="N5" s="81">
        <v>0</v>
      </c>
    </row>
    <row r="6" spans="1:14" x14ac:dyDescent="0.2">
      <c r="A6" s="82">
        <v>0.05</v>
      </c>
      <c r="B6" s="81">
        <v>39</v>
      </c>
      <c r="D6" s="82">
        <v>2.0499999999999998</v>
      </c>
      <c r="E6" s="81">
        <v>10</v>
      </c>
      <c r="G6" s="82">
        <v>2.0499999999999998</v>
      </c>
      <c r="H6" s="81">
        <v>10</v>
      </c>
      <c r="J6" s="83">
        <v>100</v>
      </c>
      <c r="K6" s="81">
        <v>15</v>
      </c>
      <c r="M6" s="83">
        <v>2</v>
      </c>
      <c r="N6" s="81">
        <v>5</v>
      </c>
    </row>
    <row r="7" spans="1:14" x14ac:dyDescent="0.2">
      <c r="A7" s="82">
        <v>1.05</v>
      </c>
      <c r="B7" s="81">
        <v>38</v>
      </c>
      <c r="D7" s="82">
        <v>5.05</v>
      </c>
      <c r="E7" s="81">
        <v>5</v>
      </c>
      <c r="G7" s="82">
        <v>5.05</v>
      </c>
      <c r="H7" s="81">
        <v>5</v>
      </c>
      <c r="M7" s="83">
        <v>4</v>
      </c>
      <c r="N7" s="81">
        <v>10</v>
      </c>
    </row>
    <row r="8" spans="1:14" x14ac:dyDescent="0.2">
      <c r="A8" s="82">
        <v>2.0499999999999998</v>
      </c>
      <c r="B8" s="81">
        <v>37</v>
      </c>
      <c r="D8" s="82">
        <v>10.050000000000001</v>
      </c>
      <c r="E8" s="81">
        <v>0</v>
      </c>
      <c r="G8" s="82">
        <v>10.050000000000001</v>
      </c>
      <c r="H8" s="81">
        <v>0</v>
      </c>
      <c r="M8" s="45"/>
    </row>
    <row r="9" spans="1:14" x14ac:dyDescent="0.2">
      <c r="A9" s="82">
        <v>3.05</v>
      </c>
      <c r="B9" s="81">
        <v>36</v>
      </c>
      <c r="D9" s="44"/>
    </row>
    <row r="10" spans="1:14" x14ac:dyDescent="0.2">
      <c r="A10" s="82">
        <v>4.05</v>
      </c>
      <c r="B10" s="81">
        <v>35</v>
      </c>
      <c r="D10" s="44"/>
    </row>
    <row r="11" spans="1:14" x14ac:dyDescent="0.2">
      <c r="A11" s="82">
        <v>5.05</v>
      </c>
      <c r="B11" s="81">
        <v>34</v>
      </c>
      <c r="D11" s="44"/>
    </row>
    <row r="12" spans="1:14" x14ac:dyDescent="0.2">
      <c r="A12" s="82">
        <v>6.05</v>
      </c>
      <c r="B12" s="81">
        <v>33</v>
      </c>
      <c r="D12" s="44"/>
    </row>
    <row r="13" spans="1:14" x14ac:dyDescent="0.2">
      <c r="A13" s="82">
        <v>7.05</v>
      </c>
      <c r="B13" s="81">
        <v>31</v>
      </c>
      <c r="D13" s="44"/>
    </row>
    <row r="14" spans="1:14" x14ac:dyDescent="0.2">
      <c r="A14" s="82">
        <v>8.0500000000000007</v>
      </c>
      <c r="B14" s="81">
        <v>29</v>
      </c>
      <c r="D14" s="44"/>
    </row>
    <row r="15" spans="1:14" x14ac:dyDescent="0.2">
      <c r="A15" s="82">
        <v>9.0500000000000007</v>
      </c>
      <c r="B15" s="81">
        <v>27</v>
      </c>
      <c r="D15" s="44"/>
    </row>
    <row r="16" spans="1:14" x14ac:dyDescent="0.2">
      <c r="A16" s="82">
        <v>10.050000000000001</v>
      </c>
      <c r="B16" s="81">
        <v>25</v>
      </c>
      <c r="D16" s="44"/>
    </row>
    <row r="17" spans="1:4" x14ac:dyDescent="0.2">
      <c r="A17" s="82">
        <v>11.05</v>
      </c>
      <c r="B17" s="81">
        <v>23</v>
      </c>
      <c r="D17" s="44"/>
    </row>
    <row r="18" spans="1:4" x14ac:dyDescent="0.2">
      <c r="A18" s="82">
        <v>12.05</v>
      </c>
      <c r="B18" s="81">
        <v>21</v>
      </c>
      <c r="D18" s="44"/>
    </row>
    <row r="19" spans="1:4" x14ac:dyDescent="0.2">
      <c r="A19" s="82">
        <v>13.05</v>
      </c>
      <c r="B19" s="81">
        <v>19</v>
      </c>
      <c r="D19" s="44"/>
    </row>
    <row r="20" spans="1:4" x14ac:dyDescent="0.2">
      <c r="A20" s="82">
        <v>14.05</v>
      </c>
      <c r="B20" s="81">
        <v>17</v>
      </c>
      <c r="D20" s="44"/>
    </row>
    <row r="21" spans="1:4" x14ac:dyDescent="0.2">
      <c r="A21" s="82">
        <v>15.05</v>
      </c>
      <c r="B21" s="81">
        <v>14</v>
      </c>
      <c r="D21" s="44"/>
    </row>
    <row r="22" spans="1:4" x14ac:dyDescent="0.2">
      <c r="A22" s="82">
        <v>16.05</v>
      </c>
      <c r="B22" s="81">
        <v>11</v>
      </c>
      <c r="D22" s="44"/>
    </row>
    <row r="23" spans="1:4" x14ac:dyDescent="0.2">
      <c r="A23" s="82">
        <v>17.05</v>
      </c>
      <c r="B23" s="81">
        <v>8</v>
      </c>
      <c r="D23" s="44"/>
    </row>
    <row r="24" spans="1:4" x14ac:dyDescent="0.2">
      <c r="A24" s="82">
        <v>18.05</v>
      </c>
      <c r="B24" s="81">
        <v>5</v>
      </c>
      <c r="D24" s="44"/>
    </row>
    <row r="25" spans="1:4" x14ac:dyDescent="0.2">
      <c r="A25" s="82">
        <v>19.05</v>
      </c>
      <c r="B25" s="81">
        <v>2</v>
      </c>
      <c r="D25" s="44"/>
    </row>
    <row r="26" spans="1:4" x14ac:dyDescent="0.2">
      <c r="A26" s="82">
        <v>20.05</v>
      </c>
      <c r="B26" s="81">
        <v>0</v>
      </c>
    </row>
    <row r="27" spans="1:4" x14ac:dyDescent="0.2">
      <c r="A27" s="46"/>
    </row>
    <row r="28" spans="1:4" x14ac:dyDescent="0.2">
      <c r="A28" s="46"/>
    </row>
    <row r="29" spans="1:4" x14ac:dyDescent="0.2">
      <c r="A29" s="46"/>
    </row>
  </sheetData>
  <mergeCells count="5">
    <mergeCell ref="A3:B3"/>
    <mergeCell ref="D3:E3"/>
    <mergeCell ref="G3:H3"/>
    <mergeCell ref="J3:K3"/>
    <mergeCell ref="M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7</vt:i4>
      </vt:variant>
      <vt:variant>
        <vt:lpstr>Plages nommées</vt:lpstr>
      </vt:variant>
      <vt:variant>
        <vt:i4>5</vt:i4>
      </vt:variant>
    </vt:vector>
  </HeadingPairs>
  <TitlesOfParts>
    <vt:vector size="12" baseType="lpstr">
      <vt:lpstr>1- Ecart rémunération</vt:lpstr>
      <vt:lpstr>2- Ecart augmentations</vt:lpstr>
      <vt:lpstr>3- Ecart promotions</vt:lpstr>
      <vt:lpstr>4- Retour maternité</vt:lpstr>
      <vt:lpstr>5- 10 + hautes rémunérations</vt:lpstr>
      <vt:lpstr>Index</vt:lpstr>
      <vt:lpstr>Barèmes</vt:lpstr>
      <vt:lpstr>'1- Ecart rémunération'!Zone_d_impression</vt:lpstr>
      <vt:lpstr>'2- Ecart augmentations'!Zone_d_impression</vt:lpstr>
      <vt:lpstr>'3- Ecart promotions'!Zone_d_impression</vt:lpstr>
      <vt:lpstr>'4- Retour maternité'!Zone_d_impression</vt:lpstr>
      <vt:lpstr>'5- 10 + hautes rémunérations'!Zone_d_impression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Beatrice DRION</dc:creator>
  <cp:lastModifiedBy>Jules Rouhling</cp:lastModifiedBy>
  <cp:lastPrinted>2018-12-21T13:20:43Z</cp:lastPrinted>
  <dcterms:created xsi:type="dcterms:W3CDTF">2018-06-27T07:13:52Z</dcterms:created>
  <dcterms:modified xsi:type="dcterms:W3CDTF">2024-02-01T15:28:35Z</dcterms:modified>
</cp:coreProperties>
</file>