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DUM-PC\Documents\Hammer EI a MP Alt 1 (19-08-2019)\"/>
    </mc:Choice>
  </mc:AlternateContent>
  <xr:revisionPtr revIDLastSave="0" documentId="11_95513A45CA6B8317965CB56A3F3E3B4BFC178053" xr6:coauthVersionLast="45" xr6:coauthVersionMax="45" xr10:uidLastSave="{00000000-0000-0000-0000-000000000000}"/>
  <bookViews>
    <workbookView xWindow="0" yWindow="0" windowWidth="21600" windowHeight="9135" tabRatio="828" xr2:uid="{00000000-000D-0000-FFFF-FFFF00000000}"/>
  </bookViews>
  <sheets>
    <sheet name="MC Cañerias 710 T1+T3 Rel" sheetId="37" r:id="rId1"/>
    <sheet name="Patm" sheetId="12" state="hidden" r:id="rId2"/>
    <sheet name="Propiedades Agua" sheetId="10" state="hidden" r:id="rId3"/>
    <sheet name="Desgaste" sheetId="22" state="hidden" r:id="rId4"/>
    <sheet name="Acued 560 PN10" sheetId="23" state="hidden" r:id="rId5"/>
    <sheet name="Hoja1" sheetId="35" state="hidden" r:id="rId6"/>
    <sheet name="Golpe de Ariete" sheetId="2" state="hidden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\d" localSheetId="0">#REF!</definedName>
    <definedName name="\d">#REF!</definedName>
    <definedName name="__123Graph_A" hidden="1">[1]Molin2003!$E$187:$E$197</definedName>
    <definedName name="__123Graph_AKW10" hidden="1">[1]Molin2003!$E$6:$E$16</definedName>
    <definedName name="__123Graph_AKW20" hidden="1">[1]Molin2003!$E$67:$E$77</definedName>
    <definedName name="__123Graph_AKW30" hidden="1">[1]Molin2003!$E$127:$E$137</definedName>
    <definedName name="__123Graph_AKW40" hidden="1">[1]Molin2003!$E$187:$E$197</definedName>
    <definedName name="__123Graph_X" hidden="1">[1]Molin2003!$A$67:$A$78</definedName>
    <definedName name="__123Graph_XKW10" hidden="1">[1]Molin2003!$A$6:$A$17</definedName>
    <definedName name="__123Graph_XKW20" hidden="1">[1]Molin2003!$A$67:$A$78</definedName>
    <definedName name="__123Graph_XKW30" hidden="1">[1]Molin2003!$A$67:$A$78</definedName>
    <definedName name="__123Graph_XKW40" hidden="1">[1]Molin2003!$A$67:$A$78</definedName>
    <definedName name="_1__123Graph_AENER_ARM" hidden="1">[1]Molin2003!$K$31:$K$35</definedName>
    <definedName name="_10__123Graph_XENER_ARM" hidden="1">[1]Molin2003!$A$11:$A$15</definedName>
    <definedName name="_11__123Graph_XENERG_51" hidden="1">[1]Molin2003!$A$11:$A$15</definedName>
    <definedName name="_12__123Graph_XENER_MEP" hidden="1">[1]Molin2003!$A$11:$A$15</definedName>
    <definedName name="_2__123Graph_AENERG_51" hidden="1">[1]Molin2003!$K$278:$K$282</definedName>
    <definedName name="_3__123Graph_AENER_MEP" hidden="1">[1]Molin2003!$K$152:$K$156</definedName>
    <definedName name="_4__123Graph_BENER_ARM" hidden="1">[1]Molin2003!$K$51:$K$55</definedName>
    <definedName name="_5__123Graph_BENER_MEP" hidden="1">[1]Molin2003!$K$172:$K$176</definedName>
    <definedName name="_6__123Graph_CENER_ARM" hidden="1">[1]Molin2003!$K$92:$K$96</definedName>
    <definedName name="_7__123Graph_CENER_MEP" hidden="1">[1]Molin2003!$K$212:$K$216</definedName>
    <definedName name="_8__123Graph_DENER_ARM" hidden="1">[1]Molin2003!$K$112:$K$116</definedName>
    <definedName name="_9__123Graph_DENER_MEP" hidden="1">[1]Molin2003!$K$232:$K$236</definedName>
    <definedName name="_MCC1" localSheetId="0">#REF!</definedName>
    <definedName name="_MCC1">#REF!</definedName>
    <definedName name="_MCC2" localSheetId="0">#REF!</definedName>
    <definedName name="_MCC2">#REF!</definedName>
    <definedName name="_MCC3" localSheetId="0">#REF!</definedName>
    <definedName name="_MCC3">#REF!</definedName>
    <definedName name="_pag12">'[2]Bce-A'!$A$1:$P$12</definedName>
    <definedName name="_Pag14">[3]Bce!$A$1:$I$62</definedName>
    <definedName name="_Pag15">[3]Bce!$A$64:$L$111</definedName>
    <definedName name="a" localSheetId="0">#REF!</definedName>
    <definedName name="a">#REF!</definedName>
    <definedName name="A_impresión_IM" localSheetId="0">#REF!</definedName>
    <definedName name="A_impresión_IM">#REF!</definedName>
    <definedName name="aa" hidden="1">[1]Molin2003!$K$51:$K$55</definedName>
    <definedName name="aaa" hidden="1">[1]Molin2003!$K$172:$K$176</definedName>
    <definedName name="aaaa" hidden="1">[1]Molin2003!$K$92:$K$96</definedName>
    <definedName name="anscount" hidden="1">3</definedName>
    <definedName name="bbarefii" localSheetId="0">#REF!</definedName>
    <definedName name="bbarefii">#REF!</definedName>
    <definedName name="Chanc">[3]Bce!$A$1:$P$12</definedName>
    <definedName name="_xlnm.Criteria" localSheetId="0">#REF!</definedName>
    <definedName name="_xlnm.Criteria">#REF!</definedName>
    <definedName name="d" hidden="1">[1]Molin2003!$K$212:$K$216</definedName>
    <definedName name="datos" localSheetId="0">#REF!</definedName>
    <definedName name="datos">#REF!</definedName>
    <definedName name="Grado_API">[4]Datos!$E$4:$E$11</definedName>
    <definedName name="hf" hidden="1">[1]Molin2003!$K$112:$K$116</definedName>
    <definedName name="hola" localSheetId="0">#REF!</definedName>
    <definedName name="hola">#REF!</definedName>
    <definedName name="hola1" localSheetId="0">#REF!</definedName>
    <definedName name="hola1">#REF!</definedName>
    <definedName name="HORACIO" localSheetId="0">#REF!</definedName>
    <definedName name="HORACIO">#REF!</definedName>
    <definedName name="j" hidden="1">[1]Molin2003!$K$232:$K$236</definedName>
    <definedName name="k" hidden="1">[1]Molin2003!$A$11:$A$15</definedName>
    <definedName name="kW_380" localSheetId="0">#REF!</definedName>
    <definedName name="kW_380">#REF!</definedName>
    <definedName name="l" hidden="1">[1]Molin2003!$A$11:$A$15</definedName>
    <definedName name="limcount" hidden="1">1</definedName>
    <definedName name="llllll" localSheetId="0">#REF!</definedName>
    <definedName name="llllll">#REF!</definedName>
    <definedName name="MACU">#N/A</definedName>
    <definedName name="otracosa" localSheetId="0">#REF!</definedName>
    <definedName name="otracosa">#REF!</definedName>
    <definedName name="otro" localSheetId="0">#REF!</definedName>
    <definedName name="otro">#REF!</definedName>
    <definedName name="pagin14">'[2]Bce-A'!$A$1:$I$62</definedName>
    <definedName name="pagin15">'[2]Bce-A'!$A$64:$L$111</definedName>
    <definedName name="Pagina11" localSheetId="0">#REF!</definedName>
    <definedName name="Pagina11">#REF!</definedName>
    <definedName name="Pagina12" localSheetId="0">#REF!</definedName>
    <definedName name="Pagina12">#REF!</definedName>
    <definedName name="Pagina14" localSheetId="0">#REF!</definedName>
    <definedName name="Pagina14">#REF!</definedName>
    <definedName name="Pagina15" localSheetId="0">#REF!</definedName>
    <definedName name="Pagina15">#REF!</definedName>
    <definedName name="s" hidden="1">[1]Molin2003!$K$51:$K$55</definedName>
    <definedName name="sencount" hidden="1">1</definedName>
    <definedName name="ss" hidden="1">[1]Molin2003!$K$31:$K$35</definedName>
    <definedName name="sss" hidden="1">[1]Molin2003!$K$278:$K$282</definedName>
    <definedName name="ssss" hidden="1">[1]Molin2003!$K$152:$K$156</definedName>
    <definedName name="STR_SIZE" localSheetId="0">#REF!</definedName>
    <definedName name="STR_SIZE">#REF!</definedName>
    <definedName name="Summary" localSheetId="0">#REF!</definedName>
    <definedName name="Summary">#REF!</definedName>
    <definedName name="UNI_AA_VERSION" hidden="1">150.1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0R4C21" hidden="1">'[5]PHD riego '!$U$4:$Z$93</definedName>
    <definedName name="UNIFORMANCES10R4C30" hidden="1">'[5]PHD riego '!$AD$4:$AG$93</definedName>
    <definedName name="UNIFORMANCES10R4C37" hidden="1">'[5]PHD riego '!$AK$4:$AO$93</definedName>
    <definedName name="UNIFORMANCES10R4C45" hidden="1">'[5]PHD riego '!$AS$4:$AT$93</definedName>
    <definedName name="UNIFORMANCES10R4C49" hidden="1">'[5]PHD riego '!$AW$4:$AZ$93</definedName>
    <definedName name="UNIFORMANCES10R4C5" hidden="1">'[5]PHD riego '!$E$4:$Q$93</definedName>
    <definedName name="UNIFORMANCES10R4C56" hidden="1">'[5]PHD riego '!$BD$4:$BF$93</definedName>
    <definedName name="UNIFORMANCES10R4C62" hidden="1">'[5]PHD riego '!$BJ$4:$BL$93</definedName>
    <definedName name="UNIFORMANCES12R4C4" hidden="1">[5]Temperaturas!$D$4:$F$319</definedName>
    <definedName name="UNIFORMANCES9R4C12" hidden="1">[5]PHD!$L$4:$N$93</definedName>
    <definedName name="UNIFORMANCES9R4C15" hidden="1">[5]PHD!$O$4:$O$93</definedName>
    <definedName name="UNIFORMANCES9R4C16" hidden="1">[5]PHD!$P$4:$R$93</definedName>
    <definedName name="UNIFORMANCES9R4C20" hidden="1">[5]PHD!$T$4:$T$93</definedName>
    <definedName name="UNIFORMANCES9R4C5" hidden="1">[5]PHD!$E$4:$H$93</definedName>
    <definedName name="UNIFORMANCES9R4C9" hidden="1">[5]PHD!$I$4:$K$93</definedName>
    <definedName name="v" hidden="1">[1]Molin2003!$K$232:$K$236</definedName>
    <definedName name="vv" hidden="1">[1]Molin2003!$A$11:$A$15</definedName>
    <definedName name="vvv" hidden="1">[1]Molin2003!$A$11:$A$15</definedName>
    <definedName name="vvvv" hidden="1">[1]Molin2003!$A$11:$A$15</definedName>
    <definedName name="WELL_WATER" localSheetId="0">#REF!</definedName>
    <definedName name="WELL_WATER">#REF!</definedName>
    <definedName name="x" hidden="1">[1]Molin2003!$A$11:$A$15</definedName>
    <definedName name="xxxx" localSheetId="0">#REF!</definedName>
    <definedName name="xxxx">#REF!</definedName>
    <definedName name="xxxxx" localSheetId="0">#REF!</definedName>
    <definedName name="xxxxx">#REF!</definedName>
    <definedName name="z" hidden="1">[1]Molin2003!$K$172:$K$176</definedName>
    <definedName name="zz" hidden="1">[1]Molin2003!$K$92:$K$96</definedName>
    <definedName name="zzz" hidden="1">[1]Molin2003!$K$212:$K$216</definedName>
    <definedName name="zzzz" hidden="1">[1]Molin2003!$K$112:$K$116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2" l="1"/>
  <c r="F12" i="2"/>
  <c r="F14" i="2" s="1"/>
  <c r="F8" i="2"/>
  <c r="F15" i="2" l="1"/>
  <c r="F4" i="2" s="1"/>
  <c r="F13" i="2"/>
  <c r="F24" i="2" s="1"/>
  <c r="D10" i="23"/>
  <c r="D9" i="23"/>
  <c r="E28" i="37"/>
  <c r="W5" i="23"/>
  <c r="D8" i="23"/>
  <c r="D7" i="23"/>
  <c r="D6" i="23"/>
  <c r="D5" i="23"/>
  <c r="AW67" i="37"/>
  <c r="E67" i="37"/>
  <c r="D67" i="37"/>
  <c r="C67" i="37"/>
  <c r="AW66" i="37"/>
  <c r="E66" i="37"/>
  <c r="D66" i="37"/>
  <c r="C66" i="37"/>
  <c r="AW65" i="37"/>
  <c r="E65" i="37"/>
  <c r="D65" i="37"/>
  <c r="C65" i="37"/>
  <c r="AW64" i="37"/>
  <c r="E64" i="37"/>
  <c r="D64" i="37"/>
  <c r="C64" i="37"/>
  <c r="AW63" i="37"/>
  <c r="E63" i="37"/>
  <c r="D63" i="37"/>
  <c r="C63" i="37"/>
  <c r="AW62" i="37"/>
  <c r="E62" i="37"/>
  <c r="D62" i="37"/>
  <c r="C62" i="37"/>
  <c r="AW61" i="37"/>
  <c r="E61" i="37"/>
  <c r="D61" i="37"/>
  <c r="C61" i="37"/>
  <c r="AW60" i="37"/>
  <c r="E60" i="37"/>
  <c r="D60" i="37"/>
  <c r="C60" i="37"/>
  <c r="AW59" i="37"/>
  <c r="E59" i="37"/>
  <c r="D59" i="37"/>
  <c r="C59" i="37"/>
  <c r="AW58" i="37"/>
  <c r="E58" i="37"/>
  <c r="D58" i="37"/>
  <c r="C58" i="37"/>
  <c r="AW57" i="37"/>
  <c r="E57" i="37"/>
  <c r="D57" i="37"/>
  <c r="C57" i="37"/>
  <c r="AW56" i="37"/>
  <c r="E56" i="37"/>
  <c r="D56" i="37"/>
  <c r="C56" i="37"/>
  <c r="AW55" i="37"/>
  <c r="E55" i="37"/>
  <c r="D55" i="37"/>
  <c r="C55" i="37"/>
  <c r="AW54" i="37"/>
  <c r="E54" i="37"/>
  <c r="D54" i="37"/>
  <c r="C54" i="37"/>
  <c r="AW53" i="37"/>
  <c r="E53" i="37"/>
  <c r="D53" i="37"/>
  <c r="C53" i="37"/>
  <c r="AW52" i="37"/>
  <c r="E52" i="37"/>
  <c r="D52" i="37"/>
  <c r="C52" i="37"/>
  <c r="AW51" i="37"/>
  <c r="E51" i="37"/>
  <c r="D51" i="37"/>
  <c r="C51" i="37"/>
  <c r="AW50" i="37"/>
  <c r="E50" i="37"/>
  <c r="D50" i="37"/>
  <c r="C50" i="37"/>
  <c r="AW49" i="37"/>
  <c r="E49" i="37"/>
  <c r="D49" i="37"/>
  <c r="C49" i="37"/>
  <c r="AW48" i="37"/>
  <c r="E48" i="37"/>
  <c r="D48" i="37"/>
  <c r="C48" i="37"/>
  <c r="AW47" i="37"/>
  <c r="E47" i="37"/>
  <c r="D47" i="37"/>
  <c r="C47" i="37"/>
  <c r="AW46" i="37"/>
  <c r="E46" i="37"/>
  <c r="D46" i="37"/>
  <c r="C46" i="37"/>
  <c r="AW45" i="37"/>
  <c r="E45" i="37"/>
  <c r="D45" i="37"/>
  <c r="C45" i="37"/>
  <c r="AW44" i="37"/>
  <c r="E44" i="37"/>
  <c r="D44" i="37"/>
  <c r="C44" i="37"/>
  <c r="AW43" i="37"/>
  <c r="M43" i="37"/>
  <c r="E43" i="37"/>
  <c r="D43" i="37"/>
  <c r="C43" i="37"/>
  <c r="AW42" i="37"/>
  <c r="E42" i="37"/>
  <c r="D42" i="37"/>
  <c r="C42" i="37"/>
  <c r="AW41" i="37"/>
  <c r="E41" i="37"/>
  <c r="D41" i="37"/>
  <c r="C41" i="37"/>
  <c r="AW40" i="37"/>
  <c r="E40" i="37"/>
  <c r="D40" i="37"/>
  <c r="C40" i="37"/>
  <c r="AW39" i="37"/>
  <c r="E39" i="37"/>
  <c r="D39" i="37"/>
  <c r="C39" i="37"/>
  <c r="AW38" i="37"/>
  <c r="E38" i="37"/>
  <c r="D38" i="37"/>
  <c r="C38" i="37"/>
  <c r="AW37" i="37"/>
  <c r="E37" i="37"/>
  <c r="D37" i="37"/>
  <c r="C37" i="37"/>
  <c r="AW36" i="37"/>
  <c r="E36" i="37"/>
  <c r="D36" i="37"/>
  <c r="C36" i="37"/>
  <c r="AW35" i="37"/>
  <c r="E35" i="37"/>
  <c r="D35" i="37"/>
  <c r="C35" i="37"/>
  <c r="AW34" i="37"/>
  <c r="E34" i="37"/>
  <c r="D34" i="37"/>
  <c r="C34" i="37"/>
  <c r="AW33" i="37"/>
  <c r="E33" i="37"/>
  <c r="D33" i="37"/>
  <c r="C33" i="37"/>
  <c r="AW32" i="37"/>
  <c r="E32" i="37"/>
  <c r="D32" i="37"/>
  <c r="C32" i="37"/>
  <c r="AW31" i="37"/>
  <c r="M31" i="37"/>
  <c r="E31" i="37"/>
  <c r="D31" i="37"/>
  <c r="C31" i="37"/>
  <c r="AW30" i="37"/>
  <c r="M30" i="37"/>
  <c r="E30" i="37"/>
  <c r="D30" i="37"/>
  <c r="C30" i="37"/>
  <c r="AW29" i="37"/>
  <c r="AT29" i="37"/>
  <c r="AN29" i="37"/>
  <c r="R29" i="37"/>
  <c r="N29" i="37"/>
  <c r="O29" i="37" s="1"/>
  <c r="J29" i="37"/>
  <c r="J30" i="37" s="1"/>
  <c r="J31" i="37" s="1"/>
  <c r="J32" i="37" s="1"/>
  <c r="J33" i="37" s="1"/>
  <c r="J34" i="37" s="1"/>
  <c r="J35" i="37" s="1"/>
  <c r="J36" i="37" s="1"/>
  <c r="J37" i="37" s="1"/>
  <c r="J38" i="37" s="1"/>
  <c r="J39" i="37" s="1"/>
  <c r="J40" i="37" s="1"/>
  <c r="J41" i="37" s="1"/>
  <c r="J42" i="37" s="1"/>
  <c r="J43" i="37" s="1"/>
  <c r="J44" i="37" s="1"/>
  <c r="J45" i="37" s="1"/>
  <c r="J46" i="37" s="1"/>
  <c r="J47" i="37" s="1"/>
  <c r="J48" i="37" s="1"/>
  <c r="J49" i="37" s="1"/>
  <c r="J50" i="37" s="1"/>
  <c r="J51" i="37" s="1"/>
  <c r="J52" i="37" s="1"/>
  <c r="J53" i="37" s="1"/>
  <c r="J54" i="37" s="1"/>
  <c r="J55" i="37" s="1"/>
  <c r="J56" i="37" s="1"/>
  <c r="J57" i="37" s="1"/>
  <c r="J58" i="37" s="1"/>
  <c r="J59" i="37" s="1"/>
  <c r="J60" i="37" s="1"/>
  <c r="J61" i="37" s="1"/>
  <c r="J62" i="37" s="1"/>
  <c r="J63" i="37" s="1"/>
  <c r="J64" i="37" s="1"/>
  <c r="J65" i="37" s="1"/>
  <c r="J66" i="37" s="1"/>
  <c r="J67" i="37" s="1"/>
  <c r="H29" i="37"/>
  <c r="H30" i="37" s="1"/>
  <c r="H31" i="37" s="1"/>
  <c r="H32" i="37" s="1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47" i="37" s="1"/>
  <c r="H48" i="37" s="1"/>
  <c r="H49" i="37" s="1"/>
  <c r="H50" i="37" s="1"/>
  <c r="H51" i="37" s="1"/>
  <c r="H52" i="37" s="1"/>
  <c r="H53" i="37" s="1"/>
  <c r="H54" i="37" s="1"/>
  <c r="H55" i="37" s="1"/>
  <c r="H56" i="37" s="1"/>
  <c r="H57" i="37" s="1"/>
  <c r="H58" i="37" s="1"/>
  <c r="H59" i="37" s="1"/>
  <c r="H60" i="37" s="1"/>
  <c r="H61" i="37" s="1"/>
  <c r="H62" i="37" s="1"/>
  <c r="H63" i="37" s="1"/>
  <c r="H64" i="37" s="1"/>
  <c r="H65" i="37" s="1"/>
  <c r="H66" i="37" s="1"/>
  <c r="H67" i="37" s="1"/>
  <c r="E29" i="37"/>
  <c r="D29" i="37"/>
  <c r="C29" i="37"/>
  <c r="BB28" i="37"/>
  <c r="AW28" i="37"/>
  <c r="AU28" i="37"/>
  <c r="AO28" i="37"/>
  <c r="AI28" i="37"/>
  <c r="N28" i="37"/>
  <c r="D28" i="37"/>
  <c r="F22" i="37"/>
  <c r="AG8" i="37" s="1"/>
  <c r="AK19" i="37"/>
  <c r="AJ19" i="37"/>
  <c r="F19" i="37"/>
  <c r="F18" i="37"/>
  <c r="K17" i="37"/>
  <c r="K18" i="37" s="1"/>
  <c r="AK16" i="37"/>
  <c r="AK17" i="37" s="1"/>
  <c r="AJ16" i="37"/>
  <c r="AJ17" i="37" s="1"/>
  <c r="L15" i="37"/>
  <c r="K15" i="37"/>
  <c r="P14" i="37"/>
  <c r="F10" i="37"/>
  <c r="F8" i="37"/>
  <c r="F4" i="37"/>
  <c r="F3" i="37" s="1"/>
  <c r="K3" i="37"/>
  <c r="I10" i="35"/>
  <c r="J10" i="35"/>
  <c r="I11" i="35"/>
  <c r="J11" i="35"/>
  <c r="I12" i="35"/>
  <c r="J12" i="35"/>
  <c r="I13" i="35"/>
  <c r="J13" i="35"/>
  <c r="I14" i="35"/>
  <c r="J14" i="35"/>
  <c r="I15" i="35"/>
  <c r="J15" i="35"/>
  <c r="I16" i="35"/>
  <c r="J16" i="35"/>
  <c r="I17" i="35"/>
  <c r="J17" i="35"/>
  <c r="I18" i="35"/>
  <c r="J18" i="35"/>
  <c r="I19" i="35"/>
  <c r="J19" i="35"/>
  <c r="I20" i="35"/>
  <c r="J20" i="35"/>
  <c r="I21" i="35"/>
  <c r="J21" i="35"/>
  <c r="I22" i="35"/>
  <c r="J22" i="35"/>
  <c r="I23" i="35"/>
  <c r="J23" i="35"/>
  <c r="I24" i="35"/>
  <c r="J24" i="35"/>
  <c r="I25" i="35"/>
  <c r="J25" i="35"/>
  <c r="I26" i="35"/>
  <c r="J26" i="35"/>
  <c r="I27" i="35"/>
  <c r="J27" i="35"/>
  <c r="I28" i="35"/>
  <c r="J28" i="35"/>
  <c r="I29" i="35"/>
  <c r="J29" i="35"/>
  <c r="I30" i="35"/>
  <c r="J30" i="35"/>
  <c r="J31" i="35"/>
  <c r="I31" i="35"/>
  <c r="J32" i="35"/>
  <c r="J33" i="35"/>
  <c r="J34" i="35"/>
  <c r="J35" i="35"/>
  <c r="J36" i="35"/>
  <c r="J37" i="35"/>
  <c r="J38" i="35"/>
  <c r="J39" i="35"/>
  <c r="J40" i="35"/>
  <c r="J41" i="35"/>
  <c r="J42" i="35"/>
  <c r="J43" i="35"/>
  <c r="J44" i="35"/>
  <c r="J45" i="35"/>
  <c r="L47" i="35"/>
  <c r="J46" i="35"/>
  <c r="Q4" i="35"/>
  <c r="Q5" i="35"/>
  <c r="Q6" i="35"/>
  <c r="Q7" i="35"/>
  <c r="Q8" i="35"/>
  <c r="Q9" i="35"/>
  <c r="Q10" i="35"/>
  <c r="Q11" i="35"/>
  <c r="Q12" i="35"/>
  <c r="Q13" i="35"/>
  <c r="Q14" i="35"/>
  <c r="Q15" i="35"/>
  <c r="Q16" i="35"/>
  <c r="Q17" i="35"/>
  <c r="Q18" i="35"/>
  <c r="Q19" i="35"/>
  <c r="Q20" i="35"/>
  <c r="Q21" i="35"/>
  <c r="Q22" i="35"/>
  <c r="Q23" i="35"/>
  <c r="Q24" i="35"/>
  <c r="Q25" i="35"/>
  <c r="Q26" i="35"/>
  <c r="Q27" i="35"/>
  <c r="Q28" i="35"/>
  <c r="Q29" i="35"/>
  <c r="Q30" i="35"/>
  <c r="Q31" i="35"/>
  <c r="Q32" i="35"/>
  <c r="Q33" i="35"/>
  <c r="Q34" i="35"/>
  <c r="Q35" i="35"/>
  <c r="Q36" i="35"/>
  <c r="Q37" i="35"/>
  <c r="Q38" i="35"/>
  <c r="Q39" i="35"/>
  <c r="Q40" i="35"/>
  <c r="Q41" i="35"/>
  <c r="Q42" i="35"/>
  <c r="Q43" i="35"/>
  <c r="Q44" i="35"/>
  <c r="Q45" i="35"/>
  <c r="Q46" i="35"/>
  <c r="Q3" i="35"/>
  <c r="F5" i="35"/>
  <c r="F9" i="35"/>
  <c r="F13" i="35"/>
  <c r="F14" i="35"/>
  <c r="F17" i="35"/>
  <c r="F22" i="35"/>
  <c r="F21" i="35"/>
  <c r="F19" i="35"/>
  <c r="F16" i="35"/>
  <c r="F15" i="35"/>
  <c r="F12" i="35"/>
  <c r="F10" i="35"/>
  <c r="F8" i="35"/>
  <c r="F7" i="35"/>
  <c r="F6" i="35"/>
  <c r="F3" i="35"/>
  <c r="I32" i="35" l="1"/>
  <c r="I33" i="35"/>
  <c r="I34" i="35"/>
  <c r="I35" i="35"/>
  <c r="I36" i="35"/>
  <c r="I37" i="35"/>
  <c r="I38" i="35"/>
  <c r="I39" i="35"/>
  <c r="I40" i="35"/>
  <c r="I41" i="35"/>
  <c r="I42" i="35"/>
  <c r="I43" i="35"/>
  <c r="I44" i="35"/>
  <c r="I45" i="35"/>
  <c r="I46" i="35"/>
  <c r="AJ20" i="37"/>
  <c r="AJ21" i="37" s="1"/>
  <c r="AJ22" i="37" s="1"/>
  <c r="AK20" i="37"/>
  <c r="AK21" i="37" s="1"/>
  <c r="AK22" i="37" s="1"/>
  <c r="AV28" i="37"/>
  <c r="O28" i="37"/>
  <c r="P28" i="37" s="1"/>
  <c r="AR28" i="37" s="1"/>
  <c r="F29" i="37"/>
  <c r="AI29" i="37" s="1"/>
  <c r="R30" i="37"/>
  <c r="R32" i="37" s="1"/>
  <c r="R43" i="37"/>
  <c r="AO29" i="37"/>
  <c r="AP29" i="37" s="1"/>
  <c r="AN30" i="37"/>
  <c r="BB29" i="37"/>
  <c r="AT30" i="37"/>
  <c r="AU30" i="37" s="1"/>
  <c r="AU29" i="37"/>
  <c r="M44" i="37"/>
  <c r="M32" i="37"/>
  <c r="N30" i="37"/>
  <c r="O30" i="37" s="1"/>
  <c r="P30" i="37" s="1"/>
  <c r="M57" i="37"/>
  <c r="N57" i="37" s="1"/>
  <c r="AV57" i="37" s="1"/>
  <c r="N43" i="37"/>
  <c r="E69" i="37"/>
  <c r="AX63" i="37"/>
  <c r="AM63" i="37"/>
  <c r="AX64" i="37"/>
  <c r="AM64" i="37"/>
  <c r="AX65" i="37"/>
  <c r="AM65" i="37"/>
  <c r="AX66" i="37"/>
  <c r="AM66" i="37"/>
  <c r="AX67" i="37"/>
  <c r="AM67" i="37"/>
  <c r="AR30" i="37"/>
  <c r="F30" i="37"/>
  <c r="AI30" i="37" s="1"/>
  <c r="R46" i="37"/>
  <c r="R34" i="37"/>
  <c r="AT31" i="37"/>
  <c r="F5" i="37"/>
  <c r="E24" i="37"/>
  <c r="K4" i="37"/>
  <c r="AN31" i="37"/>
  <c r="BB30" i="37"/>
  <c r="M33" i="37"/>
  <c r="N31" i="37"/>
  <c r="M45" i="37"/>
  <c r="M34" i="37"/>
  <c r="M46" i="37"/>
  <c r="N32" i="37"/>
  <c r="P5" i="37"/>
  <c r="P6" i="37" s="1"/>
  <c r="AV29" i="37"/>
  <c r="R44" i="37"/>
  <c r="AO30" i="37"/>
  <c r="AP30" i="37" s="1"/>
  <c r="P29" i="37"/>
  <c r="AV30" i="37"/>
  <c r="R57" i="37"/>
  <c r="M58" i="37"/>
  <c r="N58" i="37" s="1"/>
  <c r="N44" i="37"/>
  <c r="F13" i="37"/>
  <c r="AP28" i="37"/>
  <c r="R31" i="37"/>
  <c r="O57" i="37"/>
  <c r="AM70" i="37"/>
  <c r="F4" i="35"/>
  <c r="F11" i="35"/>
  <c r="F18" i="35"/>
  <c r="F20" i="35"/>
  <c r="AV43" i="37" l="1"/>
  <c r="O43" i="37"/>
  <c r="P43" i="37" s="1"/>
  <c r="Q29" i="37"/>
  <c r="AR29" i="37"/>
  <c r="R58" i="37"/>
  <c r="M60" i="37"/>
  <c r="N60" i="37" s="1"/>
  <c r="N46" i="37"/>
  <c r="M35" i="37"/>
  <c r="N33" i="37"/>
  <c r="M47" i="37"/>
  <c r="R60" i="37"/>
  <c r="F12" i="37"/>
  <c r="H12" i="37" s="1"/>
  <c r="M48" i="37"/>
  <c r="M36" i="37"/>
  <c r="N34" i="37"/>
  <c r="AN32" i="37"/>
  <c r="AO31" i="37"/>
  <c r="AP31" i="37" s="1"/>
  <c r="BB31" i="37"/>
  <c r="AU31" i="37"/>
  <c r="AT32" i="37"/>
  <c r="AV44" i="37"/>
  <c r="O44" i="37"/>
  <c r="P44" i="37" s="1"/>
  <c r="Q43" i="37"/>
  <c r="AR43" i="37"/>
  <c r="M59" i="37"/>
  <c r="N59" i="37" s="1"/>
  <c r="N45" i="37"/>
  <c r="R45" i="37"/>
  <c r="R33" i="37"/>
  <c r="AV58" i="37"/>
  <c r="O58" i="37"/>
  <c r="P58" i="37" s="1"/>
  <c r="P57" i="37"/>
  <c r="O32" i="37"/>
  <c r="P32" i="37" s="1"/>
  <c r="AV32" i="37"/>
  <c r="AV31" i="37"/>
  <c r="O31" i="37"/>
  <c r="P31" i="37" s="1"/>
  <c r="F31" i="37"/>
  <c r="K5" i="37"/>
  <c r="Q28" i="37"/>
  <c r="R48" i="37"/>
  <c r="R36" i="37"/>
  <c r="Q30" i="37"/>
  <c r="T28" i="37" l="1"/>
  <c r="U28" i="37" s="1"/>
  <c r="V28" i="37" s="1"/>
  <c r="W28" i="37" s="1"/>
  <c r="Q58" i="37"/>
  <c r="T58" i="37" s="1"/>
  <c r="U58" i="37" s="1"/>
  <c r="V58" i="37" s="1"/>
  <c r="W58" i="37" s="1"/>
  <c r="X58" i="37" s="1"/>
  <c r="Y58" i="37" s="1"/>
  <c r="Z58" i="37" s="1"/>
  <c r="AA58" i="37" s="1"/>
  <c r="AB58" i="37" s="1"/>
  <c r="AC58" i="37" s="1"/>
  <c r="AD58" i="37" s="1"/>
  <c r="AE58" i="37" s="1"/>
  <c r="AF58" i="37" s="1"/>
  <c r="AG58" i="37" s="1"/>
  <c r="AH58" i="37" s="1"/>
  <c r="AR58" i="37"/>
  <c r="AV45" i="37"/>
  <c r="O45" i="37"/>
  <c r="P45" i="37" s="1"/>
  <c r="AR44" i="37"/>
  <c r="Q44" i="37"/>
  <c r="M50" i="37"/>
  <c r="M38" i="37"/>
  <c r="N36" i="37"/>
  <c r="AV46" i="37"/>
  <c r="O46" i="37"/>
  <c r="P46" i="37" s="1"/>
  <c r="T30" i="37"/>
  <c r="U30" i="37" s="1"/>
  <c r="V30" i="37" s="1"/>
  <c r="W30" i="37" s="1"/>
  <c r="R50" i="37"/>
  <c r="R38" i="37"/>
  <c r="AV59" i="37"/>
  <c r="O59" i="37"/>
  <c r="P59" i="37" s="1"/>
  <c r="N48" i="37"/>
  <c r="M62" i="37"/>
  <c r="N62" i="37" s="1"/>
  <c r="M61" i="37"/>
  <c r="N61" i="37" s="1"/>
  <c r="N47" i="37"/>
  <c r="AV60" i="37"/>
  <c r="O60" i="37"/>
  <c r="P60" i="37" s="1"/>
  <c r="R62" i="37"/>
  <c r="AI31" i="37"/>
  <c r="F32" i="37"/>
  <c r="AR32" i="37"/>
  <c r="Q32" i="37"/>
  <c r="R47" i="37"/>
  <c r="R35" i="37"/>
  <c r="AT33" i="37"/>
  <c r="AU32" i="37"/>
  <c r="AO32" i="37"/>
  <c r="AP32" i="37" s="1"/>
  <c r="AN33" i="37"/>
  <c r="AV33" i="37"/>
  <c r="O33" i="37"/>
  <c r="P33" i="37" s="1"/>
  <c r="T29" i="37"/>
  <c r="U29" i="37" s="1"/>
  <c r="V29" i="37" s="1"/>
  <c r="W29" i="37" s="1"/>
  <c r="AR31" i="37"/>
  <c r="Q31" i="37"/>
  <c r="AR57" i="37"/>
  <c r="Q57" i="37"/>
  <c r="R59" i="37"/>
  <c r="T43" i="37"/>
  <c r="U43" i="37" s="1"/>
  <c r="V43" i="37" s="1"/>
  <c r="W43" i="37" s="1"/>
  <c r="O34" i="37"/>
  <c r="P34" i="37" s="1"/>
  <c r="AV34" i="37"/>
  <c r="M49" i="37"/>
  <c r="M37" i="37"/>
  <c r="N35" i="37"/>
  <c r="X43" i="37" l="1"/>
  <c r="Y43" i="37" s="1"/>
  <c r="Z43" i="37" s="1"/>
  <c r="AA43" i="37" s="1"/>
  <c r="AB43" i="37" s="1"/>
  <c r="AC43" i="37" s="1"/>
  <c r="AD43" i="37" s="1"/>
  <c r="AE43" i="37" s="1"/>
  <c r="AF43" i="37" s="1"/>
  <c r="AG43" i="37" s="1"/>
  <c r="AH43" i="37" s="1"/>
  <c r="BC29" i="37"/>
  <c r="BD29" i="37" s="1"/>
  <c r="X29" i="37"/>
  <c r="Y29" i="37" s="1"/>
  <c r="Z29" i="37" s="1"/>
  <c r="AA29" i="37" s="1"/>
  <c r="AB29" i="37" s="1"/>
  <c r="AC29" i="37" s="1"/>
  <c r="AD29" i="37" s="1"/>
  <c r="AE29" i="37" s="1"/>
  <c r="AF29" i="37" s="1"/>
  <c r="AG29" i="37" s="1"/>
  <c r="AH29" i="37" s="1"/>
  <c r="BC30" i="37"/>
  <c r="BD30" i="37" s="1"/>
  <c r="X30" i="37"/>
  <c r="Y30" i="37" s="1"/>
  <c r="Z30" i="37" s="1"/>
  <c r="AA30" i="37" s="1"/>
  <c r="AB30" i="37" s="1"/>
  <c r="AC30" i="37" s="1"/>
  <c r="AD30" i="37" s="1"/>
  <c r="AE30" i="37" s="1"/>
  <c r="AF30" i="37" s="1"/>
  <c r="AG30" i="37" s="1"/>
  <c r="AH30" i="37" s="1"/>
  <c r="BC28" i="37"/>
  <c r="X28" i="37"/>
  <c r="Y28" i="37" s="1"/>
  <c r="Z28" i="37" s="1"/>
  <c r="AA28" i="37" s="1"/>
  <c r="AB28" i="37" s="1"/>
  <c r="AC28" i="37" s="1"/>
  <c r="AD28" i="37" s="1"/>
  <c r="AE28" i="37" s="1"/>
  <c r="AF28" i="37" s="1"/>
  <c r="T57" i="37"/>
  <c r="U57" i="37" s="1"/>
  <c r="V57" i="37" s="1"/>
  <c r="W57" i="37" s="1"/>
  <c r="X57" i="37" s="1"/>
  <c r="Y57" i="37" s="1"/>
  <c r="Z57" i="37" s="1"/>
  <c r="AA57" i="37" s="1"/>
  <c r="AB57" i="37" s="1"/>
  <c r="AC57" i="37" s="1"/>
  <c r="AD57" i="37" s="1"/>
  <c r="AE57" i="37" s="1"/>
  <c r="AF57" i="37" s="1"/>
  <c r="AG57" i="37" s="1"/>
  <c r="AH57" i="37" s="1"/>
  <c r="AN34" i="37"/>
  <c r="AO33" i="37"/>
  <c r="AP33" i="37" s="1"/>
  <c r="AI32" i="37"/>
  <c r="F33" i="37"/>
  <c r="AR59" i="37"/>
  <c r="Q59" i="37"/>
  <c r="R52" i="37"/>
  <c r="R40" i="37"/>
  <c r="M67" i="37"/>
  <c r="N67" i="37" s="1"/>
  <c r="M64" i="37"/>
  <c r="N64" i="37" s="1"/>
  <c r="N50" i="37"/>
  <c r="O35" i="37"/>
  <c r="P35" i="37" s="1"/>
  <c r="AV35" i="37"/>
  <c r="Q34" i="37"/>
  <c r="AR34" i="37"/>
  <c r="AV47" i="37"/>
  <c r="O47" i="37"/>
  <c r="P47" i="37" s="1"/>
  <c r="R67" i="37"/>
  <c r="R64" i="37"/>
  <c r="T44" i="37"/>
  <c r="U44" i="37" s="1"/>
  <c r="V44" i="37" s="1"/>
  <c r="W44" i="37" s="1"/>
  <c r="X44" i="37" s="1"/>
  <c r="Y44" i="37" s="1"/>
  <c r="Z44" i="37" s="1"/>
  <c r="AA44" i="37" s="1"/>
  <c r="AB44" i="37" s="1"/>
  <c r="AC44" i="37" s="1"/>
  <c r="AD44" i="37" s="1"/>
  <c r="AE44" i="37" s="1"/>
  <c r="AF44" i="37" s="1"/>
  <c r="AG44" i="37" s="1"/>
  <c r="AH44" i="37" s="1"/>
  <c r="M51" i="37"/>
  <c r="M39" i="37"/>
  <c r="N37" i="37"/>
  <c r="T31" i="37"/>
  <c r="U31" i="37" s="1"/>
  <c r="V31" i="37" s="1"/>
  <c r="W31" i="37" s="1"/>
  <c r="Q33" i="37"/>
  <c r="AR33" i="37"/>
  <c r="R49" i="37"/>
  <c r="R37" i="37"/>
  <c r="T32" i="37"/>
  <c r="U32" i="37" s="1"/>
  <c r="V32" i="37" s="1"/>
  <c r="W32" i="37" s="1"/>
  <c r="X32" i="37" s="1"/>
  <c r="Y32" i="37" s="1"/>
  <c r="Z32" i="37" s="1"/>
  <c r="AA32" i="37" s="1"/>
  <c r="AB32" i="37" s="1"/>
  <c r="AC32" i="37" s="1"/>
  <c r="AD32" i="37" s="1"/>
  <c r="AE32" i="37" s="1"/>
  <c r="AF32" i="37" s="1"/>
  <c r="AG32" i="37" s="1"/>
  <c r="AH32" i="37" s="1"/>
  <c r="AV61" i="37"/>
  <c r="O61" i="37"/>
  <c r="P61" i="37" s="1"/>
  <c r="AV62" i="37"/>
  <c r="O62" i="37"/>
  <c r="P62" i="37" s="1"/>
  <c r="AR46" i="37"/>
  <c r="Q46" i="37"/>
  <c r="O36" i="37"/>
  <c r="P36" i="37" s="1"/>
  <c r="AV36" i="37"/>
  <c r="N49" i="37"/>
  <c r="M63" i="37"/>
  <c r="N63" i="37" s="1"/>
  <c r="AU33" i="37"/>
  <c r="AT34" i="37"/>
  <c r="R61" i="37"/>
  <c r="Q60" i="37"/>
  <c r="AR60" i="37"/>
  <c r="AK60" i="37"/>
  <c r="O48" i="37"/>
  <c r="P48" i="37" s="1"/>
  <c r="AV48" i="37"/>
  <c r="M52" i="37"/>
  <c r="M40" i="37"/>
  <c r="N38" i="37"/>
  <c r="Q45" i="37"/>
  <c r="AR45" i="37"/>
  <c r="AG28" i="37" l="1"/>
  <c r="AH28" i="37" s="1"/>
  <c r="AJ28" i="37" s="1"/>
  <c r="BC31" i="37"/>
  <c r="BD31" i="37" s="1"/>
  <c r="X31" i="37"/>
  <c r="Y31" i="37" s="1"/>
  <c r="Z31" i="37" s="1"/>
  <c r="AA31" i="37" s="1"/>
  <c r="AB31" i="37" s="1"/>
  <c r="AC31" i="37" s="1"/>
  <c r="AD31" i="37" s="1"/>
  <c r="AE31" i="37" s="1"/>
  <c r="AF31" i="37" s="1"/>
  <c r="AG31" i="37" s="1"/>
  <c r="AH31" i="37" s="1"/>
  <c r="N52" i="37"/>
  <c r="M66" i="37"/>
  <c r="N66" i="37" s="1"/>
  <c r="Q62" i="37"/>
  <c r="AR62" i="37"/>
  <c r="T33" i="37"/>
  <c r="U33" i="37" s="1"/>
  <c r="V33" i="37" s="1"/>
  <c r="W33" i="37" s="1"/>
  <c r="X33" i="37" s="1"/>
  <c r="Y33" i="37" s="1"/>
  <c r="Z33" i="37" s="1"/>
  <c r="AA33" i="37" s="1"/>
  <c r="AB33" i="37" s="1"/>
  <c r="AC33" i="37" s="1"/>
  <c r="AD33" i="37" s="1"/>
  <c r="AE33" i="37" s="1"/>
  <c r="AF33" i="37" s="1"/>
  <c r="AG33" i="37" s="1"/>
  <c r="AH33" i="37" s="1"/>
  <c r="AV37" i="37"/>
  <c r="O37" i="37"/>
  <c r="P37" i="37" s="1"/>
  <c r="AV50" i="37"/>
  <c r="O50" i="37"/>
  <c r="P50" i="37" s="1"/>
  <c r="AI33" i="37"/>
  <c r="F34" i="37"/>
  <c r="AJ29" i="37"/>
  <c r="T45" i="37"/>
  <c r="U45" i="37" s="1"/>
  <c r="V45" i="37" s="1"/>
  <c r="W45" i="37" s="1"/>
  <c r="X45" i="37" s="1"/>
  <c r="Y45" i="37" s="1"/>
  <c r="Z45" i="37" s="1"/>
  <c r="AA45" i="37" s="1"/>
  <c r="AB45" i="37" s="1"/>
  <c r="AC45" i="37" s="1"/>
  <c r="AD45" i="37" s="1"/>
  <c r="AE45" i="37" s="1"/>
  <c r="AF45" i="37" s="1"/>
  <c r="AG45" i="37" s="1"/>
  <c r="AH45" i="37" s="1"/>
  <c r="T60" i="37"/>
  <c r="U60" i="37" s="1"/>
  <c r="V60" i="37" s="1"/>
  <c r="W60" i="37" s="1"/>
  <c r="X60" i="37" s="1"/>
  <c r="Y60" i="37" s="1"/>
  <c r="Z60" i="37" s="1"/>
  <c r="AA60" i="37" s="1"/>
  <c r="AB60" i="37" s="1"/>
  <c r="AC60" i="37" s="1"/>
  <c r="AD60" i="37" s="1"/>
  <c r="AE60" i="37" s="1"/>
  <c r="AF60" i="37" s="1"/>
  <c r="AG60" i="37" s="1"/>
  <c r="AH60" i="37" s="1"/>
  <c r="AR36" i="37"/>
  <c r="Q36" i="37"/>
  <c r="R63" i="37"/>
  <c r="M53" i="37"/>
  <c r="N53" i="37" s="1"/>
  <c r="N39" i="37"/>
  <c r="M41" i="37"/>
  <c r="T34" i="37"/>
  <c r="U34" i="37" s="1"/>
  <c r="V34" i="37" s="1"/>
  <c r="W34" i="37" s="1"/>
  <c r="X34" i="37" s="1"/>
  <c r="Y34" i="37" s="1"/>
  <c r="Z34" i="37" s="1"/>
  <c r="AA34" i="37" s="1"/>
  <c r="AB34" i="37" s="1"/>
  <c r="AC34" i="37" s="1"/>
  <c r="AD34" i="37" s="1"/>
  <c r="AE34" i="37" s="1"/>
  <c r="AF34" i="37" s="1"/>
  <c r="AG34" i="37" s="1"/>
  <c r="AH34" i="37" s="1"/>
  <c r="AV64" i="37"/>
  <c r="O64" i="37"/>
  <c r="P64" i="37" s="1"/>
  <c r="R54" i="37"/>
  <c r="AJ32" i="37"/>
  <c r="O38" i="37"/>
  <c r="P38" i="37" s="1"/>
  <c r="AV38" i="37"/>
  <c r="AR48" i="37"/>
  <c r="Q48" i="37"/>
  <c r="AU34" i="37"/>
  <c r="AT35" i="37"/>
  <c r="AV63" i="37"/>
  <c r="O63" i="37"/>
  <c r="P63" i="37" s="1"/>
  <c r="T46" i="37"/>
  <c r="U46" i="37" s="1"/>
  <c r="V46" i="37" s="1"/>
  <c r="W46" i="37" s="1"/>
  <c r="X46" i="37" s="1"/>
  <c r="Y46" i="37" s="1"/>
  <c r="Z46" i="37" s="1"/>
  <c r="AA46" i="37" s="1"/>
  <c r="AB46" i="37" s="1"/>
  <c r="AC46" i="37" s="1"/>
  <c r="AD46" i="37" s="1"/>
  <c r="AE46" i="37" s="1"/>
  <c r="AF46" i="37" s="1"/>
  <c r="AG46" i="37" s="1"/>
  <c r="AH46" i="37" s="1"/>
  <c r="AR61" i="37"/>
  <c r="Q61" i="37"/>
  <c r="R51" i="37"/>
  <c r="R39" i="37"/>
  <c r="N51" i="37"/>
  <c r="M65" i="37"/>
  <c r="N65" i="37" s="1"/>
  <c r="AV67" i="37"/>
  <c r="O67" i="37"/>
  <c r="P67" i="37" s="1"/>
  <c r="R66" i="37"/>
  <c r="AJ30" i="37"/>
  <c r="M54" i="37"/>
  <c r="N54" i="37" s="1"/>
  <c r="N40" i="37"/>
  <c r="T59" i="37"/>
  <c r="U59" i="37" s="1"/>
  <c r="V59" i="37" s="1"/>
  <c r="W59" i="37" s="1"/>
  <c r="X59" i="37" s="1"/>
  <c r="Y59" i="37" s="1"/>
  <c r="Z59" i="37" s="1"/>
  <c r="AA59" i="37" s="1"/>
  <c r="AB59" i="37" s="1"/>
  <c r="AC59" i="37" s="1"/>
  <c r="AD59" i="37" s="1"/>
  <c r="AE59" i="37" s="1"/>
  <c r="AF59" i="37" s="1"/>
  <c r="AG59" i="37" s="1"/>
  <c r="AH59" i="37" s="1"/>
  <c r="AV49" i="37"/>
  <c r="O49" i="37"/>
  <c r="P49" i="37" s="1"/>
  <c r="Q47" i="37"/>
  <c r="AR47" i="37"/>
  <c r="Q35" i="37"/>
  <c r="AR35" i="37"/>
  <c r="AO34" i="37"/>
  <c r="AP34" i="37" s="1"/>
  <c r="AN35" i="37"/>
  <c r="AV40" i="37" l="1"/>
  <c r="O40" i="37"/>
  <c r="P40" i="37" s="1"/>
  <c r="AR67" i="37"/>
  <c r="Q67" i="37"/>
  <c r="AR63" i="37"/>
  <c r="Q63" i="37"/>
  <c r="T63" i="37" s="1"/>
  <c r="T48" i="37"/>
  <c r="U48" i="37" s="1"/>
  <c r="V48" i="37" s="1"/>
  <c r="W48" i="37" s="1"/>
  <c r="X48" i="37" s="1"/>
  <c r="Y48" i="37" s="1"/>
  <c r="Z48" i="37" s="1"/>
  <c r="AA48" i="37" s="1"/>
  <c r="AB48" i="37" s="1"/>
  <c r="AC48" i="37" s="1"/>
  <c r="AD48" i="37" s="1"/>
  <c r="AE48" i="37" s="1"/>
  <c r="AF48" i="37" s="1"/>
  <c r="AG48" i="37" s="1"/>
  <c r="AH48" i="37" s="1"/>
  <c r="M55" i="37"/>
  <c r="N55" i="37" s="1"/>
  <c r="M42" i="37"/>
  <c r="N41" i="37"/>
  <c r="T62" i="37"/>
  <c r="U62" i="37" s="1"/>
  <c r="V62" i="37" s="1"/>
  <c r="W62" i="37" s="1"/>
  <c r="X62" i="37" s="1"/>
  <c r="Y62" i="37" s="1"/>
  <c r="Z62" i="37" s="1"/>
  <c r="AA62" i="37" s="1"/>
  <c r="AB62" i="37" s="1"/>
  <c r="AC62" i="37" s="1"/>
  <c r="AD62" i="37" s="1"/>
  <c r="AE62" i="37" s="1"/>
  <c r="AF62" i="37" s="1"/>
  <c r="AG62" i="37" s="1"/>
  <c r="AH62" i="37" s="1"/>
  <c r="T47" i="37"/>
  <c r="U47" i="37" s="1"/>
  <c r="V47" i="37" s="1"/>
  <c r="W47" i="37" s="1"/>
  <c r="X47" i="37" s="1"/>
  <c r="Y47" i="37" s="1"/>
  <c r="Z47" i="37" s="1"/>
  <c r="AA47" i="37" s="1"/>
  <c r="AB47" i="37" s="1"/>
  <c r="AC47" i="37" s="1"/>
  <c r="AD47" i="37" s="1"/>
  <c r="AE47" i="37" s="1"/>
  <c r="AF47" i="37" s="1"/>
  <c r="AG47" i="37" s="1"/>
  <c r="AH47" i="37" s="1"/>
  <c r="AV54" i="37"/>
  <c r="O54" i="37"/>
  <c r="P54" i="37" s="1"/>
  <c r="O39" i="37"/>
  <c r="P39" i="37" s="1"/>
  <c r="AV39" i="37"/>
  <c r="T61" i="37"/>
  <c r="AI34" i="37"/>
  <c r="AJ34" i="37" s="1"/>
  <c r="F35" i="37"/>
  <c r="AV66" i="37"/>
  <c r="O66" i="37"/>
  <c r="P66" i="37" s="1"/>
  <c r="AV65" i="37"/>
  <c r="O65" i="37"/>
  <c r="P65" i="37" s="1"/>
  <c r="R53" i="37"/>
  <c r="R41" i="37"/>
  <c r="AU35" i="37"/>
  <c r="AT36" i="37"/>
  <c r="AV53" i="37"/>
  <c r="O53" i="37"/>
  <c r="P53" i="37" s="1"/>
  <c r="T36" i="37"/>
  <c r="U36" i="37" s="1"/>
  <c r="V36" i="37" s="1"/>
  <c r="W36" i="37" s="1"/>
  <c r="X36" i="37" s="1"/>
  <c r="Y36" i="37" s="1"/>
  <c r="Z36" i="37" s="1"/>
  <c r="AA36" i="37" s="1"/>
  <c r="AB36" i="37" s="1"/>
  <c r="AC36" i="37" s="1"/>
  <c r="AD36" i="37" s="1"/>
  <c r="AE36" i="37" s="1"/>
  <c r="AF36" i="37" s="1"/>
  <c r="AG36" i="37" s="1"/>
  <c r="AH36" i="37" s="1"/>
  <c r="AJ33" i="37"/>
  <c r="O52" i="37"/>
  <c r="P52" i="37" s="1"/>
  <c r="AV52" i="37"/>
  <c r="AJ31" i="37"/>
  <c r="AO35" i="37"/>
  <c r="AP35" i="37" s="1"/>
  <c r="AN36" i="37"/>
  <c r="T35" i="37"/>
  <c r="U35" i="37" s="1"/>
  <c r="V35" i="37" s="1"/>
  <c r="W35" i="37" s="1"/>
  <c r="X35" i="37" s="1"/>
  <c r="Y35" i="37" s="1"/>
  <c r="Z35" i="37" s="1"/>
  <c r="AA35" i="37" s="1"/>
  <c r="AB35" i="37" s="1"/>
  <c r="AC35" i="37" s="1"/>
  <c r="AD35" i="37" s="1"/>
  <c r="AE35" i="37" s="1"/>
  <c r="AF35" i="37" s="1"/>
  <c r="AG35" i="37" s="1"/>
  <c r="AH35" i="37" s="1"/>
  <c r="AR49" i="37"/>
  <c r="Q49" i="37"/>
  <c r="AV51" i="37"/>
  <c r="O51" i="37"/>
  <c r="P51" i="37" s="1"/>
  <c r="R65" i="37"/>
  <c r="Q38" i="37"/>
  <c r="AR38" i="37"/>
  <c r="Q64" i="37"/>
  <c r="AR64" i="37"/>
  <c r="U61" i="37"/>
  <c r="V61" i="37" s="1"/>
  <c r="W61" i="37" s="1"/>
  <c r="X61" i="37" s="1"/>
  <c r="Y61" i="37" s="1"/>
  <c r="Z61" i="37" s="1"/>
  <c r="AA61" i="37" s="1"/>
  <c r="AB61" i="37" s="1"/>
  <c r="AC61" i="37" s="1"/>
  <c r="AD61" i="37" s="1"/>
  <c r="AE61" i="37" s="1"/>
  <c r="AF61" i="37" s="1"/>
  <c r="AG61" i="37" s="1"/>
  <c r="AH61" i="37" s="1"/>
  <c r="Q50" i="37"/>
  <c r="AR50" i="37"/>
  <c r="Q37" i="37"/>
  <c r="AR37" i="37"/>
  <c r="T64" i="37" l="1"/>
  <c r="U64" i="37" s="1"/>
  <c r="V64" i="37" s="1"/>
  <c r="W64" i="37" s="1"/>
  <c r="X64" i="37" s="1"/>
  <c r="Y64" i="37" s="1"/>
  <c r="Z64" i="37" s="1"/>
  <c r="AA64" i="37" s="1"/>
  <c r="AB64" i="37" s="1"/>
  <c r="AC64" i="37" s="1"/>
  <c r="AD64" i="37" s="1"/>
  <c r="AE64" i="37" s="1"/>
  <c r="AF64" i="37" s="1"/>
  <c r="AG64" i="37" s="1"/>
  <c r="AH64" i="37" s="1"/>
  <c r="Q66" i="37"/>
  <c r="AR66" i="37"/>
  <c r="AR52" i="37"/>
  <c r="Q52" i="37"/>
  <c r="O41" i="37"/>
  <c r="P41" i="37" s="1"/>
  <c r="AV41" i="37"/>
  <c r="T50" i="37"/>
  <c r="U50" i="37" s="1"/>
  <c r="V50" i="37" s="1"/>
  <c r="W50" i="37" s="1"/>
  <c r="X50" i="37" s="1"/>
  <c r="Y50" i="37" s="1"/>
  <c r="Z50" i="37" s="1"/>
  <c r="AA50" i="37" s="1"/>
  <c r="AB50" i="37" s="1"/>
  <c r="AC50" i="37" s="1"/>
  <c r="AD50" i="37" s="1"/>
  <c r="AE50" i="37" s="1"/>
  <c r="AF50" i="37" s="1"/>
  <c r="AG50" i="37" s="1"/>
  <c r="AH50" i="37" s="1"/>
  <c r="AR65" i="37"/>
  <c r="Q65" i="37"/>
  <c r="T65" i="37" s="1"/>
  <c r="U65" i="37" s="1"/>
  <c r="V65" i="37" s="1"/>
  <c r="W65" i="37" s="1"/>
  <c r="X65" i="37" s="1"/>
  <c r="Y65" i="37" s="1"/>
  <c r="Z65" i="37" s="1"/>
  <c r="AA65" i="37" s="1"/>
  <c r="AB65" i="37" s="1"/>
  <c r="AC65" i="37" s="1"/>
  <c r="AD65" i="37" s="1"/>
  <c r="AE65" i="37" s="1"/>
  <c r="AF65" i="37" s="1"/>
  <c r="AG65" i="37" s="1"/>
  <c r="AH65" i="37" s="1"/>
  <c r="M56" i="37"/>
  <c r="N56" i="37" s="1"/>
  <c r="N42" i="37"/>
  <c r="AR40" i="37"/>
  <c r="Q40" i="37"/>
  <c r="T37" i="37"/>
  <c r="U37" i="37" s="1"/>
  <c r="V37" i="37" s="1"/>
  <c r="W37" i="37" s="1"/>
  <c r="X37" i="37" s="1"/>
  <c r="Y37" i="37" s="1"/>
  <c r="Z37" i="37" s="1"/>
  <c r="AA37" i="37" s="1"/>
  <c r="AB37" i="37" s="1"/>
  <c r="AC37" i="37" s="1"/>
  <c r="AD37" i="37" s="1"/>
  <c r="AE37" i="37" s="1"/>
  <c r="AF37" i="37" s="1"/>
  <c r="AG37" i="37" s="1"/>
  <c r="AH37" i="37" s="1"/>
  <c r="T38" i="37"/>
  <c r="U38" i="37" s="1"/>
  <c r="V38" i="37" s="1"/>
  <c r="W38" i="37" s="1"/>
  <c r="X38" i="37" s="1"/>
  <c r="Y38" i="37" s="1"/>
  <c r="Z38" i="37" s="1"/>
  <c r="AA38" i="37" s="1"/>
  <c r="AB38" i="37" s="1"/>
  <c r="AC38" i="37" s="1"/>
  <c r="AD38" i="37" s="1"/>
  <c r="AE38" i="37" s="1"/>
  <c r="AF38" i="37" s="1"/>
  <c r="AG38" i="37" s="1"/>
  <c r="AH38" i="37" s="1"/>
  <c r="T49" i="37"/>
  <c r="U49" i="37" s="1"/>
  <c r="V49" i="37" s="1"/>
  <c r="W49" i="37" s="1"/>
  <c r="X49" i="37" s="1"/>
  <c r="Y49" i="37" s="1"/>
  <c r="Z49" i="37" s="1"/>
  <c r="AA49" i="37" s="1"/>
  <c r="AB49" i="37" s="1"/>
  <c r="AC49" i="37" s="1"/>
  <c r="AD49" i="37" s="1"/>
  <c r="AE49" i="37" s="1"/>
  <c r="AF49" i="37" s="1"/>
  <c r="AG49" i="37" s="1"/>
  <c r="AH49" i="37" s="1"/>
  <c r="AO36" i="37"/>
  <c r="AP36" i="37" s="1"/>
  <c r="AN37" i="37"/>
  <c r="AT37" i="37"/>
  <c r="AU36" i="37"/>
  <c r="R55" i="37"/>
  <c r="R42" i="37"/>
  <c r="AI35" i="37"/>
  <c r="AJ35" i="37" s="1"/>
  <c r="F36" i="37"/>
  <c r="Q54" i="37"/>
  <c r="AR54" i="37"/>
  <c r="AV55" i="37"/>
  <c r="O55" i="37"/>
  <c r="P55" i="37" s="1"/>
  <c r="AR51" i="37"/>
  <c r="Q51" i="37"/>
  <c r="AR53" i="37"/>
  <c r="Q53" i="37"/>
  <c r="U63" i="37"/>
  <c r="V63" i="37" s="1"/>
  <c r="W63" i="37" s="1"/>
  <c r="X63" i="37" s="1"/>
  <c r="Y63" i="37" s="1"/>
  <c r="Z63" i="37" s="1"/>
  <c r="AA63" i="37" s="1"/>
  <c r="AB63" i="37" s="1"/>
  <c r="AC63" i="37" s="1"/>
  <c r="AD63" i="37" s="1"/>
  <c r="AE63" i="37" s="1"/>
  <c r="AF63" i="37" s="1"/>
  <c r="AG63" i="37" s="1"/>
  <c r="AH63" i="37" s="1"/>
  <c r="Q39" i="37"/>
  <c r="AR39" i="37"/>
  <c r="T67" i="37"/>
  <c r="U67" i="37"/>
  <c r="V67" i="37" s="1"/>
  <c r="W67" i="37" s="1"/>
  <c r="X67" i="37" s="1"/>
  <c r="Y67" i="37" s="1"/>
  <c r="Z67" i="37" s="1"/>
  <c r="AA67" i="37" s="1"/>
  <c r="AB67" i="37" s="1"/>
  <c r="AC67" i="37" s="1"/>
  <c r="AD67" i="37" s="1"/>
  <c r="AE67" i="37" s="1"/>
  <c r="AF67" i="37" s="1"/>
  <c r="AG67" i="37" s="1"/>
  <c r="AH67" i="37" s="1"/>
  <c r="T66" i="37" l="1"/>
  <c r="U66" i="37" s="1"/>
  <c r="V66" i="37" s="1"/>
  <c r="W66" i="37" s="1"/>
  <c r="X66" i="37" s="1"/>
  <c r="Y66" i="37" s="1"/>
  <c r="Z66" i="37" s="1"/>
  <c r="AA66" i="37" s="1"/>
  <c r="AB66" i="37" s="1"/>
  <c r="AC66" i="37" s="1"/>
  <c r="AD66" i="37" s="1"/>
  <c r="AE66" i="37" s="1"/>
  <c r="AF66" i="37" s="1"/>
  <c r="AG66" i="37" s="1"/>
  <c r="AH66" i="37" s="1"/>
  <c r="T53" i="37"/>
  <c r="U53" i="37" s="1"/>
  <c r="V53" i="37" s="1"/>
  <c r="W53" i="37" s="1"/>
  <c r="X53" i="37" s="1"/>
  <c r="Y53" i="37" s="1"/>
  <c r="Z53" i="37" s="1"/>
  <c r="AA53" i="37" s="1"/>
  <c r="AB53" i="37" s="1"/>
  <c r="AC53" i="37" s="1"/>
  <c r="AD53" i="37" s="1"/>
  <c r="AE53" i="37" s="1"/>
  <c r="AF53" i="37" s="1"/>
  <c r="AG53" i="37" s="1"/>
  <c r="AH53" i="37" s="1"/>
  <c r="T39" i="37"/>
  <c r="U39" i="37" s="1"/>
  <c r="V39" i="37" s="1"/>
  <c r="W39" i="37" s="1"/>
  <c r="T51" i="37"/>
  <c r="U51" i="37" s="1"/>
  <c r="V51" i="37" s="1"/>
  <c r="W51" i="37" s="1"/>
  <c r="X51" i="37" s="1"/>
  <c r="Y51" i="37" s="1"/>
  <c r="Z51" i="37" s="1"/>
  <c r="AA51" i="37" s="1"/>
  <c r="AB51" i="37" s="1"/>
  <c r="AC51" i="37" s="1"/>
  <c r="AD51" i="37" s="1"/>
  <c r="AE51" i="37" s="1"/>
  <c r="AF51" i="37" s="1"/>
  <c r="AG51" i="37" s="1"/>
  <c r="AH51" i="37" s="1"/>
  <c r="R56" i="37"/>
  <c r="AU37" i="37"/>
  <c r="AT38" i="37"/>
  <c r="AR55" i="37"/>
  <c r="Q55" i="37"/>
  <c r="O56" i="37"/>
  <c r="P56" i="37" s="1"/>
  <c r="AV56" i="37"/>
  <c r="T40" i="37"/>
  <c r="U40" i="37" s="1"/>
  <c r="V40" i="37" s="1"/>
  <c r="W40" i="37" s="1"/>
  <c r="T52" i="37"/>
  <c r="U52" i="37" s="1"/>
  <c r="V52" i="37" s="1"/>
  <c r="W52" i="37" s="1"/>
  <c r="X52" i="37" s="1"/>
  <c r="Y52" i="37" s="1"/>
  <c r="Z52" i="37" s="1"/>
  <c r="AA52" i="37" s="1"/>
  <c r="AB52" i="37" s="1"/>
  <c r="AC52" i="37" s="1"/>
  <c r="AD52" i="37" s="1"/>
  <c r="AE52" i="37" s="1"/>
  <c r="AF52" i="37" s="1"/>
  <c r="AG52" i="37" s="1"/>
  <c r="AH52" i="37" s="1"/>
  <c r="T54" i="37"/>
  <c r="U54" i="37" s="1"/>
  <c r="V54" i="37" s="1"/>
  <c r="W54" i="37" s="1"/>
  <c r="X54" i="37" s="1"/>
  <c r="Y54" i="37" s="1"/>
  <c r="Z54" i="37" s="1"/>
  <c r="AA54" i="37" s="1"/>
  <c r="AB54" i="37" s="1"/>
  <c r="AC54" i="37" s="1"/>
  <c r="AD54" i="37" s="1"/>
  <c r="AE54" i="37" s="1"/>
  <c r="AF54" i="37" s="1"/>
  <c r="AG54" i="37" s="1"/>
  <c r="AH54" i="37" s="1"/>
  <c r="AI36" i="37"/>
  <c r="AJ36" i="37" s="1"/>
  <c r="F37" i="37"/>
  <c r="AN38" i="37"/>
  <c r="AO37" i="37"/>
  <c r="AP37" i="37" s="1"/>
  <c r="O42" i="37"/>
  <c r="P42" i="37" s="1"/>
  <c r="AV42" i="37"/>
  <c r="Q41" i="37"/>
  <c r="AR41" i="37"/>
  <c r="X40" i="37" l="1"/>
  <c r="Y40" i="37" s="1"/>
  <c r="Z40" i="37" s="1"/>
  <c r="AA40" i="37" s="1"/>
  <c r="AB40" i="37" s="1"/>
  <c r="AC40" i="37" s="1"/>
  <c r="AD40" i="37" s="1"/>
  <c r="AE40" i="37" s="1"/>
  <c r="AF40" i="37" s="1"/>
  <c r="AG40" i="37" s="1"/>
  <c r="AH40" i="37" s="1"/>
  <c r="AM62" i="37"/>
  <c r="AM61" i="37" s="1"/>
  <c r="AM60" i="37" s="1"/>
  <c r="AM59" i="37" s="1"/>
  <c r="AM58" i="37" s="1"/>
  <c r="AM57" i="37" s="1"/>
  <c r="X39" i="37"/>
  <c r="Y39" i="37" s="1"/>
  <c r="Z39" i="37" s="1"/>
  <c r="AA39" i="37" s="1"/>
  <c r="AB39" i="37" s="1"/>
  <c r="AC39" i="37" s="1"/>
  <c r="AD39" i="37" s="1"/>
  <c r="AE39" i="37" s="1"/>
  <c r="AF39" i="37" s="1"/>
  <c r="AG39" i="37" s="1"/>
  <c r="AH39" i="37" s="1"/>
  <c r="AR56" i="37"/>
  <c r="Q56" i="37"/>
  <c r="T55" i="37"/>
  <c r="U55" i="37" s="1"/>
  <c r="V55" i="37" s="1"/>
  <c r="W55" i="37" s="1"/>
  <c r="X55" i="37" s="1"/>
  <c r="Y55" i="37" s="1"/>
  <c r="Z55" i="37" s="1"/>
  <c r="AA55" i="37" s="1"/>
  <c r="AB55" i="37" s="1"/>
  <c r="AC55" i="37" s="1"/>
  <c r="AD55" i="37" s="1"/>
  <c r="AE55" i="37" s="1"/>
  <c r="AF55" i="37" s="1"/>
  <c r="AG55" i="37" s="1"/>
  <c r="AH55" i="37" s="1"/>
  <c r="AU38" i="37"/>
  <c r="AT39" i="37"/>
  <c r="T56" i="37"/>
  <c r="U56" i="37" s="1"/>
  <c r="AI37" i="37"/>
  <c r="AJ37" i="37" s="1"/>
  <c r="F38" i="37"/>
  <c r="AR42" i="37"/>
  <c r="Q42" i="37"/>
  <c r="T41" i="37"/>
  <c r="U41" i="37" s="1"/>
  <c r="V41" i="37" s="1"/>
  <c r="W41" i="37" s="1"/>
  <c r="AO38" i="37"/>
  <c r="AP38" i="37" s="1"/>
  <c r="AN39" i="37"/>
  <c r="X41" i="37" l="1"/>
  <c r="Y41" i="37" s="1"/>
  <c r="Z41" i="37" s="1"/>
  <c r="AA41" i="37" s="1"/>
  <c r="AB41" i="37" s="1"/>
  <c r="AC41" i="37" s="1"/>
  <c r="AD41" i="37" s="1"/>
  <c r="AE41" i="37" s="1"/>
  <c r="AF41" i="37" s="1"/>
  <c r="AG41" i="37" s="1"/>
  <c r="AH41" i="37" s="1"/>
  <c r="AI38" i="37"/>
  <c r="AJ38" i="37" s="1"/>
  <c r="F39" i="37"/>
  <c r="AU39" i="37"/>
  <c r="AT40" i="37"/>
  <c r="AN40" i="37"/>
  <c r="BB39" i="37"/>
  <c r="BC39" i="37" s="1"/>
  <c r="BD39" i="37" s="1"/>
  <c r="AO39" i="37"/>
  <c r="AP39" i="37" s="1"/>
  <c r="T42" i="37"/>
  <c r="U42" i="37" s="1"/>
  <c r="V42" i="37" s="1"/>
  <c r="W42" i="37" s="1"/>
  <c r="V56" i="37"/>
  <c r="W56" i="37" s="1"/>
  <c r="X56" i="37" s="1"/>
  <c r="Y56" i="37" s="1"/>
  <c r="Z56" i="37" s="1"/>
  <c r="AA56" i="37" s="1"/>
  <c r="AB56" i="37" s="1"/>
  <c r="AC56" i="37" s="1"/>
  <c r="AD56" i="37" s="1"/>
  <c r="AE56" i="37" s="1"/>
  <c r="AF56" i="37" s="1"/>
  <c r="AG56" i="37" s="1"/>
  <c r="AH56" i="37" s="1"/>
  <c r="AM56" i="37" l="1"/>
  <c r="AM55" i="37" s="1"/>
  <c r="AM54" i="37" s="1"/>
  <c r="AM53" i="37" s="1"/>
  <c r="AM52" i="37" s="1"/>
  <c r="AM51" i="37" s="1"/>
  <c r="AM50" i="37" s="1"/>
  <c r="AM49" i="37" s="1"/>
  <c r="AM48" i="37" s="1"/>
  <c r="AM47" i="37" s="1"/>
  <c r="AM46" i="37" s="1"/>
  <c r="AM45" i="37" s="1"/>
  <c r="AM44" i="37" s="1"/>
  <c r="AM43" i="37" s="1"/>
  <c r="AZ43" i="37" s="1"/>
  <c r="BA43" i="37" s="1"/>
  <c r="X42" i="37"/>
  <c r="Y42" i="37" s="1"/>
  <c r="Z42" i="37" s="1"/>
  <c r="AA42" i="37" s="1"/>
  <c r="AB42" i="37" s="1"/>
  <c r="AC42" i="37" s="1"/>
  <c r="AD42" i="37" s="1"/>
  <c r="AE42" i="37" s="1"/>
  <c r="AF42" i="37" s="1"/>
  <c r="AG42" i="37" s="1"/>
  <c r="AH42" i="37" s="1"/>
  <c r="AN41" i="37"/>
  <c r="AO40" i="37"/>
  <c r="AP40" i="37" s="1"/>
  <c r="BB40" i="37"/>
  <c r="BC40" i="37" s="1"/>
  <c r="BD40" i="37" s="1"/>
  <c r="AI39" i="37"/>
  <c r="AJ39" i="37" s="1"/>
  <c r="F40" i="37"/>
  <c r="AT41" i="37"/>
  <c r="AU40" i="37"/>
  <c r="AM42" i="37" l="1"/>
  <c r="AI40" i="37"/>
  <c r="AJ40" i="37" s="1"/>
  <c r="F41" i="37"/>
  <c r="BB41" i="37"/>
  <c r="BC41" i="37" s="1"/>
  <c r="BD41" i="37" s="1"/>
  <c r="AO41" i="37"/>
  <c r="AP41" i="37" s="1"/>
  <c r="AN42" i="37"/>
  <c r="AT42" i="37"/>
  <c r="AU41" i="37"/>
  <c r="AT43" i="37" l="1"/>
  <c r="AU42" i="37"/>
  <c r="AI41" i="37"/>
  <c r="AJ41" i="37" s="1"/>
  <c r="F42" i="37"/>
  <c r="AZ42" i="37"/>
  <c r="BA42" i="37" s="1"/>
  <c r="AM41" i="37"/>
  <c r="BB42" i="37"/>
  <c r="BC42" i="37" s="1"/>
  <c r="BD42" i="37" s="1"/>
  <c r="AN43" i="37"/>
  <c r="AO42" i="37"/>
  <c r="AP42" i="37" s="1"/>
  <c r="AN44" i="37" l="1"/>
  <c r="BB43" i="37"/>
  <c r="BC43" i="37" s="1"/>
  <c r="BD43" i="37" s="1"/>
  <c r="AO43" i="37"/>
  <c r="AP43" i="37" s="1"/>
  <c r="AI42" i="37"/>
  <c r="AJ42" i="37" s="1"/>
  <c r="F43" i="37"/>
  <c r="AZ41" i="37"/>
  <c r="BA41" i="37" s="1"/>
  <c r="AM40" i="37"/>
  <c r="AU43" i="37"/>
  <c r="AT44" i="37"/>
  <c r="AZ40" i="37" l="1"/>
  <c r="BA40" i="37" s="1"/>
  <c r="AM39" i="37"/>
  <c r="AT45" i="37"/>
  <c r="AU44" i="37"/>
  <c r="AI43" i="37"/>
  <c r="AJ43" i="37" s="1"/>
  <c r="F44" i="37"/>
  <c r="AN45" i="37"/>
  <c r="AO44" i="37"/>
  <c r="AP44" i="37" s="1"/>
  <c r="AN46" i="37" l="1"/>
  <c r="AO45" i="37"/>
  <c r="AP45" i="37" s="1"/>
  <c r="AU45" i="37"/>
  <c r="AT46" i="37"/>
  <c r="AI44" i="37"/>
  <c r="AJ44" i="37" s="1"/>
  <c r="F45" i="37"/>
  <c r="AZ39" i="37"/>
  <c r="BA39" i="37" s="1"/>
  <c r="AM38" i="37"/>
  <c r="AN47" i="37" l="1"/>
  <c r="AO46" i="37"/>
  <c r="AP46" i="37" s="1"/>
  <c r="AM37" i="37"/>
  <c r="AT47" i="37"/>
  <c r="AU46" i="37"/>
  <c r="AI45" i="37"/>
  <c r="AJ45" i="37" s="1"/>
  <c r="F46" i="37"/>
  <c r="AT48" i="37" l="1"/>
  <c r="AU47" i="37"/>
  <c r="AI46" i="37"/>
  <c r="AJ46" i="37" s="1"/>
  <c r="F47" i="37"/>
  <c r="AM36" i="37"/>
  <c r="AO47" i="37"/>
  <c r="AP47" i="37" s="1"/>
  <c r="AN48" i="37"/>
  <c r="AN49" i="37" l="1"/>
  <c r="AO48" i="37"/>
  <c r="AP48" i="37" s="1"/>
  <c r="AI47" i="37"/>
  <c r="AJ47" i="37" s="1"/>
  <c r="K6" i="37" s="1"/>
  <c r="F48" i="37"/>
  <c r="AM35" i="37"/>
  <c r="AU48" i="37"/>
  <c r="AT49" i="37"/>
  <c r="AT50" i="37" l="1"/>
  <c r="AU49" i="37"/>
  <c r="AI48" i="37"/>
  <c r="AJ48" i="37" s="1"/>
  <c r="F49" i="37"/>
  <c r="K11" i="37"/>
  <c r="K8" i="37"/>
  <c r="AM34" i="37"/>
  <c r="AN50" i="37"/>
  <c r="AO49" i="37"/>
  <c r="AP49" i="37" s="1"/>
  <c r="AN51" i="37" l="1"/>
  <c r="AO50" i="37"/>
  <c r="AP50" i="37" s="1"/>
  <c r="AU50" i="37"/>
  <c r="AT51" i="37"/>
  <c r="AI49" i="37"/>
  <c r="AJ49" i="37" s="1"/>
  <c r="F50" i="37"/>
  <c r="AM33" i="37"/>
  <c r="AI50" i="37" l="1"/>
  <c r="AJ50" i="37" s="1"/>
  <c r="F51" i="37"/>
  <c r="AM32" i="37"/>
  <c r="AT52" i="37"/>
  <c r="AU51" i="37"/>
  <c r="AO51" i="37"/>
  <c r="AP51" i="37" s="1"/>
  <c r="AN52" i="37"/>
  <c r="AM31" i="37" l="1"/>
  <c r="AI51" i="37"/>
  <c r="AJ51" i="37" s="1"/>
  <c r="F52" i="37"/>
  <c r="AN53" i="37"/>
  <c r="AO52" i="37"/>
  <c r="AP52" i="37" s="1"/>
  <c r="AU52" i="37"/>
  <c r="AT53" i="37"/>
  <c r="AN54" i="37" l="1"/>
  <c r="AO53" i="37"/>
  <c r="AP53" i="37" s="1"/>
  <c r="AT54" i="37"/>
  <c r="AU53" i="37"/>
  <c r="AI52" i="37"/>
  <c r="AJ52" i="37" s="1"/>
  <c r="F53" i="37"/>
  <c r="AZ31" i="37"/>
  <c r="BA31" i="37" s="1"/>
  <c r="AM30" i="37"/>
  <c r="AU54" i="37" l="1"/>
  <c r="AT55" i="37"/>
  <c r="AI53" i="37"/>
  <c r="AJ53" i="37" s="1"/>
  <c r="F54" i="37"/>
  <c r="AZ30" i="37"/>
  <c r="BA30" i="37" s="1"/>
  <c r="AM29" i="37"/>
  <c r="AN55" i="37"/>
  <c r="AO54" i="37"/>
  <c r="AP54" i="37" s="1"/>
  <c r="AO55" i="37" l="1"/>
  <c r="AP55" i="37" s="1"/>
  <c r="AN56" i="37"/>
  <c r="AI54" i="37"/>
  <c r="AJ54" i="37" s="1"/>
  <c r="F55" i="37"/>
  <c r="AZ29" i="37"/>
  <c r="BA29" i="37" s="1"/>
  <c r="AM28" i="37"/>
  <c r="AT56" i="37"/>
  <c r="AU55" i="37"/>
  <c r="AU56" i="37" l="1"/>
  <c r="AT57" i="37"/>
  <c r="AI55" i="37"/>
  <c r="AJ55" i="37" s="1"/>
  <c r="F56" i="37"/>
  <c r="AZ28" i="37"/>
  <c r="BA28" i="37" s="1"/>
  <c r="K9" i="37"/>
  <c r="K12" i="37" s="1"/>
  <c r="AM69" i="37"/>
  <c r="AN57" i="37"/>
  <c r="AO56" i="37"/>
  <c r="AP56" i="37" s="1"/>
  <c r="AI56" i="37" l="1"/>
  <c r="AJ56" i="37" s="1"/>
  <c r="F57" i="37"/>
  <c r="K13" i="37"/>
  <c r="K14" i="37" s="1"/>
  <c r="P7" i="37"/>
  <c r="P11" i="37" s="1"/>
  <c r="P12" i="37" s="1"/>
  <c r="AT58" i="37"/>
  <c r="AU57" i="37"/>
  <c r="AN58" i="37"/>
  <c r="AO57" i="37"/>
  <c r="AP57" i="37" s="1"/>
  <c r="AT59" i="37" l="1"/>
  <c r="AU58" i="37"/>
  <c r="AO58" i="37"/>
  <c r="AP58" i="37" s="1"/>
  <c r="AN59" i="37"/>
  <c r="AI57" i="37"/>
  <c r="AJ57" i="37" s="1"/>
  <c r="F58" i="37"/>
  <c r="AT60" i="37" l="1"/>
  <c r="AU59" i="37"/>
  <c r="AO59" i="37"/>
  <c r="AP59" i="37" s="1"/>
  <c r="AN60" i="37"/>
  <c r="AI58" i="37"/>
  <c r="AJ58" i="37" s="1"/>
  <c r="F59" i="37"/>
  <c r="AN61" i="37" l="1"/>
  <c r="AO60" i="37"/>
  <c r="AP60" i="37" s="1"/>
  <c r="AI59" i="37"/>
  <c r="AJ59" i="37" s="1"/>
  <c r="F60" i="37"/>
  <c r="AT61" i="37"/>
  <c r="AU60" i="37"/>
  <c r="AT62" i="37" l="1"/>
  <c r="AU61" i="37"/>
  <c r="AN62" i="37"/>
  <c r="AO61" i="37"/>
  <c r="AP61" i="37" s="1"/>
  <c r="AI60" i="37"/>
  <c r="AJ60" i="37" s="1"/>
  <c r="F61" i="37"/>
  <c r="AN63" i="37" l="1"/>
  <c r="AO62" i="37"/>
  <c r="AP62" i="37" s="1"/>
  <c r="AI61" i="37"/>
  <c r="AJ61" i="37" s="1"/>
  <c r="F62" i="37"/>
  <c r="AT63" i="37"/>
  <c r="AU62" i="37"/>
  <c r="AT64" i="37" l="1"/>
  <c r="AU63" i="37"/>
  <c r="AN64" i="37"/>
  <c r="AO63" i="37"/>
  <c r="AP63" i="37" s="1"/>
  <c r="AI62" i="37"/>
  <c r="AJ62" i="37" s="1"/>
  <c r="F63" i="37"/>
  <c r="AN65" i="37" l="1"/>
  <c r="AO64" i="37"/>
  <c r="AP64" i="37" s="1"/>
  <c r="AI63" i="37"/>
  <c r="AJ63" i="37" s="1"/>
  <c r="F64" i="37"/>
  <c r="AT65" i="37"/>
  <c r="AU64" i="37"/>
  <c r="AT66" i="37" l="1"/>
  <c r="AU65" i="37"/>
  <c r="AN66" i="37"/>
  <c r="AO65" i="37"/>
  <c r="AP65" i="37" s="1"/>
  <c r="AI64" i="37"/>
  <c r="AJ64" i="37" s="1"/>
  <c r="F65" i="37"/>
  <c r="AN67" i="37" l="1"/>
  <c r="AO67" i="37" s="1"/>
  <c r="AP67" i="37" s="1"/>
  <c r="AO66" i="37"/>
  <c r="AP66" i="37" s="1"/>
  <c r="AI65" i="37"/>
  <c r="AJ65" i="37" s="1"/>
  <c r="F66" i="37"/>
  <c r="AT67" i="37"/>
  <c r="AU67" i="37" s="1"/>
  <c r="AU66" i="37"/>
  <c r="AI66" i="37" l="1"/>
  <c r="AJ66" i="37" s="1"/>
  <c r="F67" i="37"/>
  <c r="AI67" i="37" s="1"/>
  <c r="AJ67" i="37" s="1"/>
  <c r="D12" i="10" l="1"/>
  <c r="L16" i="10"/>
  <c r="I15" i="10"/>
  <c r="AA6" i="23" l="1"/>
  <c r="AA7" i="23" s="1"/>
  <c r="AA8" i="23" s="1"/>
  <c r="AA9" i="23" s="1"/>
  <c r="AA10" i="23" s="1"/>
  <c r="AA11" i="23" s="1"/>
  <c r="AA12" i="23" s="1"/>
  <c r="AA13" i="23" s="1"/>
  <c r="AA14" i="23" s="1"/>
  <c r="AA15" i="23" s="1"/>
  <c r="AA16" i="23" s="1"/>
  <c r="AA17" i="23" s="1"/>
  <c r="AA18" i="23" s="1"/>
  <c r="AA19" i="23" s="1"/>
  <c r="AA20" i="23" s="1"/>
  <c r="AA21" i="23" s="1"/>
  <c r="AA22" i="23" s="1"/>
  <c r="AA23" i="23" s="1"/>
  <c r="AA24" i="23" s="1"/>
  <c r="AA25" i="23" s="1"/>
  <c r="AA26" i="23" s="1"/>
  <c r="AA27" i="23" s="1"/>
  <c r="AA28" i="23" s="1"/>
  <c r="AA29" i="23" s="1"/>
  <c r="AA30" i="23" s="1"/>
  <c r="AA31" i="23" s="1"/>
  <c r="AA32" i="23" s="1"/>
  <c r="AA33" i="23" s="1"/>
  <c r="AA34" i="23" s="1"/>
  <c r="AA35" i="23" s="1"/>
  <c r="AA36" i="23" s="1"/>
  <c r="AA37" i="23" s="1"/>
  <c r="AA38" i="23" s="1"/>
  <c r="AA39" i="23" s="1"/>
  <c r="AA40" i="23" s="1"/>
  <c r="AA41" i="23" s="1"/>
  <c r="AA42" i="23" s="1"/>
  <c r="AA43" i="23" s="1"/>
  <c r="AA44" i="23" s="1"/>
  <c r="AA45" i="23" s="1"/>
  <c r="AA46" i="23" s="1"/>
  <c r="AA47" i="23" s="1"/>
  <c r="AA48" i="23" s="1"/>
  <c r="AA49" i="23" s="1"/>
  <c r="AA50" i="23" s="1"/>
  <c r="AA51" i="23" s="1"/>
  <c r="AA52" i="23" s="1"/>
  <c r="AA53" i="23" s="1"/>
  <c r="AA54" i="23" s="1"/>
  <c r="AA55" i="23" s="1"/>
  <c r="AA56" i="23" s="1"/>
  <c r="AA57" i="23" s="1"/>
  <c r="AA58" i="23" s="1"/>
  <c r="AA59" i="23" s="1"/>
  <c r="AA60" i="23" s="1"/>
  <c r="AA61" i="23" s="1"/>
  <c r="AA62" i="23" s="1"/>
  <c r="AA63" i="23" s="1"/>
  <c r="AA64" i="23" s="1"/>
  <c r="AA65" i="23" s="1"/>
  <c r="AA66" i="23" s="1"/>
  <c r="AA67" i="23" s="1"/>
  <c r="AA68" i="23" s="1"/>
  <c r="AA69" i="23" s="1"/>
  <c r="AA70" i="23" s="1"/>
  <c r="AA71" i="23" s="1"/>
  <c r="AA72" i="23" s="1"/>
  <c r="AA73" i="23" s="1"/>
  <c r="AA74" i="23" s="1"/>
  <c r="AA75" i="23" s="1"/>
  <c r="AA76" i="23" s="1"/>
  <c r="AA77" i="23" s="1"/>
  <c r="AA78" i="23" s="1"/>
  <c r="AA79" i="23" s="1"/>
  <c r="AA80" i="23" s="1"/>
  <c r="AA81" i="23" s="1"/>
  <c r="AA82" i="23" s="1"/>
  <c r="AA83" i="23" s="1"/>
  <c r="AA84" i="23" s="1"/>
  <c r="AA85" i="23" s="1"/>
  <c r="AA86" i="23" s="1"/>
  <c r="AA87" i="23" s="1"/>
  <c r="AA88" i="23" s="1"/>
  <c r="AA89" i="23" s="1"/>
  <c r="AA90" i="23" s="1"/>
  <c r="AA91" i="23" s="1"/>
  <c r="AA92" i="23" s="1"/>
  <c r="AA93" i="23" s="1"/>
  <c r="AA94" i="23" s="1"/>
  <c r="AA95" i="23" s="1"/>
  <c r="AA96" i="23" s="1"/>
  <c r="AA97" i="23" s="1"/>
  <c r="AA98" i="23" s="1"/>
  <c r="AA99" i="23" s="1"/>
  <c r="AA100" i="23" s="1"/>
  <c r="AA101" i="23" s="1"/>
  <c r="AA102" i="23" s="1"/>
  <c r="AA103" i="23" s="1"/>
  <c r="AA104" i="23" s="1"/>
  <c r="AF5" i="23"/>
  <c r="J11" i="23" l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J84" i="23" s="1"/>
  <c r="J85" i="23" s="1"/>
  <c r="J86" i="23" s="1"/>
  <c r="J87" i="23" s="1"/>
  <c r="J88" i="23" s="1"/>
  <c r="J89" i="23" s="1"/>
  <c r="J90" i="23" s="1"/>
  <c r="J91" i="23" s="1"/>
  <c r="J92" i="23" s="1"/>
  <c r="J93" i="23" s="1"/>
  <c r="J94" i="23" s="1"/>
  <c r="J95" i="23" s="1"/>
  <c r="J96" i="23" s="1"/>
  <c r="J97" i="23" s="1"/>
  <c r="J98" i="23" s="1"/>
  <c r="J99" i="23" s="1"/>
  <c r="J100" i="23" s="1"/>
  <c r="J101" i="23" s="1"/>
  <c r="J102" i="23" s="1"/>
  <c r="J103" i="23" s="1"/>
  <c r="J104" i="23" s="1"/>
  <c r="H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AF6" i="23"/>
  <c r="AF7" i="23" s="1"/>
  <c r="AF8" i="23" s="1"/>
  <c r="AF9" i="23" s="1"/>
  <c r="AF10" i="23" s="1"/>
  <c r="AF11" i="23" s="1"/>
  <c r="AF12" i="23" s="1"/>
  <c r="AF13" i="23" s="1"/>
  <c r="AF14" i="23" s="1"/>
  <c r="AF15" i="23" s="1"/>
  <c r="AF16" i="23" s="1"/>
  <c r="AF17" i="23" s="1"/>
  <c r="AF18" i="23" s="1"/>
  <c r="AF19" i="23" s="1"/>
  <c r="AF20" i="23" s="1"/>
  <c r="AF21" i="23" s="1"/>
  <c r="AF22" i="23" s="1"/>
  <c r="AF23" i="23" s="1"/>
  <c r="AF24" i="23" s="1"/>
  <c r="AF25" i="23" s="1"/>
  <c r="AF26" i="23" s="1"/>
  <c r="AF27" i="23" s="1"/>
  <c r="AF28" i="23" s="1"/>
  <c r="AF29" i="23" s="1"/>
  <c r="AF30" i="23" s="1"/>
  <c r="AF31" i="23" s="1"/>
  <c r="AF32" i="23" s="1"/>
  <c r="AF33" i="23" s="1"/>
  <c r="AF34" i="23" s="1"/>
  <c r="AF35" i="23" s="1"/>
  <c r="AF36" i="23" s="1"/>
  <c r="AF37" i="23" s="1"/>
  <c r="AF38" i="23" s="1"/>
  <c r="AF39" i="23" s="1"/>
  <c r="AF40" i="23" s="1"/>
  <c r="AF41" i="23" s="1"/>
  <c r="AF42" i="23" s="1"/>
  <c r="AF43" i="23" s="1"/>
  <c r="AF44" i="23" s="1"/>
  <c r="AF45" i="23" s="1"/>
  <c r="AF46" i="23" s="1"/>
  <c r="AF47" i="23" s="1"/>
  <c r="AF48" i="23" s="1"/>
  <c r="AF49" i="23" s="1"/>
  <c r="AF50" i="23" s="1"/>
  <c r="AF51" i="23" s="1"/>
  <c r="AF52" i="23" s="1"/>
  <c r="AF53" i="23" s="1"/>
  <c r="AF54" i="23" s="1"/>
  <c r="AF55" i="23" s="1"/>
  <c r="AF56" i="23" s="1"/>
  <c r="AF57" i="23" s="1"/>
  <c r="AF58" i="23" s="1"/>
  <c r="AF59" i="23" s="1"/>
  <c r="AF60" i="23" s="1"/>
  <c r="AF61" i="23" s="1"/>
  <c r="AF62" i="23" s="1"/>
  <c r="AF63" i="23" s="1"/>
  <c r="AF64" i="23" s="1"/>
  <c r="AF65" i="23" s="1"/>
  <c r="AF66" i="23" s="1"/>
  <c r="AF67" i="23" s="1"/>
  <c r="AF68" i="23" s="1"/>
  <c r="AF69" i="23" s="1"/>
  <c r="AF70" i="23" s="1"/>
  <c r="AF71" i="23" s="1"/>
  <c r="AF72" i="23" s="1"/>
  <c r="AF73" i="23" s="1"/>
  <c r="AF74" i="23" s="1"/>
  <c r="AF75" i="23" s="1"/>
  <c r="AF76" i="23" s="1"/>
  <c r="AF77" i="23" s="1"/>
  <c r="AF78" i="23" s="1"/>
  <c r="AF79" i="23" s="1"/>
  <c r="AF80" i="23" s="1"/>
  <c r="AF81" i="23" s="1"/>
  <c r="AF82" i="23" s="1"/>
  <c r="AF83" i="23" s="1"/>
  <c r="AF84" i="23" s="1"/>
  <c r="AF85" i="23" s="1"/>
  <c r="AF86" i="23" s="1"/>
  <c r="AF87" i="23" s="1"/>
  <c r="AF88" i="23" s="1"/>
  <c r="AF89" i="23" s="1"/>
  <c r="AF90" i="23" s="1"/>
  <c r="AF91" i="23" s="1"/>
  <c r="AF92" i="23" s="1"/>
  <c r="AF93" i="23" s="1"/>
  <c r="AF94" i="23" s="1"/>
  <c r="AF95" i="23" s="1"/>
  <c r="AF96" i="23" s="1"/>
  <c r="AF97" i="23" s="1"/>
  <c r="AF98" i="23" s="1"/>
  <c r="AF99" i="23" s="1"/>
  <c r="AF100" i="23" s="1"/>
  <c r="AF101" i="23" s="1"/>
  <c r="AF102" i="23" s="1"/>
  <c r="AF103" i="23" s="1"/>
  <c r="AF104" i="23" s="1"/>
  <c r="AL7" i="23"/>
  <c r="AD6" i="23"/>
  <c r="AD7" i="23"/>
  <c r="AD8" i="23"/>
  <c r="AD9" i="23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34" i="23"/>
  <c r="AD35" i="23"/>
  <c r="AD36" i="23"/>
  <c r="AD37" i="23"/>
  <c r="AD38" i="23"/>
  <c r="AD39" i="23"/>
  <c r="AD40" i="23"/>
  <c r="AD41" i="23"/>
  <c r="AD42" i="23"/>
  <c r="AD43" i="23"/>
  <c r="AD44" i="23"/>
  <c r="AD45" i="23"/>
  <c r="AD46" i="23"/>
  <c r="AD47" i="23"/>
  <c r="AD48" i="23"/>
  <c r="AD49" i="23"/>
  <c r="AD50" i="23"/>
  <c r="AD51" i="23"/>
  <c r="AD52" i="23"/>
  <c r="AD53" i="23"/>
  <c r="AD54" i="23"/>
  <c r="AD55" i="23"/>
  <c r="AD56" i="23"/>
  <c r="AD57" i="23"/>
  <c r="AD58" i="23"/>
  <c r="AD59" i="23"/>
  <c r="AD60" i="23"/>
  <c r="AD61" i="23"/>
  <c r="AD62" i="23"/>
  <c r="AD63" i="23"/>
  <c r="AD64" i="23"/>
  <c r="AD65" i="23"/>
  <c r="AD66" i="23"/>
  <c r="AD67" i="23"/>
  <c r="AD68" i="23"/>
  <c r="AD69" i="23"/>
  <c r="AD70" i="23"/>
  <c r="AD71" i="23"/>
  <c r="AD72" i="23"/>
  <c r="AD73" i="23"/>
  <c r="AD74" i="23"/>
  <c r="AD75" i="23"/>
  <c r="AD76" i="23"/>
  <c r="AD77" i="23"/>
  <c r="AD78" i="23"/>
  <c r="AD79" i="23"/>
  <c r="AD80" i="23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E104" i="23"/>
  <c r="AC104" i="23" s="1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X5" i="23"/>
  <c r="X6" i="23" s="1"/>
  <c r="X7" i="23" s="1"/>
  <c r="G6" i="23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/>
  <c r="G25" i="23" s="1"/>
  <c r="G26" i="23" s="1"/>
  <c r="G27" i="23" s="1"/>
  <c r="G28" i="23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G54" i="23" s="1"/>
  <c r="G55" i="23" s="1"/>
  <c r="G56" i="23" s="1"/>
  <c r="G57" i="23" s="1"/>
  <c r="G58" i="23" s="1"/>
  <c r="G59" i="23" s="1"/>
  <c r="G60" i="23" s="1"/>
  <c r="G61" i="23" s="1"/>
  <c r="G62" i="23" s="1"/>
  <c r="G63" i="23" s="1"/>
  <c r="G64" i="23" s="1"/>
  <c r="G65" i="23" s="1"/>
  <c r="G66" i="23" s="1"/>
  <c r="G67" i="23" s="1"/>
  <c r="G68" i="23" s="1"/>
  <c r="G69" i="23" s="1"/>
  <c r="G70" i="23" s="1"/>
  <c r="G71" i="23" s="1"/>
  <c r="G72" i="23" s="1"/>
  <c r="G73" i="23" s="1"/>
  <c r="G74" i="23" s="1"/>
  <c r="G75" i="23" s="1"/>
  <c r="G76" i="23" s="1"/>
  <c r="G77" i="23" s="1"/>
  <c r="G78" i="23" s="1"/>
  <c r="G79" i="23" s="1"/>
  <c r="G80" i="23" s="1"/>
  <c r="G81" i="23" s="1"/>
  <c r="G82" i="23" s="1"/>
  <c r="G83" i="23" s="1"/>
  <c r="G84" i="23" s="1"/>
  <c r="G85" i="23" s="1"/>
  <c r="G86" i="23" s="1"/>
  <c r="G87" i="23" s="1"/>
  <c r="G88" i="23" s="1"/>
  <c r="G89" i="23" s="1"/>
  <c r="G90" i="23" s="1"/>
  <c r="G91" i="23" s="1"/>
  <c r="G92" i="23" s="1"/>
  <c r="G93" i="23" s="1"/>
  <c r="G94" i="23" s="1"/>
  <c r="G95" i="23" s="1"/>
  <c r="G96" i="23" s="1"/>
  <c r="G97" i="23" s="1"/>
  <c r="G98" i="23" s="1"/>
  <c r="G99" i="23" s="1"/>
  <c r="G100" i="23" s="1"/>
  <c r="G101" i="23" s="1"/>
  <c r="G102" i="23" s="1"/>
  <c r="G103" i="23" s="1"/>
  <c r="G104" i="23" s="1"/>
  <c r="F6" i="23"/>
  <c r="F7" i="23"/>
  <c r="F8" i="23"/>
  <c r="F9" i="23" s="1"/>
  <c r="F10" i="23" s="1"/>
  <c r="F11" i="23" s="1"/>
  <c r="F12" i="23" s="1"/>
  <c r="F13" i="23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F81" i="23" s="1"/>
  <c r="F82" i="23" s="1"/>
  <c r="F83" i="23" s="1"/>
  <c r="F84" i="23" s="1"/>
  <c r="F85" i="23" s="1"/>
  <c r="F86" i="23" s="1"/>
  <c r="F87" i="23" s="1"/>
  <c r="F88" i="23" s="1"/>
  <c r="F89" i="23" s="1"/>
  <c r="F90" i="23" s="1"/>
  <c r="F91" i="23" s="1"/>
  <c r="F92" i="23" s="1"/>
  <c r="F93" i="23" s="1"/>
  <c r="F94" i="23" s="1"/>
  <c r="F95" i="23" s="1"/>
  <c r="F96" i="23" s="1"/>
  <c r="F97" i="23" s="1"/>
  <c r="F98" i="23" s="1"/>
  <c r="F99" i="23" s="1"/>
  <c r="F100" i="23" s="1"/>
  <c r="F101" i="23" s="1"/>
  <c r="F102" i="23" s="1"/>
  <c r="F103" i="23" s="1"/>
  <c r="F104" i="23" s="1"/>
  <c r="AE103" i="23"/>
  <c r="AC103" i="23" s="1"/>
  <c r="AE102" i="23"/>
  <c r="AC102" i="23" s="1"/>
  <c r="AE101" i="23"/>
  <c r="AC101" i="23" s="1"/>
  <c r="AE100" i="23"/>
  <c r="AC100" i="23" s="1"/>
  <c r="AE99" i="23"/>
  <c r="AC99" i="23" s="1"/>
  <c r="AE98" i="23"/>
  <c r="AC98" i="23" s="1"/>
  <c r="AE97" i="23"/>
  <c r="AC97" i="23" s="1"/>
  <c r="AE96" i="23"/>
  <c r="AC96" i="23" s="1"/>
  <c r="AE95" i="23"/>
  <c r="AC95" i="23" s="1"/>
  <c r="AE94" i="23"/>
  <c r="AC94" i="23" s="1"/>
  <c r="AE93" i="23"/>
  <c r="AC93" i="23" s="1"/>
  <c r="AE92" i="23"/>
  <c r="AC92" i="23" s="1"/>
  <c r="AE91" i="23"/>
  <c r="AC91" i="23" s="1"/>
  <c r="AE90" i="23"/>
  <c r="AC90" i="23" s="1"/>
  <c r="AE89" i="23"/>
  <c r="AC89" i="23" s="1"/>
  <c r="AE88" i="23"/>
  <c r="AC88" i="23" s="1"/>
  <c r="AE87" i="23"/>
  <c r="AC87" i="23" s="1"/>
  <c r="AE86" i="23"/>
  <c r="AC86" i="23" s="1"/>
  <c r="AE85" i="23"/>
  <c r="AC85" i="23" s="1"/>
  <c r="AE84" i="23"/>
  <c r="AC84" i="23" s="1"/>
  <c r="AE83" i="23"/>
  <c r="AC83" i="23" s="1"/>
  <c r="AE82" i="23"/>
  <c r="AC82" i="23" s="1"/>
  <c r="AE81" i="23"/>
  <c r="AC81" i="23" s="1"/>
  <c r="AE80" i="23"/>
  <c r="AC80" i="23" s="1"/>
  <c r="AE79" i="23"/>
  <c r="AC79" i="23" s="1"/>
  <c r="AE78" i="23"/>
  <c r="AC78" i="23" s="1"/>
  <c r="AE77" i="23"/>
  <c r="AC77" i="23" s="1"/>
  <c r="AE76" i="23"/>
  <c r="AC76" i="23" s="1"/>
  <c r="AE75" i="23"/>
  <c r="AC75" i="23" s="1"/>
  <c r="AE74" i="23"/>
  <c r="AC74" i="23" s="1"/>
  <c r="AE73" i="23"/>
  <c r="AC73" i="23" s="1"/>
  <c r="AE72" i="23"/>
  <c r="AC72" i="23" s="1"/>
  <c r="AE71" i="23"/>
  <c r="AC71" i="23" s="1"/>
  <c r="AE70" i="23"/>
  <c r="AC70" i="23" s="1"/>
  <c r="AE69" i="23"/>
  <c r="AC69" i="23" s="1"/>
  <c r="AE68" i="23"/>
  <c r="AC68" i="23" s="1"/>
  <c r="AE67" i="23"/>
  <c r="AC67" i="23" s="1"/>
  <c r="AE66" i="23"/>
  <c r="AC66" i="23" s="1"/>
  <c r="AE65" i="23"/>
  <c r="AC65" i="23" s="1"/>
  <c r="AE64" i="23"/>
  <c r="AC64" i="23" s="1"/>
  <c r="AE63" i="23"/>
  <c r="AC63" i="23" s="1"/>
  <c r="AE62" i="23"/>
  <c r="AC62" i="23" s="1"/>
  <c r="AE61" i="23"/>
  <c r="AC61" i="23" s="1"/>
  <c r="AE60" i="23"/>
  <c r="AC60" i="23" s="1"/>
  <c r="AE59" i="23"/>
  <c r="AC59" i="23" s="1"/>
  <c r="AE58" i="23"/>
  <c r="AC58" i="23" s="1"/>
  <c r="AE57" i="23"/>
  <c r="AC57" i="23" s="1"/>
  <c r="AE56" i="23"/>
  <c r="AC56" i="23" s="1"/>
  <c r="AE55" i="23"/>
  <c r="AC55" i="23" s="1"/>
  <c r="AE54" i="23"/>
  <c r="AC54" i="23" s="1"/>
  <c r="AE53" i="23"/>
  <c r="AC53" i="23" s="1"/>
  <c r="AE52" i="23"/>
  <c r="AC52" i="23" s="1"/>
  <c r="AE51" i="23"/>
  <c r="AC51" i="23" s="1"/>
  <c r="AE50" i="23"/>
  <c r="AC50" i="23" s="1"/>
  <c r="AE49" i="23"/>
  <c r="AC49" i="23" s="1"/>
  <c r="AE48" i="23"/>
  <c r="AC48" i="23" s="1"/>
  <c r="AE47" i="23"/>
  <c r="AC47" i="23" s="1"/>
  <c r="AE46" i="23"/>
  <c r="AC46" i="23" s="1"/>
  <c r="AE45" i="23"/>
  <c r="AC45" i="23" s="1"/>
  <c r="AE44" i="23"/>
  <c r="AC44" i="23" s="1"/>
  <c r="AE43" i="23"/>
  <c r="AC43" i="23" s="1"/>
  <c r="AE42" i="23"/>
  <c r="AC42" i="23" s="1"/>
  <c r="AE41" i="23"/>
  <c r="AC41" i="23" s="1"/>
  <c r="AE40" i="23"/>
  <c r="AC40" i="23" s="1"/>
  <c r="AE39" i="23"/>
  <c r="AC39" i="23" s="1"/>
  <c r="AE38" i="23"/>
  <c r="AC38" i="23" s="1"/>
  <c r="AE37" i="23"/>
  <c r="AC37" i="23" s="1"/>
  <c r="AE36" i="23"/>
  <c r="AC36" i="23" s="1"/>
  <c r="AE35" i="23"/>
  <c r="AC35" i="23" s="1"/>
  <c r="AE34" i="23"/>
  <c r="AC34" i="23" s="1"/>
  <c r="AE33" i="23"/>
  <c r="AC33" i="23" s="1"/>
  <c r="AE32" i="23"/>
  <c r="AC32" i="23" s="1"/>
  <c r="AE31" i="23"/>
  <c r="AC31" i="23" s="1"/>
  <c r="AE30" i="23"/>
  <c r="AC30" i="23" s="1"/>
  <c r="AE29" i="23"/>
  <c r="AC29" i="23" s="1"/>
  <c r="AE28" i="23"/>
  <c r="AC28" i="23" s="1"/>
  <c r="AE27" i="23"/>
  <c r="AC27" i="23" s="1"/>
  <c r="AE26" i="23"/>
  <c r="AC26" i="23" s="1"/>
  <c r="AE25" i="23"/>
  <c r="AC25" i="23" s="1"/>
  <c r="AE24" i="23"/>
  <c r="AC24" i="23" s="1"/>
  <c r="AE23" i="23"/>
  <c r="AC23" i="23" s="1"/>
  <c r="AE22" i="23"/>
  <c r="AC22" i="23" s="1"/>
  <c r="AE21" i="23"/>
  <c r="AC21" i="23" s="1"/>
  <c r="AE20" i="23"/>
  <c r="AC20" i="23" s="1"/>
  <c r="AE19" i="23"/>
  <c r="AC19" i="23" s="1"/>
  <c r="AE18" i="23"/>
  <c r="AC18" i="23"/>
  <c r="AE17" i="23"/>
  <c r="AC17" i="23"/>
  <c r="AE16" i="23"/>
  <c r="AC16" i="23"/>
  <c r="AE15" i="23"/>
  <c r="AC15" i="23"/>
  <c r="AE14" i="23"/>
  <c r="AC14" i="23"/>
  <c r="AE13" i="23"/>
  <c r="AC13" i="23"/>
  <c r="AE12" i="23"/>
  <c r="AC12" i="23"/>
  <c r="AE11" i="23"/>
  <c r="AC11" i="23"/>
  <c r="AE10" i="23"/>
  <c r="AC10" i="23"/>
  <c r="AE9" i="23"/>
  <c r="AH9" i="23"/>
  <c r="AC9" i="23"/>
  <c r="AE8" i="23"/>
  <c r="AH8" i="23" s="1"/>
  <c r="AL8" i="23"/>
  <c r="AC8" i="23"/>
  <c r="AK7" i="23"/>
  <c r="AE7" i="23"/>
  <c r="AH7" i="23"/>
  <c r="AC7" i="23"/>
  <c r="AK6" i="23"/>
  <c r="AE6" i="23"/>
  <c r="AH6" i="23" s="1"/>
  <c r="AL6" i="23"/>
  <c r="AC6" i="23"/>
  <c r="AK5" i="23"/>
  <c r="AE5" i="23"/>
  <c r="AL5" i="23"/>
  <c r="AM5" i="23"/>
  <c r="Y5" i="23"/>
  <c r="AH5" i="23"/>
  <c r="AC5" i="23"/>
  <c r="H22" i="12"/>
  <c r="J32" i="10"/>
  <c r="I32" i="10"/>
  <c r="G32" i="10"/>
  <c r="D32" i="10"/>
  <c r="J31" i="10"/>
  <c r="I31" i="10"/>
  <c r="G31" i="10"/>
  <c r="D31" i="10"/>
  <c r="J30" i="10"/>
  <c r="I30" i="10"/>
  <c r="G30" i="10"/>
  <c r="D30" i="10"/>
  <c r="J29" i="10"/>
  <c r="I29" i="10"/>
  <c r="G29" i="10"/>
  <c r="D29" i="10"/>
  <c r="J28" i="10"/>
  <c r="I28" i="10"/>
  <c r="G28" i="10"/>
  <c r="D28" i="10"/>
  <c r="J27" i="10"/>
  <c r="I27" i="10"/>
  <c r="G27" i="10"/>
  <c r="D27" i="10"/>
  <c r="J26" i="10"/>
  <c r="I26" i="10"/>
  <c r="G26" i="10"/>
  <c r="D26" i="10"/>
  <c r="J25" i="10"/>
  <c r="I25" i="10"/>
  <c r="G25" i="10"/>
  <c r="D25" i="10"/>
  <c r="J24" i="10"/>
  <c r="I24" i="10"/>
  <c r="G24" i="10"/>
  <c r="D24" i="10"/>
  <c r="J23" i="10"/>
  <c r="I23" i="10"/>
  <c r="G23" i="10"/>
  <c r="D23" i="10"/>
  <c r="J22" i="10"/>
  <c r="I22" i="10"/>
  <c r="G22" i="10"/>
  <c r="D22" i="10"/>
  <c r="J21" i="10"/>
  <c r="I21" i="10"/>
  <c r="G21" i="10"/>
  <c r="D21" i="10"/>
  <c r="J20" i="10"/>
  <c r="I20" i="10"/>
  <c r="G20" i="10"/>
  <c r="D20" i="10"/>
  <c r="J19" i="10"/>
  <c r="I19" i="10"/>
  <c r="G19" i="10"/>
  <c r="D19" i="10"/>
  <c r="J18" i="10"/>
  <c r="I18" i="10"/>
  <c r="G18" i="10"/>
  <c r="D18" i="10"/>
  <c r="J17" i="10"/>
  <c r="I17" i="10"/>
  <c r="G17" i="10"/>
  <c r="D17" i="10"/>
  <c r="J16" i="10"/>
  <c r="I16" i="10"/>
  <c r="G16" i="10"/>
  <c r="D16" i="10"/>
  <c r="J15" i="10"/>
  <c r="G15" i="10"/>
  <c r="D15" i="10"/>
  <c r="J14" i="10"/>
  <c r="I14" i="10"/>
  <c r="G14" i="10"/>
  <c r="D14" i="10"/>
  <c r="J13" i="10"/>
  <c r="I13" i="10"/>
  <c r="G13" i="10"/>
  <c r="D13" i="10"/>
  <c r="J12" i="10"/>
  <c r="I12" i="10"/>
  <c r="G12" i="10"/>
  <c r="B8" i="10" a="1"/>
  <c r="B8" i="10"/>
  <c r="F14" i="37" s="1"/>
  <c r="B6" i="10" a="1"/>
  <c r="B6" i="10" s="1"/>
  <c r="B4" i="10"/>
  <c r="B3" i="10" a="1"/>
  <c r="B3" i="10" s="1"/>
  <c r="H21" i="12"/>
  <c r="E27" i="2"/>
  <c r="F27" i="2" s="1"/>
  <c r="E25" i="2"/>
  <c r="D25" i="2"/>
  <c r="C25" i="2"/>
  <c r="C23" i="2"/>
  <c r="D22" i="2"/>
  <c r="C19" i="2"/>
  <c r="D18" i="2"/>
  <c r="D19" i="2" s="1"/>
  <c r="E18" i="2"/>
  <c r="F18" i="2" s="1"/>
  <c r="F19" i="2" s="1"/>
  <c r="E19" i="2"/>
  <c r="E12" i="2"/>
  <c r="E13" i="2" s="1"/>
  <c r="E24" i="2" s="1"/>
  <c r="E14" i="2"/>
  <c r="D12" i="2"/>
  <c r="D13" i="2"/>
  <c r="D24" i="2"/>
  <c r="C12" i="2"/>
  <c r="E8" i="2"/>
  <c r="D8" i="2"/>
  <c r="C8" i="2"/>
  <c r="E15" i="2"/>
  <c r="E4" i="2"/>
  <c r="D14" i="2"/>
  <c r="D15" i="2"/>
  <c r="D4" i="2"/>
  <c r="C14" i="2" l="1"/>
  <c r="C15" i="2" s="1"/>
  <c r="C4" i="2" s="1"/>
  <c r="C13" i="2"/>
  <c r="C24" i="2" s="1"/>
  <c r="C17" i="2" s="1"/>
  <c r="C3" i="2" s="1"/>
  <c r="C2" i="2" s="1"/>
  <c r="C28" i="2" s="1"/>
  <c r="C29" i="2" s="1"/>
  <c r="C30" i="2" s="1"/>
  <c r="C31" i="2" s="1"/>
  <c r="D23" i="2"/>
  <c r="D17" i="2" s="1"/>
  <c r="D3" i="2" s="1"/>
  <c r="D2" i="2" s="1"/>
  <c r="D28" i="2" s="1"/>
  <c r="D29" i="2" s="1"/>
  <c r="D30" i="2" s="1"/>
  <c r="D31" i="2" s="1"/>
  <c r="E22" i="2"/>
  <c r="F9" i="37"/>
  <c r="B5" i="10"/>
  <c r="B7" i="10"/>
  <c r="Y7" i="23"/>
  <c r="AI7" i="23" s="1"/>
  <c r="X8" i="23"/>
  <c r="AN5" i="23"/>
  <c r="H6" i="23"/>
  <c r="I5" i="23"/>
  <c r="W22" i="23"/>
  <c r="AI5" i="23"/>
  <c r="Y6" i="23"/>
  <c r="AI6" i="23" s="1"/>
  <c r="D11" i="23"/>
  <c r="D12" i="23" s="1"/>
  <c r="D13" i="23" s="1"/>
  <c r="AM7" i="23"/>
  <c r="AM6" i="23"/>
  <c r="AK9" i="23"/>
  <c r="AL9" i="23"/>
  <c r="AK8" i="23"/>
  <c r="AM8" i="23" s="1"/>
  <c r="F11" i="37" l="1"/>
  <c r="H13" i="37" s="1"/>
  <c r="AS28" i="37"/>
  <c r="AQ28" i="37" s="1"/>
  <c r="AX28" i="37" s="1"/>
  <c r="AS30" i="37"/>
  <c r="AQ30" i="37" s="1"/>
  <c r="AX30" i="37" s="1"/>
  <c r="AS29" i="37"/>
  <c r="AQ29" i="37" s="1"/>
  <c r="AX29" i="37" s="1"/>
  <c r="AS31" i="37"/>
  <c r="AQ31" i="37" s="1"/>
  <c r="AX31" i="37" s="1"/>
  <c r="AS32" i="37"/>
  <c r="AQ32" i="37" s="1"/>
  <c r="AX32" i="37" s="1"/>
  <c r="AS33" i="37"/>
  <c r="AQ33" i="37" s="1"/>
  <c r="AX33" i="37" s="1"/>
  <c r="AS34" i="37"/>
  <c r="AQ34" i="37" s="1"/>
  <c r="AX34" i="37" s="1"/>
  <c r="AS35" i="37"/>
  <c r="AQ35" i="37" s="1"/>
  <c r="AX35" i="37" s="1"/>
  <c r="AS36" i="37"/>
  <c r="AQ36" i="37" s="1"/>
  <c r="AX36" i="37" s="1"/>
  <c r="AS37" i="37"/>
  <c r="AQ37" i="37" s="1"/>
  <c r="AX37" i="37" s="1"/>
  <c r="AS38" i="37"/>
  <c r="AQ38" i="37" s="1"/>
  <c r="AX38" i="37" s="1"/>
  <c r="AS39" i="37"/>
  <c r="AQ39" i="37" s="1"/>
  <c r="AX39" i="37" s="1"/>
  <c r="AS40" i="37"/>
  <c r="AQ40" i="37" s="1"/>
  <c r="AX40" i="37" s="1"/>
  <c r="AS41" i="37"/>
  <c r="AQ41" i="37" s="1"/>
  <c r="AX41" i="37" s="1"/>
  <c r="AS42" i="37"/>
  <c r="AQ42" i="37" s="1"/>
  <c r="AX42" i="37" s="1"/>
  <c r="AS43" i="37"/>
  <c r="AQ43" i="37" s="1"/>
  <c r="AX43" i="37" s="1"/>
  <c r="AS44" i="37"/>
  <c r="AQ44" i="37" s="1"/>
  <c r="AX44" i="37" s="1"/>
  <c r="AS45" i="37"/>
  <c r="AQ45" i="37" s="1"/>
  <c r="AX45" i="37" s="1"/>
  <c r="AS46" i="37"/>
  <c r="AQ46" i="37" s="1"/>
  <c r="AX46" i="37" s="1"/>
  <c r="AS47" i="37"/>
  <c r="AQ47" i="37" s="1"/>
  <c r="AX47" i="37" s="1"/>
  <c r="AS48" i="37"/>
  <c r="AQ48" i="37" s="1"/>
  <c r="AX48" i="37" s="1"/>
  <c r="AS49" i="37"/>
  <c r="AQ49" i="37" s="1"/>
  <c r="AX49" i="37" s="1"/>
  <c r="AS50" i="37"/>
  <c r="AQ50" i="37" s="1"/>
  <c r="AX50" i="37" s="1"/>
  <c r="AS51" i="37"/>
  <c r="AQ51" i="37" s="1"/>
  <c r="AX51" i="37" s="1"/>
  <c r="AS52" i="37"/>
  <c r="AQ52" i="37" s="1"/>
  <c r="AX52" i="37" s="1"/>
  <c r="AS53" i="37"/>
  <c r="AQ53" i="37" s="1"/>
  <c r="AX53" i="37" s="1"/>
  <c r="AS54" i="37"/>
  <c r="AQ54" i="37" s="1"/>
  <c r="AX54" i="37" s="1"/>
  <c r="AS55" i="37"/>
  <c r="AQ55" i="37" s="1"/>
  <c r="AX55" i="37" s="1"/>
  <c r="AS56" i="37"/>
  <c r="AQ56" i="37" s="1"/>
  <c r="AX56" i="37" s="1"/>
  <c r="AS57" i="37"/>
  <c r="AQ57" i="37" s="1"/>
  <c r="AX57" i="37" s="1"/>
  <c r="AS58" i="37"/>
  <c r="AQ58" i="37" s="1"/>
  <c r="AX58" i="37" s="1"/>
  <c r="AS59" i="37"/>
  <c r="AQ59" i="37" s="1"/>
  <c r="AX59" i="37" s="1"/>
  <c r="AS60" i="37"/>
  <c r="AQ60" i="37" s="1"/>
  <c r="AX60" i="37" s="1"/>
  <c r="AS61" i="37"/>
  <c r="AQ61" i="37" s="1"/>
  <c r="AX61" i="37" s="1"/>
  <c r="AS62" i="37"/>
  <c r="AQ62" i="37" s="1"/>
  <c r="AX62" i="37" s="1"/>
  <c r="AS63" i="37"/>
  <c r="AQ63" i="37" s="1"/>
  <c r="AS64" i="37"/>
  <c r="AQ64" i="37" s="1"/>
  <c r="AS65" i="37"/>
  <c r="AQ65" i="37" s="1"/>
  <c r="AS66" i="37"/>
  <c r="AQ66" i="37" s="1"/>
  <c r="AS67" i="37"/>
  <c r="AQ67" i="37" s="1"/>
  <c r="F22" i="2"/>
  <c r="F23" i="2" s="1"/>
  <c r="F17" i="2" s="1"/>
  <c r="F3" i="2" s="1"/>
  <c r="F2" i="2" s="1"/>
  <c r="F28" i="2" s="1"/>
  <c r="F29" i="2" s="1"/>
  <c r="F30" i="2" s="1"/>
  <c r="F31" i="2" s="1"/>
  <c r="E23" i="2"/>
  <c r="E17" i="2" s="1"/>
  <c r="E3" i="2" s="1"/>
  <c r="E2" i="2" s="1"/>
  <c r="E28" i="2" s="1"/>
  <c r="E29" i="2" s="1"/>
  <c r="E30" i="2" s="1"/>
  <c r="E31" i="2" s="1"/>
  <c r="AN7" i="23"/>
  <c r="Y8" i="23"/>
  <c r="AI8" i="23" s="1"/>
  <c r="X9" i="23"/>
  <c r="AN6" i="23"/>
  <c r="W23" i="23"/>
  <c r="Z5" i="23"/>
  <c r="AJ5" i="23" s="1"/>
  <c r="L5" i="23"/>
  <c r="K5" i="23" s="1"/>
  <c r="H7" i="23"/>
  <c r="I6" i="23"/>
  <c r="D14" i="23"/>
  <c r="AM9" i="23"/>
  <c r="AL10" i="23"/>
  <c r="AH10" i="23"/>
  <c r="AK10" i="23"/>
  <c r="AM10" i="23" s="1"/>
  <c r="AN8" i="23" l="1"/>
  <c r="X10" i="23"/>
  <c r="Y9" i="23"/>
  <c r="AI9" i="23" s="1"/>
  <c r="Z6" i="23"/>
  <c r="AJ6" i="23" s="1"/>
  <c r="L6" i="23"/>
  <c r="H8" i="23"/>
  <c r="I7" i="23"/>
  <c r="W24" i="23"/>
  <c r="M5" i="23"/>
  <c r="N5" i="23"/>
  <c r="D15" i="23"/>
  <c r="AL11" i="23"/>
  <c r="AH11" i="23"/>
  <c r="AK11" i="23"/>
  <c r="Y10" i="23" l="1"/>
  <c r="X11" i="23"/>
  <c r="AN9" i="23"/>
  <c r="W25" i="23"/>
  <c r="H9" i="23"/>
  <c r="I8" i="23"/>
  <c r="O5" i="23"/>
  <c r="T5" i="23" s="1"/>
  <c r="S5" i="23" s="1"/>
  <c r="C5" i="23" s="1"/>
  <c r="B5" i="23" s="1"/>
  <c r="L7" i="23"/>
  <c r="Z7" i="23"/>
  <c r="AJ7" i="23" s="1"/>
  <c r="M6" i="23"/>
  <c r="K6" i="23"/>
  <c r="N6" i="23"/>
  <c r="D16" i="23"/>
  <c r="AH12" i="23"/>
  <c r="AK12" i="23"/>
  <c r="AL12" i="23"/>
  <c r="AM11" i="23"/>
  <c r="X12" i="23" l="1"/>
  <c r="Y11" i="23"/>
  <c r="AI11" i="23" s="1"/>
  <c r="AN10" i="23"/>
  <c r="AI10" i="23"/>
  <c r="O6" i="23"/>
  <c r="U5" i="23"/>
  <c r="H10" i="23"/>
  <c r="I9" i="23"/>
  <c r="M7" i="23"/>
  <c r="K7" i="23"/>
  <c r="N7" i="23"/>
  <c r="L8" i="23"/>
  <c r="Z8" i="23"/>
  <c r="AJ8" i="23" s="1"/>
  <c r="W26" i="23"/>
  <c r="D17" i="23"/>
  <c r="AK13" i="23"/>
  <c r="AH13" i="23"/>
  <c r="AL13" i="23"/>
  <c r="AM12" i="23"/>
  <c r="T6" i="23" l="1"/>
  <c r="S6" i="23" s="1"/>
  <c r="AN11" i="23"/>
  <c r="Y12" i="23"/>
  <c r="AI12" i="23" s="1"/>
  <c r="X13" i="23"/>
  <c r="M8" i="23"/>
  <c r="K8" i="23"/>
  <c r="N8" i="23"/>
  <c r="A5" i="23"/>
  <c r="P5" i="23"/>
  <c r="W27" i="23"/>
  <c r="L9" i="23"/>
  <c r="Z9" i="23"/>
  <c r="AJ9" i="23" s="1"/>
  <c r="O7" i="23"/>
  <c r="T7" i="23" s="1"/>
  <c r="S7" i="23" s="1"/>
  <c r="H11" i="23"/>
  <c r="I10" i="23"/>
  <c r="D18" i="23"/>
  <c r="AM13" i="23"/>
  <c r="AL14" i="23"/>
  <c r="AH14" i="23"/>
  <c r="AK14" i="23"/>
  <c r="U6" i="23" l="1"/>
  <c r="C6" i="23"/>
  <c r="AN12" i="23"/>
  <c r="X14" i="23"/>
  <c r="Y13" i="23"/>
  <c r="AI13" i="23" s="1"/>
  <c r="U7" i="23"/>
  <c r="C7" i="23"/>
  <c r="Z10" i="23"/>
  <c r="AJ10" i="23" s="1"/>
  <c r="L10" i="23"/>
  <c r="B6" i="23"/>
  <c r="A6" i="23" s="1"/>
  <c r="P6" i="23"/>
  <c r="H12" i="23"/>
  <c r="I11" i="23"/>
  <c r="W28" i="23"/>
  <c r="M9" i="23"/>
  <c r="K9" i="23"/>
  <c r="N9" i="23"/>
  <c r="Q5" i="23"/>
  <c r="R5" i="23"/>
  <c r="AG5" i="23"/>
  <c r="O8" i="23"/>
  <c r="T8" i="23" s="1"/>
  <c r="S8" i="23" s="1"/>
  <c r="D19" i="23"/>
  <c r="AL15" i="23"/>
  <c r="AK15" i="23"/>
  <c r="AH15" i="23"/>
  <c r="AM14" i="23"/>
  <c r="Y14" i="23" l="1"/>
  <c r="AI14" i="23" s="1"/>
  <c r="X15" i="23"/>
  <c r="AN13" i="23"/>
  <c r="C8" i="23"/>
  <c r="U8" i="23"/>
  <c r="O9" i="23"/>
  <c r="T9" i="23" s="1"/>
  <c r="S9" i="23" s="1"/>
  <c r="L11" i="23"/>
  <c r="Z11" i="23"/>
  <c r="AJ11" i="23" s="1"/>
  <c r="M10" i="23"/>
  <c r="N10" i="23"/>
  <c r="K10" i="23"/>
  <c r="AG6" i="23"/>
  <c r="R6" i="23"/>
  <c r="Q6" i="23"/>
  <c r="W29" i="23"/>
  <c r="H13" i="23"/>
  <c r="I12" i="23"/>
  <c r="B7" i="23"/>
  <c r="A7" i="23" s="1"/>
  <c r="P7" i="23"/>
  <c r="AO5" i="23"/>
  <c r="AP5" i="23"/>
  <c r="D20" i="23"/>
  <c r="AH16" i="23"/>
  <c r="AL16" i="23"/>
  <c r="AK16" i="23"/>
  <c r="AM15" i="23"/>
  <c r="AN14" i="23" l="1"/>
  <c r="X16" i="23"/>
  <c r="Y15" i="23"/>
  <c r="AI15" i="23" s="1"/>
  <c r="H14" i="23"/>
  <c r="I13" i="23"/>
  <c r="AO6" i="23"/>
  <c r="AP6" i="23"/>
  <c r="C9" i="23"/>
  <c r="U9" i="23"/>
  <c r="AG7" i="23"/>
  <c r="R7" i="23"/>
  <c r="Q7" i="23"/>
  <c r="M11" i="23"/>
  <c r="N11" i="23"/>
  <c r="K11" i="23"/>
  <c r="Z12" i="23"/>
  <c r="AJ12" i="23" s="1"/>
  <c r="L12" i="23"/>
  <c r="W30" i="23"/>
  <c r="O10" i="23"/>
  <c r="T10" i="23" s="1"/>
  <c r="S10" i="23" s="1"/>
  <c r="P8" i="23"/>
  <c r="B8" i="23"/>
  <c r="A8" i="23" s="1"/>
  <c r="D21" i="23"/>
  <c r="AM16" i="23"/>
  <c r="AK17" i="23"/>
  <c r="AL17" i="23"/>
  <c r="AH17" i="23"/>
  <c r="Y16" i="23" l="1"/>
  <c r="AI16" i="23" s="1"/>
  <c r="X17" i="23"/>
  <c r="AN15" i="23"/>
  <c r="R8" i="23"/>
  <c r="AG8" i="23"/>
  <c r="Q8" i="23"/>
  <c r="P9" i="23"/>
  <c r="B9" i="23"/>
  <c r="A9" i="23" s="1"/>
  <c r="L13" i="23"/>
  <c r="Z13" i="23"/>
  <c r="AJ13" i="23" s="1"/>
  <c r="U10" i="23"/>
  <c r="C10" i="23"/>
  <c r="AO7" i="23"/>
  <c r="AP7" i="23"/>
  <c r="M12" i="23"/>
  <c r="N12" i="23"/>
  <c r="K12" i="23"/>
  <c r="O11" i="23"/>
  <c r="T11" i="23" s="1"/>
  <c r="S11" i="23" s="1"/>
  <c r="H15" i="23"/>
  <c r="I14" i="23"/>
  <c r="W31" i="23"/>
  <c r="D22" i="23"/>
  <c r="AM17" i="23"/>
  <c r="AK18" i="23"/>
  <c r="AL18" i="23"/>
  <c r="AH18" i="23"/>
  <c r="AN16" i="23" l="1"/>
  <c r="X18" i="23"/>
  <c r="Y17" i="23"/>
  <c r="AI17" i="23" s="1"/>
  <c r="W32" i="23"/>
  <c r="H16" i="23"/>
  <c r="I15" i="23"/>
  <c r="P10" i="23"/>
  <c r="B10" i="23"/>
  <c r="A10" i="23" s="1"/>
  <c r="M13" i="23"/>
  <c r="N13" i="23"/>
  <c r="K13" i="23"/>
  <c r="AO8" i="23"/>
  <c r="AP8" i="23"/>
  <c r="Z14" i="23"/>
  <c r="AJ14" i="23" s="1"/>
  <c r="L14" i="23"/>
  <c r="U11" i="23"/>
  <c r="C11" i="23"/>
  <c r="O12" i="23"/>
  <c r="T12" i="23" s="1"/>
  <c r="S12" i="23" s="1"/>
  <c r="AG9" i="23"/>
  <c r="R9" i="23"/>
  <c r="Q9" i="23"/>
  <c r="D23" i="23"/>
  <c r="AL19" i="23"/>
  <c r="AK19" i="23"/>
  <c r="AH19" i="23"/>
  <c r="AM18" i="23"/>
  <c r="AN17" i="23" l="1"/>
  <c r="X19" i="23"/>
  <c r="Y18" i="23"/>
  <c r="AI18" i="23" s="1"/>
  <c r="B11" i="23"/>
  <c r="A11" i="23" s="1"/>
  <c r="P11" i="23"/>
  <c r="AO9" i="23"/>
  <c r="AP9" i="23"/>
  <c r="O13" i="23"/>
  <c r="T13" i="23" s="1"/>
  <c r="S13" i="23" s="1"/>
  <c r="L15" i="23"/>
  <c r="Z15" i="23"/>
  <c r="AJ15" i="23" s="1"/>
  <c r="C12" i="23"/>
  <c r="U12" i="23"/>
  <c r="H17" i="23"/>
  <c r="I16" i="23"/>
  <c r="M14" i="23"/>
  <c r="K14" i="23"/>
  <c r="N14" i="23"/>
  <c r="R10" i="23"/>
  <c r="AG10" i="23"/>
  <c r="Q10" i="23"/>
  <c r="W33" i="23"/>
  <c r="D24" i="23"/>
  <c r="AH20" i="23"/>
  <c r="AK20" i="23"/>
  <c r="AL20" i="23"/>
  <c r="AM19" i="23"/>
  <c r="Y19" i="23" l="1"/>
  <c r="AI19" i="23" s="1"/>
  <c r="X20" i="23"/>
  <c r="AN18" i="23"/>
  <c r="W34" i="23"/>
  <c r="B12" i="23"/>
  <c r="A12" i="23" s="1"/>
  <c r="P12" i="23"/>
  <c r="U13" i="23"/>
  <c r="C13" i="23"/>
  <c r="AG11" i="23"/>
  <c r="R11" i="23"/>
  <c r="Q11" i="23"/>
  <c r="AP10" i="23"/>
  <c r="AO10" i="23"/>
  <c r="O14" i="23"/>
  <c r="T14" i="23" s="1"/>
  <c r="S14" i="23" s="1"/>
  <c r="H18" i="23"/>
  <c r="I17" i="23"/>
  <c r="Z16" i="23"/>
  <c r="AJ16" i="23" s="1"/>
  <c r="L16" i="23"/>
  <c r="M15" i="23"/>
  <c r="K15" i="23"/>
  <c r="N15" i="23"/>
  <c r="D25" i="23"/>
  <c r="AK21" i="23"/>
  <c r="AL21" i="23"/>
  <c r="AH21" i="23"/>
  <c r="AM20" i="23"/>
  <c r="AN19" i="23" l="1"/>
  <c r="X21" i="23"/>
  <c r="Y20" i="23"/>
  <c r="AI20" i="23" s="1"/>
  <c r="I18" i="23"/>
  <c r="H19" i="23"/>
  <c r="O15" i="23"/>
  <c r="T15" i="23" s="1"/>
  <c r="S15" i="23" s="1"/>
  <c r="U14" i="23"/>
  <c r="C14" i="23"/>
  <c r="P13" i="23"/>
  <c r="B13" i="23"/>
  <c r="A13" i="23" s="1"/>
  <c r="W35" i="23"/>
  <c r="L17" i="23"/>
  <c r="Z17" i="23"/>
  <c r="AJ17" i="23" s="1"/>
  <c r="M16" i="23"/>
  <c r="N16" i="23"/>
  <c r="K16" i="23"/>
  <c r="AP11" i="23"/>
  <c r="AO11" i="23"/>
  <c r="AG12" i="23"/>
  <c r="R12" i="23"/>
  <c r="Q12" i="23"/>
  <c r="D26" i="23"/>
  <c r="AM21" i="23"/>
  <c r="AL22" i="23"/>
  <c r="AK22" i="23"/>
  <c r="AH22" i="23"/>
  <c r="X22" i="23" l="1"/>
  <c r="Y21" i="23"/>
  <c r="AI21" i="23" s="1"/>
  <c r="AN20" i="23"/>
  <c r="U15" i="23"/>
  <c r="C15" i="23"/>
  <c r="AO12" i="23"/>
  <c r="AP12" i="23"/>
  <c r="M17" i="23"/>
  <c r="K17" i="23"/>
  <c r="N17" i="23"/>
  <c r="AG13" i="23"/>
  <c r="R13" i="23"/>
  <c r="Q13" i="23"/>
  <c r="O16" i="23"/>
  <c r="T16" i="23" s="1"/>
  <c r="S16" i="23" s="1"/>
  <c r="B14" i="23"/>
  <c r="A14" i="23" s="1"/>
  <c r="P14" i="23"/>
  <c r="I19" i="23"/>
  <c r="H20" i="23"/>
  <c r="W36" i="23"/>
  <c r="Z18" i="23"/>
  <c r="AJ18" i="23" s="1"/>
  <c r="L18" i="23"/>
  <c r="D27" i="23"/>
  <c r="AM22" i="23"/>
  <c r="AL23" i="23"/>
  <c r="AH23" i="23"/>
  <c r="AK23" i="23"/>
  <c r="X23" i="23" l="1"/>
  <c r="Y22" i="23"/>
  <c r="AI22" i="23" s="1"/>
  <c r="AN21" i="23"/>
  <c r="W37" i="23"/>
  <c r="C16" i="23"/>
  <c r="U16" i="23"/>
  <c r="AP13" i="23"/>
  <c r="AO13" i="23"/>
  <c r="M18" i="23"/>
  <c r="N18" i="23"/>
  <c r="K18" i="23"/>
  <c r="Z19" i="23"/>
  <c r="AJ19" i="23" s="1"/>
  <c r="L19" i="23"/>
  <c r="H21" i="23"/>
  <c r="I20" i="23"/>
  <c r="R14" i="23"/>
  <c r="AG14" i="23"/>
  <c r="Q14" i="23"/>
  <c r="O17" i="23"/>
  <c r="T17" i="23" s="1"/>
  <c r="S17" i="23" s="1"/>
  <c r="P15" i="23"/>
  <c r="B15" i="23"/>
  <c r="A15" i="23" s="1"/>
  <c r="D28" i="23"/>
  <c r="AH24" i="23"/>
  <c r="AK24" i="23"/>
  <c r="AL24" i="23"/>
  <c r="AM23" i="23"/>
  <c r="X24" i="23" l="1"/>
  <c r="Y23" i="23"/>
  <c r="AI23" i="23" s="1"/>
  <c r="AN22" i="23"/>
  <c r="W38" i="23"/>
  <c r="R15" i="23"/>
  <c r="AG15" i="23"/>
  <c r="Q15" i="23"/>
  <c r="AP14" i="23"/>
  <c r="AO14" i="23"/>
  <c r="M19" i="23"/>
  <c r="N19" i="23"/>
  <c r="K19" i="23"/>
  <c r="O18" i="23"/>
  <c r="T18" i="23" s="1"/>
  <c r="S18" i="23" s="1"/>
  <c r="C17" i="23"/>
  <c r="U17" i="23"/>
  <c r="H22" i="23"/>
  <c r="I21" i="23"/>
  <c r="B16" i="23"/>
  <c r="A16" i="23" s="1"/>
  <c r="P16" i="23"/>
  <c r="L20" i="23"/>
  <c r="Z20" i="23"/>
  <c r="AJ20" i="23" s="1"/>
  <c r="D29" i="23"/>
  <c r="AM24" i="23"/>
  <c r="AK25" i="23"/>
  <c r="AL25" i="23"/>
  <c r="AH25" i="23"/>
  <c r="X25" i="23" l="1"/>
  <c r="Y24" i="23"/>
  <c r="AI24" i="23" s="1"/>
  <c r="AN24" i="23"/>
  <c r="AN23" i="23"/>
  <c r="U18" i="23"/>
  <c r="C18" i="23"/>
  <c r="H23" i="23"/>
  <c r="I22" i="23"/>
  <c r="M20" i="23"/>
  <c r="N20" i="23"/>
  <c r="K20" i="23"/>
  <c r="P17" i="23"/>
  <c r="B17" i="23"/>
  <c r="A17" i="23" s="1"/>
  <c r="AG16" i="23"/>
  <c r="R16" i="23"/>
  <c r="Q16" i="23"/>
  <c r="L21" i="23"/>
  <c r="Z21" i="23"/>
  <c r="AJ21" i="23" s="1"/>
  <c r="O19" i="23"/>
  <c r="T19" i="23" s="1"/>
  <c r="S19" i="23" s="1"/>
  <c r="AP15" i="23"/>
  <c r="AO15" i="23"/>
  <c r="W39" i="23"/>
  <c r="D30" i="23"/>
  <c r="AM25" i="23"/>
  <c r="AL26" i="23"/>
  <c r="AK26" i="23"/>
  <c r="AM26" i="23" s="1"/>
  <c r="AH26" i="23"/>
  <c r="X26" i="23" l="1"/>
  <c r="Y25" i="23"/>
  <c r="AI25" i="23" s="1"/>
  <c r="C19" i="23"/>
  <c r="U19" i="23"/>
  <c r="M21" i="23"/>
  <c r="N21" i="23"/>
  <c r="K21" i="23"/>
  <c r="O20" i="23"/>
  <c r="T20" i="23" s="1"/>
  <c r="S20" i="23" s="1"/>
  <c r="W40" i="23"/>
  <c r="R17" i="23"/>
  <c r="AG17" i="23"/>
  <c r="Q17" i="23"/>
  <c r="I23" i="23"/>
  <c r="H24" i="23"/>
  <c r="AO16" i="23"/>
  <c r="AP16" i="23"/>
  <c r="Z22" i="23"/>
  <c r="AJ22" i="23" s="1"/>
  <c r="L22" i="23"/>
  <c r="B18" i="23"/>
  <c r="A18" i="23" s="1"/>
  <c r="P18" i="23"/>
  <c r="D31" i="23"/>
  <c r="AL27" i="23"/>
  <c r="AH27" i="23"/>
  <c r="AK27" i="23"/>
  <c r="X27" i="23" l="1"/>
  <c r="Y26" i="23"/>
  <c r="AN25" i="23"/>
  <c r="AG18" i="23"/>
  <c r="R18" i="23"/>
  <c r="Q18" i="23"/>
  <c r="Z23" i="23"/>
  <c r="AJ23" i="23" s="1"/>
  <c r="L23" i="23"/>
  <c r="P19" i="23"/>
  <c r="B19" i="23"/>
  <c r="A19" i="23" s="1"/>
  <c r="W41" i="23"/>
  <c r="H25" i="23"/>
  <c r="I24" i="23"/>
  <c r="AO17" i="23"/>
  <c r="AP17" i="23"/>
  <c r="C20" i="23"/>
  <c r="U20" i="23"/>
  <c r="O21" i="23"/>
  <c r="T21" i="23" s="1"/>
  <c r="S21" i="23" s="1"/>
  <c r="M22" i="23"/>
  <c r="K22" i="23"/>
  <c r="N22" i="23"/>
  <c r="D32" i="23"/>
  <c r="AH28" i="23"/>
  <c r="AK28" i="23"/>
  <c r="AL28" i="23"/>
  <c r="AM27" i="23"/>
  <c r="AI26" i="23" l="1"/>
  <c r="AN26" i="23"/>
  <c r="X28" i="23"/>
  <c r="Y27" i="23"/>
  <c r="AI27" i="23" s="1"/>
  <c r="U21" i="23"/>
  <c r="C21" i="23"/>
  <c r="W42" i="23"/>
  <c r="M23" i="23"/>
  <c r="K23" i="23"/>
  <c r="N23" i="23"/>
  <c r="AP18" i="23"/>
  <c r="AO18" i="23"/>
  <c r="H26" i="23"/>
  <c r="I25" i="23"/>
  <c r="L24" i="23"/>
  <c r="Z24" i="23"/>
  <c r="AJ24" i="23" s="1"/>
  <c r="AG19" i="23"/>
  <c r="R19" i="23"/>
  <c r="Q19" i="23"/>
  <c r="O22" i="23"/>
  <c r="T22" i="23" s="1"/>
  <c r="S22" i="23" s="1"/>
  <c r="P20" i="23"/>
  <c r="B20" i="23"/>
  <c r="A20" i="23" s="1"/>
  <c r="D33" i="23"/>
  <c r="AM28" i="23"/>
  <c r="AK29" i="23"/>
  <c r="AL29" i="23"/>
  <c r="AH29" i="23"/>
  <c r="X29" i="23" l="1"/>
  <c r="Y28" i="23"/>
  <c r="AI28" i="23" s="1"/>
  <c r="AN27" i="23"/>
  <c r="AG20" i="23"/>
  <c r="R20" i="23"/>
  <c r="Q20" i="23"/>
  <c r="M24" i="23"/>
  <c r="K24" i="23"/>
  <c r="N24" i="23"/>
  <c r="L25" i="23"/>
  <c r="Z25" i="23"/>
  <c r="AJ25" i="23" s="1"/>
  <c r="W43" i="23"/>
  <c r="U22" i="23"/>
  <c r="C22" i="23"/>
  <c r="AP19" i="23"/>
  <c r="AO19" i="23"/>
  <c r="H27" i="23"/>
  <c r="I26" i="23"/>
  <c r="P21" i="23"/>
  <c r="B21" i="23"/>
  <c r="A21" i="23" s="1"/>
  <c r="O23" i="23"/>
  <c r="T23" i="23" s="1"/>
  <c r="S23" i="23" s="1"/>
  <c r="D34" i="23"/>
  <c r="AM29" i="23"/>
  <c r="AK30" i="23"/>
  <c r="AL30" i="23"/>
  <c r="AH30" i="23"/>
  <c r="X30" i="23" l="1"/>
  <c r="Y29" i="23"/>
  <c r="AI29" i="23" s="1"/>
  <c r="AN28" i="23"/>
  <c r="C23" i="23"/>
  <c r="U23" i="23"/>
  <c r="O24" i="23"/>
  <c r="T24" i="23" s="1"/>
  <c r="S24" i="23" s="1"/>
  <c r="Z26" i="23"/>
  <c r="AJ26" i="23" s="1"/>
  <c r="L26" i="23"/>
  <c r="M25" i="23"/>
  <c r="K25" i="23"/>
  <c r="N25" i="23"/>
  <c r="H28" i="23"/>
  <c r="I27" i="23"/>
  <c r="B22" i="23"/>
  <c r="A22" i="23" s="1"/>
  <c r="P22" i="23"/>
  <c r="W44" i="23"/>
  <c r="AG21" i="23"/>
  <c r="R21" i="23"/>
  <c r="Q21" i="23"/>
  <c r="AP20" i="23"/>
  <c r="AO20" i="23"/>
  <c r="D35" i="23"/>
  <c r="AK31" i="23"/>
  <c r="AL31" i="23"/>
  <c r="AH31" i="23"/>
  <c r="AM30" i="23"/>
  <c r="X31" i="23" l="1"/>
  <c r="Y30" i="23"/>
  <c r="AI30" i="23" s="1"/>
  <c r="AN30" i="23"/>
  <c r="AN29" i="23"/>
  <c r="AO21" i="23"/>
  <c r="AP21" i="23"/>
  <c r="H29" i="23"/>
  <c r="I28" i="23"/>
  <c r="O25" i="23"/>
  <c r="T25" i="23" s="1"/>
  <c r="S25" i="23" s="1"/>
  <c r="U24" i="23"/>
  <c r="C24" i="23"/>
  <c r="W45" i="23"/>
  <c r="M26" i="23"/>
  <c r="N26" i="23"/>
  <c r="K26" i="23"/>
  <c r="R22" i="23"/>
  <c r="AG22" i="23"/>
  <c r="Q22" i="23"/>
  <c r="Z27" i="23"/>
  <c r="AJ27" i="23" s="1"/>
  <c r="L27" i="23"/>
  <c r="B23" i="23"/>
  <c r="A23" i="23" s="1"/>
  <c r="P23" i="23"/>
  <c r="D36" i="23"/>
  <c r="AM31" i="23"/>
  <c r="AL32" i="23"/>
  <c r="AH32" i="23"/>
  <c r="AK32" i="23"/>
  <c r="X32" i="23" l="1"/>
  <c r="Y31" i="23"/>
  <c r="AI31" i="23" s="1"/>
  <c r="R23" i="23"/>
  <c r="AG23" i="23"/>
  <c r="Q23" i="23"/>
  <c r="W46" i="23"/>
  <c r="C25" i="23"/>
  <c r="U25" i="23"/>
  <c r="AP22" i="23"/>
  <c r="AO22" i="23"/>
  <c r="H30" i="23"/>
  <c r="I29" i="23"/>
  <c r="M27" i="23"/>
  <c r="K27" i="23"/>
  <c r="N27" i="23"/>
  <c r="O26" i="23"/>
  <c r="T26" i="23" s="1"/>
  <c r="S26" i="23" s="1"/>
  <c r="P24" i="23"/>
  <c r="B24" i="23"/>
  <c r="A24" i="23" s="1"/>
  <c r="L28" i="23"/>
  <c r="Z28" i="23"/>
  <c r="AJ28" i="23" s="1"/>
  <c r="D37" i="23"/>
  <c r="AL33" i="23"/>
  <c r="AH33" i="23"/>
  <c r="AK33" i="23"/>
  <c r="AM32" i="23"/>
  <c r="X33" i="23" l="1"/>
  <c r="Y32" i="23"/>
  <c r="AI32" i="23" s="1"/>
  <c r="AN31" i="23"/>
  <c r="AG24" i="23"/>
  <c r="R24" i="23"/>
  <c r="Q24" i="23"/>
  <c r="L29" i="23"/>
  <c r="Z29" i="23"/>
  <c r="AJ29" i="23" s="1"/>
  <c r="U26" i="23"/>
  <c r="C26" i="23"/>
  <c r="O27" i="23"/>
  <c r="T27" i="23" s="1"/>
  <c r="S27" i="23" s="1"/>
  <c r="H31" i="23"/>
  <c r="I30" i="23"/>
  <c r="W47" i="23"/>
  <c r="M28" i="23"/>
  <c r="N28" i="23"/>
  <c r="K28" i="23"/>
  <c r="P25" i="23"/>
  <c r="B25" i="23"/>
  <c r="A25" i="23" s="1"/>
  <c r="AP23" i="23"/>
  <c r="AO23" i="23"/>
  <c r="D38" i="23"/>
  <c r="AH34" i="23"/>
  <c r="AK34" i="23"/>
  <c r="AL34" i="23"/>
  <c r="AM33" i="23"/>
  <c r="X34" i="23" l="1"/>
  <c r="Y33" i="23"/>
  <c r="AI33" i="23" s="1"/>
  <c r="AN32" i="23"/>
  <c r="U27" i="23"/>
  <c r="C27" i="23"/>
  <c r="Z30" i="23"/>
  <c r="AJ30" i="23" s="1"/>
  <c r="L30" i="23"/>
  <c r="AO24" i="23"/>
  <c r="AP24" i="23"/>
  <c r="I31" i="23"/>
  <c r="H32" i="23"/>
  <c r="P26" i="23"/>
  <c r="B26" i="23"/>
  <c r="A26" i="23" s="1"/>
  <c r="M29" i="23"/>
  <c r="N29" i="23"/>
  <c r="K29" i="23"/>
  <c r="W48" i="23"/>
  <c r="AG25" i="23"/>
  <c r="R25" i="23"/>
  <c r="Q25" i="23"/>
  <c r="O28" i="23"/>
  <c r="T28" i="23" s="1"/>
  <c r="S28" i="23" s="1"/>
  <c r="D39" i="23"/>
  <c r="AK35" i="23"/>
  <c r="AH35" i="23"/>
  <c r="AL35" i="23"/>
  <c r="AM34" i="23"/>
  <c r="X35" i="23" l="1"/>
  <c r="Y34" i="23"/>
  <c r="AI34" i="23" s="1"/>
  <c r="AN33" i="23"/>
  <c r="U28" i="23"/>
  <c r="C28" i="23"/>
  <c r="AP25" i="23"/>
  <c r="AO25" i="23"/>
  <c r="AG26" i="23"/>
  <c r="R26" i="23"/>
  <c r="Q26" i="23"/>
  <c r="Z31" i="23"/>
  <c r="AJ31" i="23" s="1"/>
  <c r="L31" i="23"/>
  <c r="H33" i="23"/>
  <c r="I32" i="23"/>
  <c r="M30" i="23"/>
  <c r="K30" i="23"/>
  <c r="N30" i="23"/>
  <c r="O29" i="23"/>
  <c r="T29" i="23" s="1"/>
  <c r="S29" i="23" s="1"/>
  <c r="W49" i="23"/>
  <c r="P27" i="23"/>
  <c r="B27" i="23"/>
  <c r="A27" i="23" s="1"/>
  <c r="D40" i="23"/>
  <c r="AM35" i="23"/>
  <c r="AL36" i="23"/>
  <c r="AH36" i="23"/>
  <c r="AK36" i="23"/>
  <c r="X36" i="23" l="1"/>
  <c r="Y35" i="23"/>
  <c r="AI35" i="23" s="1"/>
  <c r="AN34" i="23"/>
  <c r="U29" i="23"/>
  <c r="C29" i="23"/>
  <c r="M31" i="23"/>
  <c r="K31" i="23"/>
  <c r="N31" i="23"/>
  <c r="AP26" i="23"/>
  <c r="AO26" i="23"/>
  <c r="R27" i="23"/>
  <c r="AG27" i="23"/>
  <c r="Q27" i="23"/>
  <c r="O30" i="23"/>
  <c r="T30" i="23" s="1"/>
  <c r="S30" i="23" s="1"/>
  <c r="H34" i="23"/>
  <c r="I33" i="23"/>
  <c r="L32" i="23"/>
  <c r="Z32" i="23"/>
  <c r="AJ32" i="23" s="1"/>
  <c r="W50" i="23"/>
  <c r="B28" i="23"/>
  <c r="A28" i="23" s="1"/>
  <c r="P28" i="23"/>
  <c r="D41" i="23"/>
  <c r="AM36" i="23"/>
  <c r="AL37" i="23"/>
  <c r="AK37" i="23"/>
  <c r="AH37" i="23"/>
  <c r="X37" i="23" l="1"/>
  <c r="Y36" i="23"/>
  <c r="AI36" i="23" s="1"/>
  <c r="AN35" i="23"/>
  <c r="R28" i="23"/>
  <c r="AG28" i="23"/>
  <c r="Q28" i="23"/>
  <c r="U30" i="23"/>
  <c r="C30" i="23"/>
  <c r="M32" i="23"/>
  <c r="K32" i="23"/>
  <c r="N32" i="23"/>
  <c r="L33" i="23"/>
  <c r="Z33" i="23"/>
  <c r="AJ33" i="23" s="1"/>
  <c r="O31" i="23"/>
  <c r="T31" i="23" s="1"/>
  <c r="S31" i="23" s="1"/>
  <c r="W51" i="23"/>
  <c r="I34" i="23"/>
  <c r="H35" i="23"/>
  <c r="AO27" i="23"/>
  <c r="AP27" i="23"/>
  <c r="B29" i="23"/>
  <c r="A29" i="23" s="1"/>
  <c r="P29" i="23"/>
  <c r="D42" i="23"/>
  <c r="AM37" i="23"/>
  <c r="AH38" i="23"/>
  <c r="AL38" i="23"/>
  <c r="AK38" i="23"/>
  <c r="AM38" i="23" s="1"/>
  <c r="X38" i="23" l="1"/>
  <c r="Y37" i="23"/>
  <c r="AI37" i="23" s="1"/>
  <c r="AN36" i="23"/>
  <c r="R29" i="23"/>
  <c r="AG29" i="23"/>
  <c r="Q29" i="23"/>
  <c r="H36" i="23"/>
  <c r="I35" i="23"/>
  <c r="W52" i="23"/>
  <c r="O32" i="23"/>
  <c r="T32" i="23" s="1"/>
  <c r="S32" i="23" s="1"/>
  <c r="Z34" i="23"/>
  <c r="AJ34" i="23" s="1"/>
  <c r="L34" i="23"/>
  <c r="C31" i="23"/>
  <c r="U31" i="23"/>
  <c r="M33" i="23"/>
  <c r="N33" i="23"/>
  <c r="K33" i="23"/>
  <c r="AO28" i="23"/>
  <c r="AP28" i="23"/>
  <c r="B30" i="23"/>
  <c r="A30" i="23" s="1"/>
  <c r="P30" i="23"/>
  <c r="D43" i="23"/>
  <c r="AK39" i="23"/>
  <c r="AL39" i="23"/>
  <c r="AH39" i="23"/>
  <c r="X39" i="23" l="1"/>
  <c r="Y38" i="23"/>
  <c r="AN37" i="23"/>
  <c r="C32" i="23"/>
  <c r="U32" i="23"/>
  <c r="O33" i="23"/>
  <c r="T33" i="23" s="1"/>
  <c r="S33" i="23" s="1"/>
  <c r="M34" i="23"/>
  <c r="N34" i="23"/>
  <c r="K34" i="23"/>
  <c r="W53" i="23"/>
  <c r="Z35" i="23"/>
  <c r="AJ35" i="23" s="1"/>
  <c r="L35" i="23"/>
  <c r="AO29" i="23"/>
  <c r="AP29" i="23"/>
  <c r="AG30" i="23"/>
  <c r="R30" i="23"/>
  <c r="Q30" i="23"/>
  <c r="P31" i="23"/>
  <c r="B31" i="23"/>
  <c r="A31" i="23" s="1"/>
  <c r="H37" i="23"/>
  <c r="I36" i="23"/>
  <c r="D44" i="23"/>
  <c r="AM39" i="23"/>
  <c r="AK40" i="23"/>
  <c r="AH40" i="23"/>
  <c r="AL40" i="23"/>
  <c r="AN38" i="23" l="1"/>
  <c r="AI38" i="23"/>
  <c r="X40" i="23"/>
  <c r="Y39" i="23"/>
  <c r="AI39" i="23" s="1"/>
  <c r="H38" i="23"/>
  <c r="I37" i="23"/>
  <c r="W54" i="23"/>
  <c r="C33" i="23"/>
  <c r="U33" i="23"/>
  <c r="P32" i="23"/>
  <c r="B32" i="23"/>
  <c r="A32" i="23" s="1"/>
  <c r="L36" i="23"/>
  <c r="Z36" i="23"/>
  <c r="AJ36" i="23" s="1"/>
  <c r="AO30" i="23"/>
  <c r="AP30" i="23"/>
  <c r="M35" i="23"/>
  <c r="K35" i="23"/>
  <c r="N35" i="23"/>
  <c r="AG31" i="23"/>
  <c r="R31" i="23"/>
  <c r="Q31" i="23"/>
  <c r="O34" i="23"/>
  <c r="T34" i="23" s="1"/>
  <c r="S34" i="23" s="1"/>
  <c r="D45" i="23"/>
  <c r="AM40" i="23"/>
  <c r="AL41" i="23"/>
  <c r="AK41" i="23"/>
  <c r="AH41" i="23"/>
  <c r="AN39" i="23" l="1"/>
  <c r="X41" i="23"/>
  <c r="Y40" i="23"/>
  <c r="AI40" i="23" s="1"/>
  <c r="AN40" i="23"/>
  <c r="U34" i="23"/>
  <c r="C34" i="23"/>
  <c r="AG32" i="23"/>
  <c r="R32" i="23"/>
  <c r="Q32" i="23"/>
  <c r="W55" i="23"/>
  <c r="H39" i="23"/>
  <c r="I38" i="23"/>
  <c r="O35" i="23"/>
  <c r="T35" i="23" s="1"/>
  <c r="S35" i="23" s="1"/>
  <c r="AO31" i="23"/>
  <c r="AP31" i="23"/>
  <c r="M36" i="23"/>
  <c r="N36" i="23"/>
  <c r="K36" i="23"/>
  <c r="P33" i="23"/>
  <c r="B33" i="23"/>
  <c r="A33" i="23" s="1"/>
  <c r="L37" i="23"/>
  <c r="Z37" i="23"/>
  <c r="AJ37" i="23" s="1"/>
  <c r="D46" i="23"/>
  <c r="AH42" i="23"/>
  <c r="AL42" i="23"/>
  <c r="AK42" i="23"/>
  <c r="AM42" i="23" s="1"/>
  <c r="AM41" i="23"/>
  <c r="X42" i="23" l="1"/>
  <c r="Y41" i="23"/>
  <c r="AI41" i="23" s="1"/>
  <c r="C35" i="23"/>
  <c r="U35" i="23"/>
  <c r="R33" i="23"/>
  <c r="AG33" i="23"/>
  <c r="Q33" i="23"/>
  <c r="I39" i="23"/>
  <c r="H40" i="23"/>
  <c r="M37" i="23"/>
  <c r="N37" i="23"/>
  <c r="K37" i="23"/>
  <c r="AO32" i="23"/>
  <c r="AP32" i="23"/>
  <c r="O36" i="23"/>
  <c r="T36" i="23" s="1"/>
  <c r="S36" i="23" s="1"/>
  <c r="Z38" i="23"/>
  <c r="AJ38" i="23" s="1"/>
  <c r="L38" i="23"/>
  <c r="W56" i="23"/>
  <c r="P34" i="23"/>
  <c r="B34" i="23"/>
  <c r="A34" i="23" s="1"/>
  <c r="D47" i="23"/>
  <c r="AK43" i="23"/>
  <c r="AL43" i="23"/>
  <c r="AH43" i="23"/>
  <c r="AN41" i="23" l="1"/>
  <c r="X43" i="23"/>
  <c r="Y42" i="23"/>
  <c r="C36" i="23"/>
  <c r="U36" i="23"/>
  <c r="H41" i="23"/>
  <c r="I40" i="23"/>
  <c r="B35" i="23"/>
  <c r="A35" i="23" s="1"/>
  <c r="P35" i="23"/>
  <c r="AG34" i="23"/>
  <c r="R34" i="23"/>
  <c r="Q34" i="23"/>
  <c r="M38" i="23"/>
  <c r="K38" i="23"/>
  <c r="N38" i="23"/>
  <c r="O37" i="23"/>
  <c r="T37" i="23" s="1"/>
  <c r="S37" i="23" s="1"/>
  <c r="AO33" i="23"/>
  <c r="AP33" i="23"/>
  <c r="W57" i="23"/>
  <c r="Z39" i="23"/>
  <c r="AJ39" i="23" s="1"/>
  <c r="L39" i="23"/>
  <c r="D48" i="23"/>
  <c r="AK44" i="23"/>
  <c r="AH44" i="23"/>
  <c r="AL44" i="23"/>
  <c r="AM43" i="23"/>
  <c r="AI42" i="23" l="1"/>
  <c r="AN42" i="23"/>
  <c r="X44" i="23"/>
  <c r="Y43" i="23"/>
  <c r="AI43" i="23" s="1"/>
  <c r="W58" i="23"/>
  <c r="C37" i="23"/>
  <c r="U37" i="23"/>
  <c r="O38" i="23"/>
  <c r="T38" i="23" s="1"/>
  <c r="S38" i="23" s="1"/>
  <c r="R35" i="23"/>
  <c r="AG35" i="23"/>
  <c r="Q35" i="23"/>
  <c r="B36" i="23"/>
  <c r="A36" i="23" s="1"/>
  <c r="P36" i="23"/>
  <c r="H42" i="23"/>
  <c r="I41" i="23"/>
  <c r="M39" i="23"/>
  <c r="N39" i="23"/>
  <c r="K39" i="23"/>
  <c r="L40" i="23"/>
  <c r="Z40" i="23"/>
  <c r="AJ40" i="23" s="1"/>
  <c r="AP34" i="23"/>
  <c r="AO34" i="23"/>
  <c r="D49" i="23"/>
  <c r="AL45" i="23"/>
  <c r="AK45" i="23"/>
  <c r="AH45" i="23"/>
  <c r="AM44" i="23"/>
  <c r="X45" i="23" l="1"/>
  <c r="Y44" i="23"/>
  <c r="AI44" i="23" s="1"/>
  <c r="AN44" i="23"/>
  <c r="AN43" i="23"/>
  <c r="C38" i="23"/>
  <c r="U38" i="23"/>
  <c r="O39" i="23"/>
  <c r="T39" i="23" s="1"/>
  <c r="S39" i="23" s="1"/>
  <c r="L41" i="23"/>
  <c r="Z41" i="23"/>
  <c r="AJ41" i="23" s="1"/>
  <c r="W59" i="23"/>
  <c r="M40" i="23"/>
  <c r="K40" i="23"/>
  <c r="N40" i="23"/>
  <c r="H43" i="23"/>
  <c r="I42" i="23"/>
  <c r="AP35" i="23"/>
  <c r="AO35" i="23"/>
  <c r="R36" i="23"/>
  <c r="AG36" i="23"/>
  <c r="Q36" i="23"/>
  <c r="P37" i="23"/>
  <c r="B37" i="23"/>
  <c r="A37" i="23" s="1"/>
  <c r="D50" i="23"/>
  <c r="AH46" i="23"/>
  <c r="AK46" i="23"/>
  <c r="AL46" i="23"/>
  <c r="AM45" i="23"/>
  <c r="X46" i="23" l="1"/>
  <c r="Y45" i="23"/>
  <c r="AI45" i="23" s="1"/>
  <c r="AP36" i="23"/>
  <c r="AO36" i="23"/>
  <c r="M41" i="23"/>
  <c r="N41" i="23"/>
  <c r="K41" i="23"/>
  <c r="B38" i="23"/>
  <c r="A38" i="23" s="1"/>
  <c r="P38" i="23"/>
  <c r="Z42" i="23"/>
  <c r="AJ42" i="23" s="1"/>
  <c r="L42" i="23"/>
  <c r="W60" i="23"/>
  <c r="U39" i="23"/>
  <c r="C39" i="23"/>
  <c r="AG37" i="23"/>
  <c r="R37" i="23"/>
  <c r="Q37" i="23"/>
  <c r="O40" i="23"/>
  <c r="T40" i="23" s="1"/>
  <c r="S40" i="23" s="1"/>
  <c r="H44" i="23"/>
  <c r="I43" i="23"/>
  <c r="D51" i="23"/>
  <c r="AK47" i="23"/>
  <c r="AL47" i="23"/>
  <c r="AH47" i="23"/>
  <c r="AM46" i="23"/>
  <c r="X47" i="23" l="1"/>
  <c r="Y46" i="23"/>
  <c r="AI46" i="23" s="1"/>
  <c r="AN46" i="23"/>
  <c r="AN45" i="23"/>
  <c r="W61" i="23"/>
  <c r="U40" i="23"/>
  <c r="C40" i="23"/>
  <c r="AP37" i="23"/>
  <c r="AO37" i="23"/>
  <c r="Z43" i="23"/>
  <c r="AJ43" i="23" s="1"/>
  <c r="L43" i="23"/>
  <c r="P39" i="23"/>
  <c r="B39" i="23"/>
  <c r="A39" i="23" s="1"/>
  <c r="R38" i="23"/>
  <c r="AG38" i="23"/>
  <c r="Q38" i="23"/>
  <c r="O41" i="23"/>
  <c r="T41" i="23" s="1"/>
  <c r="S41" i="23" s="1"/>
  <c r="H45" i="23"/>
  <c r="I44" i="23"/>
  <c r="M42" i="23"/>
  <c r="N42" i="23"/>
  <c r="K42" i="23"/>
  <c r="D52" i="23"/>
  <c r="AM47" i="23"/>
  <c r="AL48" i="23"/>
  <c r="AH48" i="23"/>
  <c r="AK48" i="23"/>
  <c r="X48" i="23" l="1"/>
  <c r="Y47" i="23"/>
  <c r="AI47" i="23" s="1"/>
  <c r="C41" i="23"/>
  <c r="U41" i="23"/>
  <c r="B40" i="23"/>
  <c r="A40" i="23" s="1"/>
  <c r="P40" i="23"/>
  <c r="W62" i="23"/>
  <c r="AG39" i="23"/>
  <c r="R39" i="23"/>
  <c r="Q39" i="23"/>
  <c r="O42" i="23"/>
  <c r="T42" i="23" s="1"/>
  <c r="S42" i="23" s="1"/>
  <c r="H46" i="23"/>
  <c r="I45" i="23"/>
  <c r="AP38" i="23"/>
  <c r="AO38" i="23"/>
  <c r="L44" i="23"/>
  <c r="Z44" i="23"/>
  <c r="AJ44" i="23" s="1"/>
  <c r="M43" i="23"/>
  <c r="K43" i="23"/>
  <c r="N43" i="23"/>
  <c r="D53" i="23"/>
  <c r="AM48" i="23"/>
  <c r="AL49" i="23"/>
  <c r="AH49" i="23"/>
  <c r="AK49" i="23"/>
  <c r="X49" i="23" l="1"/>
  <c r="Y48" i="23"/>
  <c r="AI48" i="23" s="1"/>
  <c r="AN47" i="23"/>
  <c r="U42" i="23"/>
  <c r="C42" i="23"/>
  <c r="W63" i="23"/>
  <c r="B41" i="23"/>
  <c r="A41" i="23" s="1"/>
  <c r="P41" i="23"/>
  <c r="M44" i="23"/>
  <c r="N44" i="23"/>
  <c r="K44" i="23"/>
  <c r="AG40" i="23"/>
  <c r="R40" i="23"/>
  <c r="Q40" i="23"/>
  <c r="O43" i="23"/>
  <c r="T43" i="23" s="1"/>
  <c r="S43" i="23" s="1"/>
  <c r="L45" i="23"/>
  <c r="Z45" i="23"/>
  <c r="AJ45" i="23" s="1"/>
  <c r="AO39" i="23"/>
  <c r="AP39" i="23"/>
  <c r="H47" i="23"/>
  <c r="I46" i="23"/>
  <c r="D54" i="23"/>
  <c r="AM49" i="23"/>
  <c r="AH50" i="23"/>
  <c r="AK50" i="23"/>
  <c r="AL50" i="23"/>
  <c r="X50" i="23" l="1"/>
  <c r="Y49" i="23"/>
  <c r="AI49" i="23" s="1"/>
  <c r="AN48" i="23"/>
  <c r="M45" i="23"/>
  <c r="N45" i="23"/>
  <c r="K45" i="23"/>
  <c r="L46" i="23"/>
  <c r="Z46" i="23"/>
  <c r="AJ46" i="23" s="1"/>
  <c r="C43" i="23"/>
  <c r="U43" i="23"/>
  <c r="O44" i="23"/>
  <c r="T44" i="23" s="1"/>
  <c r="S44" i="23" s="1"/>
  <c r="W64" i="23"/>
  <c r="I47" i="23"/>
  <c r="H48" i="23"/>
  <c r="AP40" i="23"/>
  <c r="AO40" i="23"/>
  <c r="AG41" i="23"/>
  <c r="R41" i="23"/>
  <c r="Q41" i="23"/>
  <c r="B42" i="23"/>
  <c r="A42" i="23" s="1"/>
  <c r="P42" i="23"/>
  <c r="D55" i="23"/>
  <c r="AK51" i="23"/>
  <c r="AH51" i="23"/>
  <c r="AL51" i="23"/>
  <c r="AM50" i="23"/>
  <c r="X51" i="23" l="1"/>
  <c r="Y50" i="23"/>
  <c r="AI50" i="23" s="1"/>
  <c r="AN50" i="23"/>
  <c r="AN49" i="23"/>
  <c r="AG42" i="23"/>
  <c r="R42" i="23"/>
  <c r="Q42" i="23"/>
  <c r="AP41" i="23"/>
  <c r="AO41" i="23"/>
  <c r="M46" i="23"/>
  <c r="N46" i="23"/>
  <c r="K46" i="23"/>
  <c r="O45" i="23"/>
  <c r="T45" i="23" s="1"/>
  <c r="S45" i="23" s="1"/>
  <c r="W65" i="23"/>
  <c r="P43" i="23"/>
  <c r="B43" i="23"/>
  <c r="A43" i="23" s="1"/>
  <c r="L47" i="23"/>
  <c r="Z47" i="23"/>
  <c r="AJ47" i="23" s="1"/>
  <c r="C44" i="23"/>
  <c r="U44" i="23"/>
  <c r="H49" i="23"/>
  <c r="I48" i="23"/>
  <c r="D56" i="23"/>
  <c r="AL52" i="23"/>
  <c r="AH52" i="23"/>
  <c r="AK52" i="23"/>
  <c r="AM52" i="23" s="1"/>
  <c r="AM51" i="23"/>
  <c r="X52" i="23" l="1"/>
  <c r="Y51" i="23"/>
  <c r="AI51" i="23" s="1"/>
  <c r="C45" i="23"/>
  <c r="U45" i="23"/>
  <c r="W66" i="23"/>
  <c r="AP42" i="23"/>
  <c r="AO42" i="23"/>
  <c r="Z48" i="23"/>
  <c r="AJ48" i="23" s="1"/>
  <c r="L48" i="23"/>
  <c r="M47" i="23"/>
  <c r="K47" i="23"/>
  <c r="N47" i="23"/>
  <c r="P44" i="23"/>
  <c r="B44" i="23"/>
  <c r="A44" i="23" s="1"/>
  <c r="H50" i="23"/>
  <c r="I49" i="23"/>
  <c r="AG43" i="23"/>
  <c r="R43" i="23"/>
  <c r="Q43" i="23"/>
  <c r="O46" i="23"/>
  <c r="T46" i="23" s="1"/>
  <c r="S46" i="23" s="1"/>
  <c r="D57" i="23"/>
  <c r="AL53" i="23"/>
  <c r="AK53" i="23"/>
  <c r="AH53" i="23"/>
  <c r="X53" i="23" l="1"/>
  <c r="Y52" i="23"/>
  <c r="AN51" i="23"/>
  <c r="U46" i="23"/>
  <c r="C46" i="23"/>
  <c r="AO43" i="23"/>
  <c r="AP43" i="23"/>
  <c r="H51" i="23"/>
  <c r="I50" i="23"/>
  <c r="M48" i="23"/>
  <c r="N48" i="23"/>
  <c r="K48" i="23"/>
  <c r="P45" i="23"/>
  <c r="B45" i="23"/>
  <c r="A45" i="23" s="1"/>
  <c r="O47" i="23"/>
  <c r="T47" i="23" s="1"/>
  <c r="S47" i="23" s="1"/>
  <c r="W67" i="23"/>
  <c r="L49" i="23"/>
  <c r="Z49" i="23"/>
  <c r="AJ49" i="23" s="1"/>
  <c r="R44" i="23"/>
  <c r="AG44" i="23"/>
  <c r="Q44" i="23"/>
  <c r="D58" i="23"/>
  <c r="AH54" i="23"/>
  <c r="AL54" i="23"/>
  <c r="AK54" i="23"/>
  <c r="AM54" i="23" s="1"/>
  <c r="AM53" i="23"/>
  <c r="AN52" i="23" l="1"/>
  <c r="AI52" i="23"/>
  <c r="X54" i="23"/>
  <c r="Y53" i="23"/>
  <c r="AI53" i="23" s="1"/>
  <c r="W68" i="23"/>
  <c r="AG45" i="23"/>
  <c r="R45" i="23"/>
  <c r="Q45" i="23"/>
  <c r="L50" i="23"/>
  <c r="Z50" i="23"/>
  <c r="AJ50" i="23" s="1"/>
  <c r="U47" i="23"/>
  <c r="C47" i="23"/>
  <c r="AP44" i="23"/>
  <c r="AO44" i="23"/>
  <c r="M49" i="23"/>
  <c r="K49" i="23"/>
  <c r="N49" i="23"/>
  <c r="B46" i="23"/>
  <c r="A46" i="23" s="1"/>
  <c r="P46" i="23"/>
  <c r="O48" i="23"/>
  <c r="T48" i="23" s="1"/>
  <c r="S48" i="23" s="1"/>
  <c r="H52" i="23"/>
  <c r="I51" i="23"/>
  <c r="D59" i="23"/>
  <c r="AK55" i="23"/>
  <c r="AL55" i="23"/>
  <c r="AH55" i="23"/>
  <c r="AN53" i="23" l="1"/>
  <c r="X55" i="23"/>
  <c r="Y54" i="23"/>
  <c r="L51" i="23"/>
  <c r="Z51" i="23"/>
  <c r="AJ51" i="23" s="1"/>
  <c r="U48" i="23"/>
  <c r="C48" i="23"/>
  <c r="AP45" i="23"/>
  <c r="AO45" i="23"/>
  <c r="I52" i="23"/>
  <c r="H53" i="23"/>
  <c r="AG46" i="23"/>
  <c r="R46" i="23"/>
  <c r="Q46" i="23"/>
  <c r="O49" i="23"/>
  <c r="T49" i="23" s="1"/>
  <c r="S49" i="23" s="1"/>
  <c r="B47" i="23"/>
  <c r="A47" i="23" s="1"/>
  <c r="P47" i="23"/>
  <c r="M50" i="23"/>
  <c r="N50" i="23"/>
  <c r="K50" i="23"/>
  <c r="W69" i="23"/>
  <c r="D60" i="23"/>
  <c r="AK56" i="23"/>
  <c r="AH56" i="23"/>
  <c r="AL56" i="23"/>
  <c r="AM55" i="23"/>
  <c r="AM56" i="23" l="1"/>
  <c r="AN54" i="23"/>
  <c r="AI54" i="23"/>
  <c r="X56" i="23"/>
  <c r="Y55" i="23"/>
  <c r="AI55" i="23" s="1"/>
  <c r="C49" i="23"/>
  <c r="U49" i="23"/>
  <c r="O50" i="23"/>
  <c r="T50" i="23" s="1"/>
  <c r="S50" i="23" s="1"/>
  <c r="W70" i="23"/>
  <c r="R47" i="23"/>
  <c r="AG47" i="23"/>
  <c r="Q47" i="23"/>
  <c r="H54" i="23"/>
  <c r="I53" i="23"/>
  <c r="Z52" i="23"/>
  <c r="AJ52" i="23" s="1"/>
  <c r="L52" i="23"/>
  <c r="AP46" i="23"/>
  <c r="AO46" i="23"/>
  <c r="P48" i="23"/>
  <c r="B48" i="23"/>
  <c r="A48" i="23" s="1"/>
  <c r="M51" i="23"/>
  <c r="N51" i="23"/>
  <c r="K51" i="23"/>
  <c r="D61" i="23"/>
  <c r="AL57" i="23"/>
  <c r="AK57" i="23"/>
  <c r="AM57" i="23" s="1"/>
  <c r="AH57" i="23"/>
  <c r="AN55" i="23" l="1"/>
  <c r="X57" i="23"/>
  <c r="Y56" i="23"/>
  <c r="L53" i="23"/>
  <c r="Z53" i="23"/>
  <c r="AJ53" i="23" s="1"/>
  <c r="U50" i="23"/>
  <c r="C50" i="23"/>
  <c r="O51" i="23"/>
  <c r="T51" i="23" s="1"/>
  <c r="S51" i="23" s="1"/>
  <c r="H55" i="23"/>
  <c r="I54" i="23"/>
  <c r="W71" i="23"/>
  <c r="R48" i="23"/>
  <c r="AG48" i="23"/>
  <c r="Q48" i="23"/>
  <c r="M52" i="23"/>
  <c r="N52" i="23"/>
  <c r="K52" i="23"/>
  <c r="AO47" i="23"/>
  <c r="AP47" i="23"/>
  <c r="P49" i="23"/>
  <c r="B49" i="23"/>
  <c r="A49" i="23" s="1"/>
  <c r="D62" i="23"/>
  <c r="AH58" i="23"/>
  <c r="AL58" i="23"/>
  <c r="AK58" i="23"/>
  <c r="X58" i="23" l="1"/>
  <c r="Y57" i="23"/>
  <c r="AN56" i="23"/>
  <c r="AI56" i="23"/>
  <c r="AO48" i="23"/>
  <c r="AP48" i="23"/>
  <c r="L54" i="23"/>
  <c r="Z54" i="23"/>
  <c r="AJ54" i="23" s="1"/>
  <c r="C51" i="23"/>
  <c r="U51" i="23"/>
  <c r="R49" i="23"/>
  <c r="AG49" i="23"/>
  <c r="Q49" i="23"/>
  <c r="O52" i="23"/>
  <c r="T52" i="23" s="1"/>
  <c r="S52" i="23" s="1"/>
  <c r="B50" i="23"/>
  <c r="A50" i="23" s="1"/>
  <c r="P50" i="23"/>
  <c r="M53" i="23"/>
  <c r="K53" i="23"/>
  <c r="N53" i="23"/>
  <c r="W72" i="23"/>
  <c r="H56" i="23"/>
  <c r="I55" i="23"/>
  <c r="D63" i="23"/>
  <c r="AM58" i="23"/>
  <c r="AK59" i="23"/>
  <c r="AL59" i="23"/>
  <c r="AH59" i="23"/>
  <c r="AN57" i="23" l="1"/>
  <c r="AI57" i="23"/>
  <c r="X59" i="23"/>
  <c r="Y58" i="23"/>
  <c r="AI58" i="23" s="1"/>
  <c r="C52" i="23"/>
  <c r="U52" i="23"/>
  <c r="L55" i="23"/>
  <c r="Z55" i="23"/>
  <c r="AJ55" i="23" s="1"/>
  <c r="W73" i="23"/>
  <c r="O53" i="23"/>
  <c r="T53" i="23" s="1"/>
  <c r="S53" i="23" s="1"/>
  <c r="H57" i="23"/>
  <c r="I56" i="23"/>
  <c r="AG50" i="23"/>
  <c r="R50" i="23"/>
  <c r="Q50" i="23"/>
  <c r="M54" i="23"/>
  <c r="N54" i="23"/>
  <c r="K54" i="23"/>
  <c r="AP49" i="23"/>
  <c r="AO49" i="23"/>
  <c r="P51" i="23"/>
  <c r="B51" i="23"/>
  <c r="A51" i="23" s="1"/>
  <c r="D64" i="23"/>
  <c r="AM59" i="23"/>
  <c r="AK60" i="23"/>
  <c r="AH60" i="23"/>
  <c r="AL60" i="23"/>
  <c r="AN58" i="23" l="1"/>
  <c r="X60" i="23"/>
  <c r="Y59" i="23"/>
  <c r="AI59" i="23" s="1"/>
  <c r="AN59" i="23"/>
  <c r="R51" i="23"/>
  <c r="AG51" i="23"/>
  <c r="Q51" i="23"/>
  <c r="H58" i="23"/>
  <c r="I57" i="23"/>
  <c r="W74" i="23"/>
  <c r="M55" i="23"/>
  <c r="N55" i="23"/>
  <c r="K55" i="23"/>
  <c r="AO50" i="23"/>
  <c r="AP50" i="23"/>
  <c r="O54" i="23"/>
  <c r="T54" i="23" s="1"/>
  <c r="S54" i="23" s="1"/>
  <c r="U53" i="23"/>
  <c r="C53" i="23"/>
  <c r="Z56" i="23"/>
  <c r="AJ56" i="23" s="1"/>
  <c r="L56" i="23"/>
  <c r="P52" i="23"/>
  <c r="B52" i="23"/>
  <c r="A52" i="23" s="1"/>
  <c r="D65" i="23"/>
  <c r="AL61" i="23"/>
  <c r="AK61" i="23"/>
  <c r="AM61" i="23" s="1"/>
  <c r="AH61" i="23"/>
  <c r="AM60" i="23"/>
  <c r="X61" i="23" l="1"/>
  <c r="Y60" i="23"/>
  <c r="AI60" i="23" s="1"/>
  <c r="R52" i="23"/>
  <c r="AG52" i="23"/>
  <c r="Q52" i="23"/>
  <c r="P53" i="23"/>
  <c r="B53" i="23"/>
  <c r="A53" i="23" s="1"/>
  <c r="O55" i="23"/>
  <c r="T55" i="23" s="1"/>
  <c r="S55" i="23" s="1"/>
  <c r="AP51" i="23"/>
  <c r="AO51" i="23"/>
  <c r="M56" i="23"/>
  <c r="K56" i="23"/>
  <c r="N56" i="23"/>
  <c r="U54" i="23"/>
  <c r="C54" i="23"/>
  <c r="L57" i="23"/>
  <c r="Z57" i="23"/>
  <c r="AJ57" i="23" s="1"/>
  <c r="W75" i="23"/>
  <c r="H59" i="23"/>
  <c r="I58" i="23"/>
  <c r="D66" i="23"/>
  <c r="AH62" i="23"/>
  <c r="AK62" i="23"/>
  <c r="AL62" i="23"/>
  <c r="AM62" i="23" l="1"/>
  <c r="X62" i="23"/>
  <c r="Y61" i="23"/>
  <c r="AN60" i="23"/>
  <c r="C55" i="23"/>
  <c r="U55" i="23"/>
  <c r="H60" i="23"/>
  <c r="I59" i="23"/>
  <c r="AP52" i="23"/>
  <c r="AO52" i="23"/>
  <c r="L58" i="23"/>
  <c r="Z58" i="23"/>
  <c r="AJ58" i="23" s="1"/>
  <c r="M57" i="23"/>
  <c r="K57" i="23"/>
  <c r="N57" i="23"/>
  <c r="R53" i="23"/>
  <c r="AG53" i="23"/>
  <c r="Q53" i="23"/>
  <c r="W76" i="23"/>
  <c r="P54" i="23"/>
  <c r="B54" i="23"/>
  <c r="A54" i="23" s="1"/>
  <c r="O56" i="23"/>
  <c r="T56" i="23" s="1"/>
  <c r="S56" i="23" s="1"/>
  <c r="D67" i="23"/>
  <c r="AK63" i="23"/>
  <c r="AL63" i="23"/>
  <c r="AH63" i="23"/>
  <c r="AN61" i="23" l="1"/>
  <c r="AI61" i="23"/>
  <c r="X63" i="23"/>
  <c r="Y62" i="23"/>
  <c r="U56" i="23"/>
  <c r="C56" i="23"/>
  <c r="I60" i="23"/>
  <c r="H61" i="23"/>
  <c r="M58" i="23"/>
  <c r="K58" i="23"/>
  <c r="N58" i="23"/>
  <c r="L59" i="23"/>
  <c r="Z59" i="23"/>
  <c r="AJ59" i="23" s="1"/>
  <c r="R54" i="23"/>
  <c r="AG54" i="23"/>
  <c r="Q54" i="23"/>
  <c r="AP53" i="23"/>
  <c r="AO53" i="23"/>
  <c r="O57" i="23"/>
  <c r="T57" i="23" s="1"/>
  <c r="S57" i="23" s="1"/>
  <c r="W77" i="23"/>
  <c r="P55" i="23"/>
  <c r="B55" i="23"/>
  <c r="A55" i="23" s="1"/>
  <c r="D68" i="23"/>
  <c r="AM63" i="23"/>
  <c r="AL64" i="23"/>
  <c r="AH64" i="23"/>
  <c r="AK64" i="23"/>
  <c r="AM64" i="23" s="1"/>
  <c r="X64" i="23" l="1"/>
  <c r="Y63" i="23"/>
  <c r="AI63" i="23" s="1"/>
  <c r="AI62" i="23"/>
  <c r="AN62" i="23"/>
  <c r="C57" i="23"/>
  <c r="U57" i="23"/>
  <c r="O58" i="23"/>
  <c r="T58" i="23" s="1"/>
  <c r="S58" i="23" s="1"/>
  <c r="R55" i="23"/>
  <c r="AG55" i="23"/>
  <c r="Q55" i="23"/>
  <c r="AP54" i="23"/>
  <c r="AO54" i="23"/>
  <c r="M59" i="23"/>
  <c r="N59" i="23"/>
  <c r="K59" i="23"/>
  <c r="H62" i="23"/>
  <c r="I61" i="23"/>
  <c r="B56" i="23"/>
  <c r="A56" i="23" s="1"/>
  <c r="P56" i="23"/>
  <c r="W78" i="23"/>
  <c r="Z60" i="23"/>
  <c r="AJ60" i="23" s="1"/>
  <c r="L60" i="23"/>
  <c r="D69" i="23"/>
  <c r="AL65" i="23"/>
  <c r="AH65" i="23"/>
  <c r="AK65" i="23"/>
  <c r="AM65" i="23" s="1"/>
  <c r="AN63" i="23" l="1"/>
  <c r="X65" i="23"/>
  <c r="Y64" i="23"/>
  <c r="R56" i="23"/>
  <c r="AG56" i="23"/>
  <c r="Q56" i="23"/>
  <c r="U58" i="23"/>
  <c r="C58" i="23"/>
  <c r="W79" i="23"/>
  <c r="L61" i="23"/>
  <c r="Z61" i="23"/>
  <c r="AJ61" i="23" s="1"/>
  <c r="O59" i="23"/>
  <c r="T59" i="23" s="1"/>
  <c r="S59" i="23" s="1"/>
  <c r="AP55" i="23"/>
  <c r="AO55" i="23"/>
  <c r="M60" i="23"/>
  <c r="K60" i="23"/>
  <c r="N60" i="23"/>
  <c r="I62" i="23"/>
  <c r="H63" i="23"/>
  <c r="B57" i="23"/>
  <c r="A57" i="23" s="1"/>
  <c r="P57" i="23"/>
  <c r="D70" i="23"/>
  <c r="AH66" i="23"/>
  <c r="AK66" i="23"/>
  <c r="AL66" i="23"/>
  <c r="AM66" i="23" l="1"/>
  <c r="AN64" i="23"/>
  <c r="AI64" i="23"/>
  <c r="X66" i="23"/>
  <c r="Y65" i="23"/>
  <c r="C59" i="23"/>
  <c r="U59" i="23"/>
  <c r="R57" i="23"/>
  <c r="AG57" i="23"/>
  <c r="Q57" i="23"/>
  <c r="O60" i="23"/>
  <c r="T60" i="23" s="1"/>
  <c r="S60" i="23" s="1"/>
  <c r="W80" i="23"/>
  <c r="H64" i="23"/>
  <c r="I63" i="23"/>
  <c r="AP56" i="23"/>
  <c r="AO56" i="23"/>
  <c r="L62" i="23"/>
  <c r="Z62" i="23"/>
  <c r="AJ62" i="23" s="1"/>
  <c r="M61" i="23"/>
  <c r="K61" i="23"/>
  <c r="N61" i="23"/>
  <c r="B58" i="23"/>
  <c r="A58" i="23" s="1"/>
  <c r="P58" i="23"/>
  <c r="D71" i="23"/>
  <c r="AK67" i="23"/>
  <c r="AH67" i="23"/>
  <c r="AL67" i="23"/>
  <c r="AM67" i="23" l="1"/>
  <c r="X67" i="23"/>
  <c r="Y66" i="23"/>
  <c r="AN65" i="23"/>
  <c r="AI65" i="23"/>
  <c r="H65" i="23"/>
  <c r="I64" i="23"/>
  <c r="U60" i="23"/>
  <c r="C60" i="23"/>
  <c r="L63" i="23"/>
  <c r="Z63" i="23"/>
  <c r="AJ63" i="23" s="1"/>
  <c r="M62" i="23"/>
  <c r="N62" i="23"/>
  <c r="K62" i="23"/>
  <c r="AG58" i="23"/>
  <c r="R58" i="23"/>
  <c r="Q58" i="23"/>
  <c r="O61" i="23"/>
  <c r="T61" i="23" s="1"/>
  <c r="S61" i="23" s="1"/>
  <c r="W81" i="23"/>
  <c r="AP57" i="23"/>
  <c r="AO57" i="23"/>
  <c r="P59" i="23"/>
  <c r="B59" i="23"/>
  <c r="A59" i="23" s="1"/>
  <c r="D72" i="23"/>
  <c r="AL68" i="23"/>
  <c r="AH68" i="23"/>
  <c r="AK68" i="23"/>
  <c r="AM68" i="23" s="1"/>
  <c r="AN66" i="23" l="1"/>
  <c r="AI66" i="23"/>
  <c r="X68" i="23"/>
  <c r="Y67" i="23"/>
  <c r="W82" i="23"/>
  <c r="M63" i="23"/>
  <c r="N63" i="23"/>
  <c r="K63" i="23"/>
  <c r="Z64" i="23"/>
  <c r="AJ64" i="23" s="1"/>
  <c r="L64" i="23"/>
  <c r="AG59" i="23"/>
  <c r="R59" i="23"/>
  <c r="Q59" i="23"/>
  <c r="O62" i="23"/>
  <c r="T62" i="23" s="1"/>
  <c r="S62" i="23" s="1"/>
  <c r="P60" i="23"/>
  <c r="B60" i="23"/>
  <c r="A60" i="23" s="1"/>
  <c r="C61" i="23"/>
  <c r="U61" i="23"/>
  <c r="AP58" i="23"/>
  <c r="AO58" i="23"/>
  <c r="H66" i="23"/>
  <c r="I65" i="23"/>
  <c r="D73" i="23"/>
  <c r="AL69" i="23"/>
  <c r="AK69" i="23"/>
  <c r="AH69" i="23"/>
  <c r="AN67" i="23" l="1"/>
  <c r="AI67" i="23"/>
  <c r="X69" i="23"/>
  <c r="Y68" i="23"/>
  <c r="U62" i="23"/>
  <c r="C62" i="23"/>
  <c r="M64" i="23"/>
  <c r="K64" i="23"/>
  <c r="N64" i="23"/>
  <c r="O63" i="23"/>
  <c r="T63" i="23" s="1"/>
  <c r="S63" i="23" s="1"/>
  <c r="L65" i="23"/>
  <c r="Z65" i="23"/>
  <c r="AJ65" i="23" s="1"/>
  <c r="R60" i="23"/>
  <c r="AG60" i="23"/>
  <c r="Q60" i="23"/>
  <c r="H67" i="23"/>
  <c r="I66" i="23"/>
  <c r="B61" i="23"/>
  <c r="A61" i="23" s="1"/>
  <c r="P61" i="23"/>
  <c r="AO59" i="23"/>
  <c r="AP59" i="23"/>
  <c r="W83" i="23"/>
  <c r="D74" i="23"/>
  <c r="AH70" i="23"/>
  <c r="AL70" i="23"/>
  <c r="AK70" i="23"/>
  <c r="AM70" i="23" s="1"/>
  <c r="AM69" i="23"/>
  <c r="X70" i="23" l="1"/>
  <c r="Y69" i="23"/>
  <c r="AI69" i="23" s="1"/>
  <c r="AN68" i="23"/>
  <c r="AI68" i="23"/>
  <c r="AG61" i="23"/>
  <c r="R61" i="23"/>
  <c r="Q61" i="23"/>
  <c r="H68" i="23"/>
  <c r="I67" i="23"/>
  <c r="C63" i="23"/>
  <c r="U63" i="23"/>
  <c r="O64" i="23"/>
  <c r="T64" i="23" s="1"/>
  <c r="S64" i="23" s="1"/>
  <c r="W84" i="23"/>
  <c r="L66" i="23"/>
  <c r="Z66" i="23"/>
  <c r="AJ66" i="23" s="1"/>
  <c r="B62" i="23"/>
  <c r="A62" i="23" s="1"/>
  <c r="P62" i="23"/>
  <c r="AP60" i="23"/>
  <c r="AO60" i="23"/>
  <c r="M65" i="23"/>
  <c r="K65" i="23"/>
  <c r="N65" i="23"/>
  <c r="D75" i="23"/>
  <c r="AK71" i="23"/>
  <c r="AL71" i="23"/>
  <c r="AH71" i="23"/>
  <c r="AN69" i="23" l="1"/>
  <c r="X71" i="23"/>
  <c r="Y70" i="23"/>
  <c r="O65" i="23"/>
  <c r="T65" i="23" s="1"/>
  <c r="S65" i="23" s="1"/>
  <c r="U64" i="23"/>
  <c r="C64" i="23"/>
  <c r="L67" i="23"/>
  <c r="Z67" i="23"/>
  <c r="AJ67" i="23" s="1"/>
  <c r="W85" i="23"/>
  <c r="I68" i="23"/>
  <c r="H69" i="23"/>
  <c r="AP61" i="23"/>
  <c r="AO61" i="23"/>
  <c r="AG62" i="23"/>
  <c r="R62" i="23"/>
  <c r="Q62" i="23"/>
  <c r="M66" i="23"/>
  <c r="K66" i="23"/>
  <c r="N66" i="23"/>
  <c r="P63" i="23"/>
  <c r="B63" i="23"/>
  <c r="A63" i="23" s="1"/>
  <c r="D76" i="23"/>
  <c r="AK72" i="23"/>
  <c r="AH72" i="23"/>
  <c r="AL72" i="23"/>
  <c r="AM71" i="23"/>
  <c r="AN70" i="23" l="1"/>
  <c r="AI70" i="23"/>
  <c r="X72" i="23"/>
  <c r="Y71" i="23"/>
  <c r="AI71" i="23" s="1"/>
  <c r="O66" i="23"/>
  <c r="T66" i="23" s="1"/>
  <c r="S66" i="23" s="1"/>
  <c r="Z68" i="23"/>
  <c r="AJ68" i="23" s="1"/>
  <c r="L68" i="23"/>
  <c r="AG63" i="23"/>
  <c r="R63" i="23"/>
  <c r="Q63" i="23"/>
  <c r="C65" i="23"/>
  <c r="U65" i="23"/>
  <c r="H70" i="23"/>
  <c r="I69" i="23"/>
  <c r="M67" i="23"/>
  <c r="N67" i="23"/>
  <c r="K67" i="23"/>
  <c r="AP62" i="23"/>
  <c r="AO62" i="23"/>
  <c r="W86" i="23"/>
  <c r="B64" i="23"/>
  <c r="A64" i="23" s="1"/>
  <c r="P64" i="23"/>
  <c r="D77" i="23"/>
  <c r="AL73" i="23"/>
  <c r="AK73" i="23"/>
  <c r="AH73" i="23"/>
  <c r="AM72" i="23"/>
  <c r="X73" i="23" l="1"/>
  <c r="Y72" i="23"/>
  <c r="AI72" i="23" s="1"/>
  <c r="AN71" i="23"/>
  <c r="O67" i="23"/>
  <c r="T67" i="23" s="1"/>
  <c r="S67" i="23" s="1"/>
  <c r="H71" i="23"/>
  <c r="I70" i="23"/>
  <c r="M68" i="23"/>
  <c r="K68" i="23"/>
  <c r="N68" i="23"/>
  <c r="AO63" i="23"/>
  <c r="AP63" i="23"/>
  <c r="W87" i="23"/>
  <c r="P65" i="23"/>
  <c r="B65" i="23"/>
  <c r="A65" i="23" s="1"/>
  <c r="U66" i="23"/>
  <c r="C66" i="23"/>
  <c r="AG64" i="23"/>
  <c r="R64" i="23"/>
  <c r="Q64" i="23"/>
  <c r="L69" i="23"/>
  <c r="Z69" i="23"/>
  <c r="AJ69" i="23" s="1"/>
  <c r="D78" i="23"/>
  <c r="AH74" i="23"/>
  <c r="AL74" i="23"/>
  <c r="AK74" i="23"/>
  <c r="AM74" i="23" s="1"/>
  <c r="AM73" i="23"/>
  <c r="X74" i="23" l="1"/>
  <c r="Y73" i="23"/>
  <c r="AI73" i="23" s="1"/>
  <c r="AN72" i="23"/>
  <c r="AP64" i="23"/>
  <c r="AO64" i="23"/>
  <c r="R65" i="23"/>
  <c r="AG65" i="23"/>
  <c r="Q65" i="23"/>
  <c r="L70" i="23"/>
  <c r="Z70" i="23"/>
  <c r="AJ70" i="23" s="1"/>
  <c r="C67" i="23"/>
  <c r="U67" i="23"/>
  <c r="M69" i="23"/>
  <c r="K69" i="23"/>
  <c r="N69" i="23"/>
  <c r="B66" i="23"/>
  <c r="A66" i="23" s="1"/>
  <c r="P66" i="23"/>
  <c r="W88" i="23"/>
  <c r="O68" i="23"/>
  <c r="T68" i="23" s="1"/>
  <c r="S68" i="23" s="1"/>
  <c r="H72" i="23"/>
  <c r="I71" i="23"/>
  <c r="D79" i="23"/>
  <c r="AK75" i="23"/>
  <c r="AL75" i="23"/>
  <c r="AH75" i="23"/>
  <c r="X75" i="23" l="1"/>
  <c r="Y74" i="23"/>
  <c r="AN73" i="23"/>
  <c r="I72" i="23"/>
  <c r="H73" i="23"/>
  <c r="W89" i="23"/>
  <c r="M70" i="23"/>
  <c r="N70" i="23"/>
  <c r="K70" i="23"/>
  <c r="L71" i="23"/>
  <c r="Z71" i="23"/>
  <c r="AJ71" i="23" s="1"/>
  <c r="U68" i="23"/>
  <c r="C68" i="23"/>
  <c r="B67" i="23"/>
  <c r="A67" i="23" s="1"/>
  <c r="P67" i="23"/>
  <c r="AG66" i="23"/>
  <c r="R66" i="23"/>
  <c r="Q66" i="23"/>
  <c r="O69" i="23"/>
  <c r="T69" i="23" s="1"/>
  <c r="S69" i="23" s="1"/>
  <c r="AP65" i="23"/>
  <c r="AO65" i="23"/>
  <c r="D80" i="23"/>
  <c r="AM75" i="23"/>
  <c r="AK76" i="23"/>
  <c r="AH76" i="23"/>
  <c r="AL76" i="23"/>
  <c r="AI74" i="23" l="1"/>
  <c r="AN74" i="23"/>
  <c r="X76" i="23"/>
  <c r="Y75" i="23"/>
  <c r="AI75" i="23" s="1"/>
  <c r="R67" i="23"/>
  <c r="AG67" i="23"/>
  <c r="Q67" i="23"/>
  <c r="O70" i="23"/>
  <c r="T70" i="23" s="1"/>
  <c r="S70" i="23" s="1"/>
  <c r="H74" i="23"/>
  <c r="I73" i="23"/>
  <c r="C69" i="23"/>
  <c r="U69" i="23"/>
  <c r="AP66" i="23"/>
  <c r="AO66" i="23"/>
  <c r="B68" i="23"/>
  <c r="A68" i="23" s="1"/>
  <c r="P68" i="23"/>
  <c r="M71" i="23"/>
  <c r="K71" i="23"/>
  <c r="N71" i="23"/>
  <c r="Z72" i="23"/>
  <c r="AJ72" i="23" s="1"/>
  <c r="L72" i="23"/>
  <c r="W90" i="23"/>
  <c r="D81" i="23"/>
  <c r="AM76" i="23"/>
  <c r="AL77" i="23"/>
  <c r="AK77" i="23"/>
  <c r="AH77" i="23"/>
  <c r="AN75" i="23" l="1"/>
  <c r="X77" i="23"/>
  <c r="Y76" i="23"/>
  <c r="AI76" i="23" s="1"/>
  <c r="AN76" i="23"/>
  <c r="C70" i="23"/>
  <c r="U70" i="23"/>
  <c r="W91" i="23"/>
  <c r="B69" i="23"/>
  <c r="A69" i="23" s="1"/>
  <c r="P69" i="23"/>
  <c r="L73" i="23"/>
  <c r="Z73" i="23"/>
  <c r="AJ73" i="23" s="1"/>
  <c r="M72" i="23"/>
  <c r="N72" i="23"/>
  <c r="K72" i="23"/>
  <c r="O71" i="23"/>
  <c r="T71" i="23" s="1"/>
  <c r="S71" i="23" s="1"/>
  <c r="I74" i="23"/>
  <c r="H75" i="23"/>
  <c r="AP67" i="23"/>
  <c r="AO67" i="23"/>
  <c r="R68" i="23"/>
  <c r="AG68" i="23"/>
  <c r="Q68" i="23"/>
  <c r="D82" i="23"/>
  <c r="AM77" i="23"/>
  <c r="AL78" i="23"/>
  <c r="AH78" i="23"/>
  <c r="AK78" i="23"/>
  <c r="AM78" i="23" s="1"/>
  <c r="X78" i="23" l="1"/>
  <c r="Y77" i="23"/>
  <c r="AI77" i="23" s="1"/>
  <c r="AP68" i="23"/>
  <c r="AO68" i="23"/>
  <c r="M73" i="23"/>
  <c r="N73" i="23"/>
  <c r="K73" i="23"/>
  <c r="H76" i="23"/>
  <c r="I75" i="23"/>
  <c r="U71" i="23"/>
  <c r="C71" i="23"/>
  <c r="O72" i="23"/>
  <c r="T72" i="23" s="1"/>
  <c r="S72" i="23" s="1"/>
  <c r="W92" i="23"/>
  <c r="L74" i="23"/>
  <c r="Z74" i="23"/>
  <c r="AJ74" i="23" s="1"/>
  <c r="R69" i="23"/>
  <c r="AG69" i="23"/>
  <c r="Q69" i="23"/>
  <c r="P70" i="23"/>
  <c r="B70" i="23"/>
  <c r="A70" i="23" s="1"/>
  <c r="D83" i="23"/>
  <c r="AH79" i="23"/>
  <c r="AK79" i="23"/>
  <c r="AL79" i="23"/>
  <c r="X79" i="23" l="1"/>
  <c r="Y78" i="23"/>
  <c r="AN77" i="23"/>
  <c r="I76" i="23"/>
  <c r="H77" i="23"/>
  <c r="AP69" i="23"/>
  <c r="AO69" i="23"/>
  <c r="M74" i="23"/>
  <c r="K74" i="23"/>
  <c r="N74" i="23"/>
  <c r="U72" i="23"/>
  <c r="C72" i="23"/>
  <c r="L75" i="23"/>
  <c r="Z75" i="23"/>
  <c r="AJ75" i="23" s="1"/>
  <c r="O73" i="23"/>
  <c r="T73" i="23" s="1"/>
  <c r="S73" i="23" s="1"/>
  <c r="R70" i="23"/>
  <c r="AG70" i="23"/>
  <c r="Q70" i="23"/>
  <c r="W93" i="23"/>
  <c r="B71" i="23"/>
  <c r="A71" i="23" s="1"/>
  <c r="P71" i="23"/>
  <c r="D84" i="23"/>
  <c r="AM79" i="23"/>
  <c r="AK80" i="23"/>
  <c r="AH80" i="23"/>
  <c r="AL80" i="23"/>
  <c r="AN78" i="23" l="1"/>
  <c r="AI78" i="23"/>
  <c r="X80" i="23"/>
  <c r="Y79" i="23"/>
  <c r="AI79" i="23" s="1"/>
  <c r="U73" i="23"/>
  <c r="C73" i="23"/>
  <c r="R71" i="23"/>
  <c r="AG71" i="23"/>
  <c r="Q71" i="23"/>
  <c r="P72" i="23"/>
  <c r="B72" i="23"/>
  <c r="A72" i="23" s="1"/>
  <c r="O74" i="23"/>
  <c r="T74" i="23" s="1"/>
  <c r="S74" i="23" s="1"/>
  <c r="AP70" i="23"/>
  <c r="AO70" i="23"/>
  <c r="Z76" i="23"/>
  <c r="AJ76" i="23" s="1"/>
  <c r="L76" i="23"/>
  <c r="W94" i="23"/>
  <c r="M75" i="23"/>
  <c r="N75" i="23"/>
  <c r="K75" i="23"/>
  <c r="H78" i="23"/>
  <c r="I77" i="23"/>
  <c r="D85" i="23"/>
  <c r="AM80" i="23"/>
  <c r="AL81" i="23"/>
  <c r="AH81" i="23"/>
  <c r="AK81" i="23"/>
  <c r="AN79" i="23" l="1"/>
  <c r="X81" i="23"/>
  <c r="Y80" i="23"/>
  <c r="AI80" i="23" s="1"/>
  <c r="AN80" i="23"/>
  <c r="C74" i="23"/>
  <c r="U74" i="23"/>
  <c r="AP71" i="23"/>
  <c r="AO71" i="23"/>
  <c r="L77" i="23"/>
  <c r="Z77" i="23"/>
  <c r="AJ77" i="23" s="1"/>
  <c r="O75" i="23"/>
  <c r="T75" i="23" s="1"/>
  <c r="S75" i="23" s="1"/>
  <c r="H79" i="23"/>
  <c r="I78" i="23"/>
  <c r="M76" i="23"/>
  <c r="N76" i="23"/>
  <c r="K76" i="23"/>
  <c r="AG72" i="23"/>
  <c r="R72" i="23"/>
  <c r="Q72" i="23"/>
  <c r="P73" i="23"/>
  <c r="B73" i="23"/>
  <c r="A73" i="23" s="1"/>
  <c r="W95" i="23"/>
  <c r="D86" i="23"/>
  <c r="AM81" i="23"/>
  <c r="AL82" i="23"/>
  <c r="AK82" i="23"/>
  <c r="AM82" i="23" s="1"/>
  <c r="AH82" i="23"/>
  <c r="X82" i="23" l="1"/>
  <c r="Y81" i="23"/>
  <c r="AI81" i="23" s="1"/>
  <c r="W96" i="23"/>
  <c r="O76" i="23"/>
  <c r="T76" i="23" s="1"/>
  <c r="S76" i="23" s="1"/>
  <c r="H80" i="23"/>
  <c r="I79" i="23"/>
  <c r="AP72" i="23"/>
  <c r="AO72" i="23"/>
  <c r="L78" i="23"/>
  <c r="Z78" i="23"/>
  <c r="AJ78" i="23" s="1"/>
  <c r="U75" i="23"/>
  <c r="C75" i="23"/>
  <c r="M77" i="23"/>
  <c r="N77" i="23"/>
  <c r="K77" i="23"/>
  <c r="AG73" i="23"/>
  <c r="R73" i="23"/>
  <c r="Q73" i="23"/>
  <c r="B74" i="23"/>
  <c r="A74" i="23" s="1"/>
  <c r="P74" i="23"/>
  <c r="D87" i="23"/>
  <c r="AH83" i="23"/>
  <c r="AL83" i="23"/>
  <c r="AK83" i="23"/>
  <c r="X83" i="23" l="1"/>
  <c r="Y82" i="23"/>
  <c r="AN81" i="23"/>
  <c r="H81" i="23"/>
  <c r="I80" i="23"/>
  <c r="O77" i="23"/>
  <c r="T77" i="23" s="1"/>
  <c r="S77" i="23" s="1"/>
  <c r="L79" i="23"/>
  <c r="Z79" i="23"/>
  <c r="AJ79" i="23" s="1"/>
  <c r="C76" i="23"/>
  <c r="U76" i="23"/>
  <c r="W97" i="23"/>
  <c r="AG74" i="23"/>
  <c r="R74" i="23"/>
  <c r="Q74" i="23"/>
  <c r="AP73" i="23"/>
  <c r="AO73" i="23"/>
  <c r="B75" i="23"/>
  <c r="A75" i="23" s="1"/>
  <c r="P75" i="23"/>
  <c r="M78" i="23"/>
  <c r="K78" i="23"/>
  <c r="N78" i="23"/>
  <c r="D88" i="23"/>
  <c r="AM83" i="23"/>
  <c r="AK84" i="23"/>
  <c r="AL84" i="23"/>
  <c r="AH84" i="23"/>
  <c r="AM84" i="23" l="1"/>
  <c r="AN82" i="23"/>
  <c r="AI82" i="23"/>
  <c r="X84" i="23"/>
  <c r="Y83" i="23"/>
  <c r="AI83" i="23" s="1"/>
  <c r="W98" i="23"/>
  <c r="AP74" i="23"/>
  <c r="AO74" i="23"/>
  <c r="M79" i="23"/>
  <c r="K79" i="23"/>
  <c r="N79" i="23"/>
  <c r="Z80" i="23"/>
  <c r="AJ80" i="23" s="1"/>
  <c r="L80" i="23"/>
  <c r="O78" i="23"/>
  <c r="T78" i="23" s="1"/>
  <c r="S78" i="23" s="1"/>
  <c r="B76" i="23"/>
  <c r="A76" i="23" s="1"/>
  <c r="P76" i="23"/>
  <c r="C77" i="23"/>
  <c r="U77" i="23"/>
  <c r="AG75" i="23"/>
  <c r="R75" i="23"/>
  <c r="Q75" i="23"/>
  <c r="H82" i="23"/>
  <c r="I81" i="23"/>
  <c r="D89" i="23"/>
  <c r="AK85" i="23"/>
  <c r="AL85" i="23"/>
  <c r="AH85" i="23"/>
  <c r="AN83" i="23" l="1"/>
  <c r="X85" i="23"/>
  <c r="Y84" i="23"/>
  <c r="R76" i="23"/>
  <c r="AG76" i="23"/>
  <c r="Q76" i="23"/>
  <c r="L81" i="23"/>
  <c r="Z81" i="23"/>
  <c r="AJ81" i="23" s="1"/>
  <c r="AO75" i="23"/>
  <c r="AP75" i="23"/>
  <c r="M80" i="23"/>
  <c r="N80" i="23"/>
  <c r="K80" i="23"/>
  <c r="O79" i="23"/>
  <c r="T79" i="23" s="1"/>
  <c r="S79" i="23" s="1"/>
  <c r="H83" i="23"/>
  <c r="I82" i="23"/>
  <c r="U78" i="23"/>
  <c r="C78" i="23"/>
  <c r="W99" i="23"/>
  <c r="P77" i="23"/>
  <c r="B77" i="23"/>
  <c r="A77" i="23" s="1"/>
  <c r="D90" i="23"/>
  <c r="AM85" i="23"/>
  <c r="AL86" i="23"/>
  <c r="AK86" i="23"/>
  <c r="AM86" i="23" s="1"/>
  <c r="AH86" i="23"/>
  <c r="AI84" i="23" l="1"/>
  <c r="AN84" i="23"/>
  <c r="X86" i="23"/>
  <c r="Y85" i="23"/>
  <c r="AI85" i="23" s="1"/>
  <c r="P78" i="23"/>
  <c r="B78" i="23"/>
  <c r="A78" i="23" s="1"/>
  <c r="AG77" i="23"/>
  <c r="R77" i="23"/>
  <c r="Q77" i="23"/>
  <c r="AP76" i="23"/>
  <c r="AO76" i="23"/>
  <c r="L82" i="23"/>
  <c r="Z82" i="23"/>
  <c r="AJ82" i="23" s="1"/>
  <c r="C79" i="23"/>
  <c r="U79" i="23"/>
  <c r="O80" i="23"/>
  <c r="T80" i="23" s="1"/>
  <c r="S80" i="23" s="1"/>
  <c r="W100" i="23"/>
  <c r="H84" i="23"/>
  <c r="I83" i="23"/>
  <c r="M81" i="23"/>
  <c r="N81" i="23"/>
  <c r="K81" i="23"/>
  <c r="D91" i="23"/>
  <c r="AH87" i="23"/>
  <c r="AK87" i="23"/>
  <c r="AL87" i="23"/>
  <c r="AM87" i="23" l="1"/>
  <c r="X87" i="23"/>
  <c r="Y86" i="23"/>
  <c r="AN85" i="23"/>
  <c r="U80" i="23"/>
  <c r="C80" i="23"/>
  <c r="O81" i="23"/>
  <c r="T81" i="23" s="1"/>
  <c r="S81" i="23" s="1"/>
  <c r="AO77" i="23"/>
  <c r="AP77" i="23"/>
  <c r="L83" i="23"/>
  <c r="Z83" i="23"/>
  <c r="AJ83" i="23" s="1"/>
  <c r="W101" i="23"/>
  <c r="M82" i="23"/>
  <c r="N82" i="23"/>
  <c r="K82" i="23"/>
  <c r="H85" i="23"/>
  <c r="I84" i="23"/>
  <c r="B79" i="23"/>
  <c r="A79" i="23" s="1"/>
  <c r="P79" i="23"/>
  <c r="AG78" i="23"/>
  <c r="R78" i="23"/>
  <c r="Q78" i="23"/>
  <c r="D92" i="23"/>
  <c r="AK88" i="23"/>
  <c r="AH88" i="23"/>
  <c r="AL88" i="23"/>
  <c r="AM88" i="23" l="1"/>
  <c r="AI86" i="23"/>
  <c r="AN86" i="23"/>
  <c r="X88" i="23"/>
  <c r="Y87" i="23"/>
  <c r="O82" i="23"/>
  <c r="T82" i="23" s="1"/>
  <c r="S82" i="23" s="1"/>
  <c r="C81" i="23"/>
  <c r="U81" i="23"/>
  <c r="W102" i="23"/>
  <c r="M83" i="23"/>
  <c r="N83" i="23"/>
  <c r="K83" i="23"/>
  <c r="AP78" i="23"/>
  <c r="AO78" i="23"/>
  <c r="Z84" i="23"/>
  <c r="AJ84" i="23" s="1"/>
  <c r="L84" i="23"/>
  <c r="B80" i="23"/>
  <c r="A80" i="23" s="1"/>
  <c r="P80" i="23"/>
  <c r="AG79" i="23"/>
  <c r="R79" i="23"/>
  <c r="Q79" i="23"/>
  <c r="H86" i="23"/>
  <c r="I85" i="23"/>
  <c r="D93" i="23"/>
  <c r="AK89" i="23"/>
  <c r="AL89" i="23"/>
  <c r="AH89" i="23"/>
  <c r="X89" i="23" l="1"/>
  <c r="Y88" i="23"/>
  <c r="AN87" i="23"/>
  <c r="AI87" i="23"/>
  <c r="O83" i="23"/>
  <c r="T83" i="23" s="1"/>
  <c r="S83" i="23" s="1"/>
  <c r="B81" i="23"/>
  <c r="A81" i="23" s="1"/>
  <c r="P81" i="23"/>
  <c r="W103" i="23"/>
  <c r="C82" i="23"/>
  <c r="U82" i="23"/>
  <c r="L85" i="23"/>
  <c r="Z85" i="23"/>
  <c r="AJ85" i="23" s="1"/>
  <c r="AO79" i="23"/>
  <c r="AP79" i="23"/>
  <c r="M84" i="23"/>
  <c r="K84" i="23"/>
  <c r="N84" i="23"/>
  <c r="H87" i="23"/>
  <c r="I86" i="23"/>
  <c r="R80" i="23"/>
  <c r="AG80" i="23"/>
  <c r="Q80" i="23"/>
  <c r="D94" i="23"/>
  <c r="AM89" i="23"/>
  <c r="AL90" i="23"/>
  <c r="AK90" i="23"/>
  <c r="AH90" i="23"/>
  <c r="AN88" i="23" l="1"/>
  <c r="AI88" i="23"/>
  <c r="X90" i="23"/>
  <c r="Y89" i="23"/>
  <c r="AI89" i="23" s="1"/>
  <c r="R81" i="23"/>
  <c r="AG81" i="23"/>
  <c r="Q81" i="23"/>
  <c r="AO80" i="23"/>
  <c r="AP80" i="23"/>
  <c r="O84" i="23"/>
  <c r="T84" i="23" s="1"/>
  <c r="S84" i="23" s="1"/>
  <c r="P82" i="23"/>
  <c r="B82" i="23"/>
  <c r="A82" i="23" s="1"/>
  <c r="H88" i="23"/>
  <c r="I87" i="23"/>
  <c r="M85" i="23"/>
  <c r="K85" i="23"/>
  <c r="N85" i="23"/>
  <c r="U83" i="23"/>
  <c r="C83" i="23"/>
  <c r="L86" i="23"/>
  <c r="Z86" i="23"/>
  <c r="AJ86" i="23" s="1"/>
  <c r="W104" i="23"/>
  <c r="D95" i="23"/>
  <c r="AM90" i="23"/>
  <c r="AH91" i="23"/>
  <c r="AK91" i="23"/>
  <c r="AL91" i="23"/>
  <c r="X91" i="23" l="1"/>
  <c r="Y90" i="23"/>
  <c r="AI90" i="23" s="1"/>
  <c r="AN90" i="23"/>
  <c r="AN89" i="23"/>
  <c r="P83" i="23"/>
  <c r="B83" i="23"/>
  <c r="A83" i="23" s="1"/>
  <c r="O85" i="23"/>
  <c r="T85" i="23" s="1"/>
  <c r="S85" i="23" s="1"/>
  <c r="I88" i="23"/>
  <c r="H89" i="23"/>
  <c r="U84" i="23"/>
  <c r="C84" i="23"/>
  <c r="L87" i="23"/>
  <c r="Z87" i="23"/>
  <c r="AJ87" i="23" s="1"/>
  <c r="AO81" i="23"/>
  <c r="AP81" i="23"/>
  <c r="M86" i="23"/>
  <c r="N86" i="23"/>
  <c r="K86" i="23"/>
  <c r="AG82" i="23"/>
  <c r="R82" i="23"/>
  <c r="Q82" i="23"/>
  <c r="D96" i="23"/>
  <c r="AK92" i="23"/>
  <c r="AH92" i="23"/>
  <c r="AL92" i="23"/>
  <c r="AM91" i="23"/>
  <c r="AM92" i="23" l="1"/>
  <c r="X92" i="23"/>
  <c r="Y91" i="23"/>
  <c r="AI91" i="23" s="1"/>
  <c r="M87" i="23"/>
  <c r="N87" i="23"/>
  <c r="K87" i="23"/>
  <c r="H90" i="23"/>
  <c r="I89" i="23"/>
  <c r="U85" i="23"/>
  <c r="C85" i="23"/>
  <c r="O86" i="23"/>
  <c r="T86" i="23" s="1"/>
  <c r="S86" i="23" s="1"/>
  <c r="B84" i="23"/>
  <c r="A84" i="23" s="1"/>
  <c r="P84" i="23"/>
  <c r="Z88" i="23"/>
  <c r="AJ88" i="23" s="1"/>
  <c r="L88" i="23"/>
  <c r="AP82" i="23"/>
  <c r="AO82" i="23"/>
  <c r="R83" i="23"/>
  <c r="AG83" i="23"/>
  <c r="Q83" i="23"/>
  <c r="D97" i="23"/>
  <c r="AL93" i="23"/>
  <c r="AH93" i="23"/>
  <c r="AK93" i="23"/>
  <c r="X93" i="23" l="1"/>
  <c r="Y92" i="23"/>
  <c r="AN91" i="23"/>
  <c r="AG84" i="23"/>
  <c r="R84" i="23"/>
  <c r="Q84" i="23"/>
  <c r="I90" i="23"/>
  <c r="H91" i="23"/>
  <c r="AP83" i="23"/>
  <c r="AO83" i="23"/>
  <c r="M88" i="23"/>
  <c r="N88" i="23"/>
  <c r="K88" i="23"/>
  <c r="C86" i="23"/>
  <c r="U86" i="23"/>
  <c r="P85" i="23"/>
  <c r="B85" i="23"/>
  <c r="A85" i="23" s="1"/>
  <c r="L89" i="23"/>
  <c r="Z89" i="23"/>
  <c r="AJ89" i="23" s="1"/>
  <c r="O87" i="23"/>
  <c r="T87" i="23" s="1"/>
  <c r="S87" i="23" s="1"/>
  <c r="D98" i="23"/>
  <c r="AL94" i="23"/>
  <c r="AH94" i="23"/>
  <c r="AK94" i="23"/>
  <c r="AM94" i="23" s="1"/>
  <c r="AM93" i="23"/>
  <c r="AN92" i="23" l="1"/>
  <c r="AI92" i="23"/>
  <c r="X94" i="23"/>
  <c r="Y93" i="23"/>
  <c r="AI93" i="23" s="1"/>
  <c r="AG85" i="23"/>
  <c r="R85" i="23"/>
  <c r="Q85" i="23"/>
  <c r="O88" i="23"/>
  <c r="T88" i="23" s="1"/>
  <c r="S88" i="23" s="1"/>
  <c r="H92" i="23"/>
  <c r="I91" i="23"/>
  <c r="C87" i="23"/>
  <c r="U87" i="23"/>
  <c r="M89" i="23"/>
  <c r="K89" i="23"/>
  <c r="N89" i="23"/>
  <c r="P86" i="23"/>
  <c r="B86" i="23"/>
  <c r="A86" i="23" s="1"/>
  <c r="L90" i="23"/>
  <c r="Z90" i="23"/>
  <c r="AJ90" i="23" s="1"/>
  <c r="AP84" i="23"/>
  <c r="AO84" i="23"/>
  <c r="D99" i="23"/>
  <c r="AH95" i="23"/>
  <c r="AL95" i="23"/>
  <c r="AK95" i="23"/>
  <c r="AM95" i="23" s="1"/>
  <c r="AN93" i="23" l="1"/>
  <c r="X95" i="23"/>
  <c r="Y94" i="23"/>
  <c r="R86" i="23"/>
  <c r="AG86" i="23"/>
  <c r="Q86" i="23"/>
  <c r="P87" i="23"/>
  <c r="B87" i="23"/>
  <c r="A87" i="23" s="1"/>
  <c r="H93" i="23"/>
  <c r="I92" i="23"/>
  <c r="M90" i="23"/>
  <c r="K90" i="23"/>
  <c r="N90" i="23"/>
  <c r="L91" i="23"/>
  <c r="Z91" i="23"/>
  <c r="AJ91" i="23" s="1"/>
  <c r="U88" i="23"/>
  <c r="C88" i="23"/>
  <c r="O89" i="23"/>
  <c r="T89" i="23" s="1"/>
  <c r="S89" i="23" s="1"/>
  <c r="AP85" i="23"/>
  <c r="AO85" i="23"/>
  <c r="D100" i="23"/>
  <c r="AK96" i="23"/>
  <c r="AH96" i="23"/>
  <c r="AL96" i="23"/>
  <c r="AI94" i="23" l="1"/>
  <c r="AN94" i="23"/>
  <c r="X96" i="23"/>
  <c r="Y95" i="23"/>
  <c r="C89" i="23"/>
  <c r="U89" i="23"/>
  <c r="O90" i="23"/>
  <c r="T90" i="23" s="1"/>
  <c r="S90" i="23" s="1"/>
  <c r="H94" i="23"/>
  <c r="I93" i="23"/>
  <c r="B88" i="23"/>
  <c r="A88" i="23" s="1"/>
  <c r="P88" i="23"/>
  <c r="M91" i="23"/>
  <c r="K91" i="23"/>
  <c r="N91" i="23"/>
  <c r="AP86" i="23"/>
  <c r="AO86" i="23"/>
  <c r="Z92" i="23"/>
  <c r="AJ92" i="23" s="1"/>
  <c r="L92" i="23"/>
  <c r="AG87" i="23"/>
  <c r="R87" i="23"/>
  <c r="Q87" i="23"/>
  <c r="D101" i="23"/>
  <c r="AK97" i="23"/>
  <c r="AH97" i="23"/>
  <c r="AL97" i="23"/>
  <c r="AM96" i="23"/>
  <c r="X97" i="23" l="1"/>
  <c r="Y96" i="23"/>
  <c r="AI96" i="23" s="1"/>
  <c r="AN96" i="23"/>
  <c r="AN95" i="23"/>
  <c r="AI95" i="23"/>
  <c r="AP87" i="23"/>
  <c r="AO87" i="23"/>
  <c r="C90" i="23"/>
  <c r="U90" i="23"/>
  <c r="O91" i="23"/>
  <c r="T91" i="23" s="1"/>
  <c r="S91" i="23" s="1"/>
  <c r="M92" i="23"/>
  <c r="K92" i="23"/>
  <c r="N92" i="23"/>
  <c r="R88" i="23"/>
  <c r="AG88" i="23"/>
  <c r="Q88" i="23"/>
  <c r="L93" i="23"/>
  <c r="Z93" i="23"/>
  <c r="AJ93" i="23" s="1"/>
  <c r="H95" i="23"/>
  <c r="I94" i="23"/>
  <c r="P89" i="23"/>
  <c r="B89" i="23"/>
  <c r="A89" i="23" s="1"/>
  <c r="D102" i="23"/>
  <c r="AM97" i="23"/>
  <c r="AL98" i="23"/>
  <c r="AK98" i="23"/>
  <c r="AH98" i="23"/>
  <c r="X98" i="23" l="1"/>
  <c r="Y97" i="23"/>
  <c r="AI97" i="23" s="1"/>
  <c r="AP88" i="23"/>
  <c r="AO88" i="23"/>
  <c r="O92" i="23"/>
  <c r="T92" i="23" s="1"/>
  <c r="S92" i="23" s="1"/>
  <c r="H96" i="23"/>
  <c r="I95" i="23"/>
  <c r="U91" i="23"/>
  <c r="C91" i="23"/>
  <c r="B90" i="23"/>
  <c r="A90" i="23" s="1"/>
  <c r="P90" i="23"/>
  <c r="R89" i="23"/>
  <c r="AG89" i="23"/>
  <c r="Q89" i="23"/>
  <c r="M93" i="23"/>
  <c r="K93" i="23"/>
  <c r="N93" i="23"/>
  <c r="L94" i="23"/>
  <c r="Z94" i="23"/>
  <c r="AJ94" i="23" s="1"/>
  <c r="D103" i="23"/>
  <c r="AH99" i="23"/>
  <c r="AL99" i="23"/>
  <c r="AK99" i="23"/>
  <c r="AM98" i="23"/>
  <c r="X99" i="23" l="1"/>
  <c r="Y98" i="23"/>
  <c r="AI98" i="23" s="1"/>
  <c r="AN98" i="23"/>
  <c r="AN97" i="23"/>
  <c r="AP89" i="23"/>
  <c r="AO89" i="23"/>
  <c r="H97" i="23"/>
  <c r="I96" i="23"/>
  <c r="C92" i="23"/>
  <c r="U92" i="23"/>
  <c r="P91" i="23"/>
  <c r="B91" i="23"/>
  <c r="A91" i="23" s="1"/>
  <c r="O93" i="23"/>
  <c r="T93" i="23" s="1"/>
  <c r="S93" i="23" s="1"/>
  <c r="M94" i="23"/>
  <c r="N94" i="23"/>
  <c r="K94" i="23"/>
  <c r="AG90" i="23"/>
  <c r="R90" i="23"/>
  <c r="Q90" i="23"/>
  <c r="L95" i="23"/>
  <c r="Z95" i="23"/>
  <c r="AJ95" i="23" s="1"/>
  <c r="D104" i="23"/>
  <c r="AK100" i="23"/>
  <c r="AL100" i="23"/>
  <c r="AH100" i="23"/>
  <c r="AM99" i="23"/>
  <c r="X100" i="23" l="1"/>
  <c r="Y99" i="23"/>
  <c r="AI99" i="23" s="1"/>
  <c r="C93" i="23"/>
  <c r="U93" i="23"/>
  <c r="O94" i="23"/>
  <c r="T94" i="23" s="1"/>
  <c r="S94" i="23" s="1"/>
  <c r="B92" i="23"/>
  <c r="A92" i="23" s="1"/>
  <c r="P92" i="23"/>
  <c r="H98" i="23"/>
  <c r="I97" i="23"/>
  <c r="AP90" i="23"/>
  <c r="AO90" i="23"/>
  <c r="M95" i="23"/>
  <c r="N95" i="23"/>
  <c r="K95" i="23"/>
  <c r="AG91" i="23"/>
  <c r="R91" i="23"/>
  <c r="Q91" i="23"/>
  <c r="Z96" i="23"/>
  <c r="AJ96" i="23" s="1"/>
  <c r="L96" i="23"/>
  <c r="AK101" i="23"/>
  <c r="AH101" i="23"/>
  <c r="AL101" i="23"/>
  <c r="AM100" i="23"/>
  <c r="AM101" i="23" l="1"/>
  <c r="X101" i="23"/>
  <c r="Y100" i="23"/>
  <c r="AI100" i="23" s="1"/>
  <c r="AN100" i="23"/>
  <c r="AN99" i="23"/>
  <c r="C94" i="23"/>
  <c r="U94" i="23"/>
  <c r="O95" i="23"/>
  <c r="T95" i="23" s="1"/>
  <c r="S95" i="23" s="1"/>
  <c r="I98" i="23"/>
  <c r="H99" i="23"/>
  <c r="M96" i="23"/>
  <c r="K96" i="23"/>
  <c r="N96" i="23"/>
  <c r="AP91" i="23"/>
  <c r="AO91" i="23"/>
  <c r="AG92" i="23"/>
  <c r="R92" i="23"/>
  <c r="Q92" i="23"/>
  <c r="L97" i="23"/>
  <c r="Z97" i="23"/>
  <c r="AJ97" i="23" s="1"/>
  <c r="P93" i="23"/>
  <c r="B93" i="23"/>
  <c r="A93" i="23" s="1"/>
  <c r="AL102" i="23"/>
  <c r="AK102" i="23"/>
  <c r="AM102" i="23" s="1"/>
  <c r="AH102" i="23"/>
  <c r="X102" i="23" l="1"/>
  <c r="Y101" i="23"/>
  <c r="C95" i="23"/>
  <c r="U95" i="23"/>
  <c r="M97" i="23"/>
  <c r="K97" i="23"/>
  <c r="N97" i="23"/>
  <c r="AP92" i="23"/>
  <c r="AO92" i="23"/>
  <c r="L98" i="23"/>
  <c r="Z98" i="23"/>
  <c r="AJ98" i="23" s="1"/>
  <c r="R93" i="23"/>
  <c r="AG93" i="23"/>
  <c r="Q93" i="23"/>
  <c r="O96" i="23"/>
  <c r="T96" i="23" s="1"/>
  <c r="S96" i="23" s="1"/>
  <c r="H100" i="23"/>
  <c r="I99" i="23"/>
  <c r="P94" i="23"/>
  <c r="B94" i="23"/>
  <c r="A94" i="23" s="1"/>
  <c r="AH103" i="23"/>
  <c r="AL103" i="23"/>
  <c r="AK103" i="23"/>
  <c r="AM103" i="23" s="1"/>
  <c r="AN101" i="23" l="1"/>
  <c r="AI101" i="23"/>
  <c r="X103" i="23"/>
  <c r="Y102" i="23"/>
  <c r="U96" i="23"/>
  <c r="C96" i="23"/>
  <c r="M98" i="23"/>
  <c r="N98" i="23"/>
  <c r="K98" i="23"/>
  <c r="O97" i="23"/>
  <c r="T97" i="23" s="1"/>
  <c r="S97" i="23" s="1"/>
  <c r="L99" i="23"/>
  <c r="Z99" i="23"/>
  <c r="AJ99" i="23" s="1"/>
  <c r="R94" i="23"/>
  <c r="AG94" i="23"/>
  <c r="Q94" i="23"/>
  <c r="I100" i="23"/>
  <c r="H101" i="23"/>
  <c r="AO93" i="23"/>
  <c r="AP93" i="23"/>
  <c r="B95" i="23"/>
  <c r="A95" i="23" s="1"/>
  <c r="P95" i="23"/>
  <c r="AL104" i="23"/>
  <c r="AH104" i="23"/>
  <c r="AK104" i="23"/>
  <c r="AM104" i="23" s="1"/>
  <c r="AN102" i="23" l="1"/>
  <c r="AI102" i="23"/>
  <c r="X104" i="23"/>
  <c r="Y104" i="23" s="1"/>
  <c r="AN104" i="23" s="1"/>
  <c r="Y103" i="23"/>
  <c r="Z100" i="23"/>
  <c r="AJ100" i="23" s="1"/>
  <c r="L100" i="23"/>
  <c r="C97" i="23"/>
  <c r="U97" i="23"/>
  <c r="O98" i="23"/>
  <c r="T98" i="23" s="1"/>
  <c r="S98" i="23" s="1"/>
  <c r="R95" i="23"/>
  <c r="AG95" i="23"/>
  <c r="Q95" i="23"/>
  <c r="P96" i="23"/>
  <c r="B96" i="23"/>
  <c r="A96" i="23" s="1"/>
  <c r="AP94" i="23"/>
  <c r="AO94" i="23"/>
  <c r="M99" i="23"/>
  <c r="N99" i="23"/>
  <c r="K99" i="23"/>
  <c r="H102" i="23"/>
  <c r="I101" i="23"/>
  <c r="AI104" i="23" l="1"/>
  <c r="AN103" i="23"/>
  <c r="AI103" i="23"/>
  <c r="I102" i="23"/>
  <c r="H103" i="23"/>
  <c r="R96" i="23"/>
  <c r="AG96" i="23"/>
  <c r="Q96" i="23"/>
  <c r="U98" i="23"/>
  <c r="C98" i="23"/>
  <c r="M100" i="23"/>
  <c r="K100" i="23"/>
  <c r="N100" i="23"/>
  <c r="Z101" i="23"/>
  <c r="AJ101" i="23" s="1"/>
  <c r="L101" i="23"/>
  <c r="AP95" i="23"/>
  <c r="AO95" i="23"/>
  <c r="O99" i="23"/>
  <c r="T99" i="23" s="1"/>
  <c r="S99" i="23" s="1"/>
  <c r="P97" i="23"/>
  <c r="B97" i="23"/>
  <c r="A97" i="23" s="1"/>
  <c r="U99" i="23" l="1"/>
  <c r="C99" i="23"/>
  <c r="I103" i="23"/>
  <c r="H104" i="23"/>
  <c r="M101" i="23"/>
  <c r="N101" i="23"/>
  <c r="K101" i="23"/>
  <c r="O100" i="23"/>
  <c r="T100" i="23" s="1"/>
  <c r="S100" i="23" s="1"/>
  <c r="AO96" i="23"/>
  <c r="AP96" i="23"/>
  <c r="P98" i="23"/>
  <c r="B98" i="23"/>
  <c r="A98" i="23" s="1"/>
  <c r="Z102" i="23"/>
  <c r="AJ102" i="23" s="1"/>
  <c r="L102" i="23"/>
  <c r="R97" i="23"/>
  <c r="AG97" i="23"/>
  <c r="Q97" i="23"/>
  <c r="AP97" i="23" l="1"/>
  <c r="AO97" i="23"/>
  <c r="U100" i="23"/>
  <c r="C100" i="23"/>
  <c r="O101" i="23"/>
  <c r="T101" i="23" s="1"/>
  <c r="S101" i="23" s="1"/>
  <c r="L103" i="23"/>
  <c r="Z103" i="23"/>
  <c r="AJ103" i="23" s="1"/>
  <c r="AG98" i="23"/>
  <c r="R98" i="23"/>
  <c r="Q98" i="23"/>
  <c r="I104" i="23"/>
  <c r="P99" i="23"/>
  <c r="B99" i="23"/>
  <c r="A99" i="23" s="1"/>
  <c r="M102" i="23"/>
  <c r="N102" i="23"/>
  <c r="K102" i="23"/>
  <c r="AG99" i="23" l="1"/>
  <c r="R99" i="23"/>
  <c r="Q99" i="23"/>
  <c r="B100" i="23"/>
  <c r="A100" i="23" s="1"/>
  <c r="P100" i="23"/>
  <c r="L104" i="23"/>
  <c r="Z104" i="23"/>
  <c r="AJ104" i="23" s="1"/>
  <c r="M103" i="23"/>
  <c r="N103" i="23"/>
  <c r="K103" i="23"/>
  <c r="O102" i="23"/>
  <c r="T102" i="23" s="1"/>
  <c r="S102" i="23" s="1"/>
  <c r="AO98" i="23"/>
  <c r="AP98" i="23"/>
  <c r="U101" i="23"/>
  <c r="C101" i="23"/>
  <c r="U102" i="23" l="1"/>
  <c r="C102" i="23"/>
  <c r="M104" i="23"/>
  <c r="K104" i="23"/>
  <c r="N104" i="23"/>
  <c r="P101" i="23"/>
  <c r="B101" i="23"/>
  <c r="A101" i="23" s="1"/>
  <c r="O103" i="23"/>
  <c r="T103" i="23" s="1"/>
  <c r="S103" i="23" s="1"/>
  <c r="AG100" i="23"/>
  <c r="R100" i="23"/>
  <c r="Q100" i="23"/>
  <c r="AO99" i="23"/>
  <c r="AP99" i="23"/>
  <c r="C103" i="23" l="1"/>
  <c r="U103" i="23"/>
  <c r="O104" i="23"/>
  <c r="T104" i="23" s="1"/>
  <c r="S104" i="23" s="1"/>
  <c r="AP100" i="23"/>
  <c r="AO100" i="23"/>
  <c r="AG101" i="23"/>
  <c r="R101" i="23"/>
  <c r="Q101" i="23"/>
  <c r="B102" i="23"/>
  <c r="A102" i="23" s="1"/>
  <c r="P102" i="23"/>
  <c r="C104" i="23" l="1"/>
  <c r="U104" i="23"/>
  <c r="R102" i="23"/>
  <c r="AG102" i="23"/>
  <c r="Q102" i="23"/>
  <c r="AP101" i="23"/>
  <c r="AO101" i="23"/>
  <c r="B103" i="23"/>
  <c r="A103" i="23" s="1"/>
  <c r="P103" i="23"/>
  <c r="AP102" i="23" l="1"/>
  <c r="AO102" i="23"/>
  <c r="R103" i="23"/>
  <c r="AG103" i="23"/>
  <c r="Q103" i="23"/>
  <c r="P104" i="23"/>
  <c r="B104" i="23"/>
  <c r="A104" i="23" s="1"/>
  <c r="AP103" i="23" l="1"/>
  <c r="AO103" i="23"/>
  <c r="AG104" i="23"/>
  <c r="R104" i="23"/>
  <c r="Q104" i="23"/>
  <c r="AP104" i="23" l="1"/>
  <c r="AO104" i="23"/>
  <c r="K10" i="37"/>
  <c r="AL67" i="37"/>
  <c r="AL66" i="37"/>
  <c r="AL65" i="37"/>
  <c r="AL64" i="37"/>
  <c r="AL63" i="37"/>
  <c r="AL62" i="37"/>
  <c r="AL61" i="37"/>
  <c r="AL60" i="37"/>
  <c r="AL59" i="37"/>
  <c r="AL58" i="37"/>
  <c r="AL57" i="37"/>
  <c r="AL56" i="37"/>
  <c r="AL55" i="37"/>
  <c r="AL54" i="37"/>
  <c r="AL53" i="37"/>
  <c r="AL52" i="37"/>
  <c r="AL51" i="37"/>
  <c r="AL50" i="37"/>
  <c r="AL49" i="37"/>
  <c r="AL48" i="37"/>
  <c r="AL47" i="37"/>
  <c r="AL46" i="37"/>
  <c r="AL45" i="37"/>
  <c r="AL44" i="37"/>
  <c r="AL43" i="37"/>
  <c r="AL42" i="37"/>
  <c r="AL41" i="37"/>
  <c r="AL40" i="37"/>
  <c r="AL39" i="37"/>
  <c r="AL38" i="37"/>
  <c r="AL37" i="37"/>
  <c r="AL36" i="37"/>
  <c r="AL35" i="37"/>
  <c r="AL34" i="37"/>
  <c r="AL33" i="37"/>
  <c r="AL32" i="37"/>
  <c r="AL31" i="37"/>
  <c r="AL30" i="37"/>
  <c r="AL29" i="37"/>
  <c r="AL28" i="3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Azocar</author>
  </authors>
  <commentList>
    <comment ref="K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Victor Azocar:</t>
        </r>
        <r>
          <rPr>
            <sz val="9"/>
            <color indexed="81"/>
            <rFont val="Tahoma"/>
            <family val="2"/>
          </rPr>
          <t xml:space="preserve">
Recomendado 4m</t>
        </r>
      </text>
    </comment>
    <comment ref="D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Victor Azocar:</t>
        </r>
        <r>
          <rPr>
            <sz val="9"/>
            <color indexed="81"/>
            <rFont val="Tahoma"/>
            <family val="2"/>
          </rPr>
          <t xml:space="preserve">
Ecuacion de Dominguez Irarrazabal</t>
        </r>
      </text>
    </comment>
    <comment ref="D4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Victor Azocar:</t>
        </r>
        <r>
          <rPr>
            <sz val="9"/>
            <color indexed="81"/>
            <rFont val="Tahoma"/>
            <family val="2"/>
          </rPr>
          <t xml:space="preserve">
Conexión agua espesador</t>
        </r>
      </text>
    </comment>
  </commentList>
</comments>
</file>

<file path=xl/sharedStrings.xml><?xml version="1.0" encoding="utf-8"?>
<sst xmlns="http://schemas.openxmlformats.org/spreadsheetml/2006/main" count="520" uniqueCount="260">
  <si>
    <t>Datos de Entrada</t>
  </si>
  <si>
    <t>Resumen Resultados</t>
  </si>
  <si>
    <t>Bombas</t>
  </si>
  <si>
    <t>Caudal de diseño:</t>
  </si>
  <si>
    <t>[L/s]</t>
  </si>
  <si>
    <t>EL. Entrada</t>
  </si>
  <si>
    <t>[msnm]</t>
  </si>
  <si>
    <t>Cantidad de Bombas</t>
  </si>
  <si>
    <t>c/u</t>
  </si>
  <si>
    <t>[m³/hra]</t>
  </si>
  <si>
    <t>EL. Max.</t>
  </si>
  <si>
    <t>Configuración</t>
  </si>
  <si>
    <t>Paralelo</t>
  </si>
  <si>
    <t>Altura Instalación</t>
  </si>
  <si>
    <t>Δh</t>
  </si>
  <si>
    <t>[mcf]</t>
  </si>
  <si>
    <t>Q total</t>
  </si>
  <si>
    <t>Presión alimentación:</t>
  </si>
  <si>
    <t>[psi]</t>
  </si>
  <si>
    <t>λL Total</t>
  </si>
  <si>
    <t>Q/bomba</t>
  </si>
  <si>
    <t>Presión descarga:</t>
  </si>
  <si>
    <t>Anillo</t>
  </si>
  <si>
    <t>TDH máximo</t>
  </si>
  <si>
    <t>Densidad</t>
  </si>
  <si>
    <t>Temperatura</t>
  </si>
  <si>
    <t>°C</t>
  </si>
  <si>
    <t>TDH (Δh+λL)</t>
  </si>
  <si>
    <t>W rpm</t>
  </si>
  <si>
    <t>[rpm]</t>
  </si>
  <si>
    <t>[T/m³]</t>
  </si>
  <si>
    <t>TDH perfil</t>
  </si>
  <si>
    <r>
      <t>µ</t>
    </r>
    <r>
      <rPr>
        <vertAlign val="subscript"/>
        <sz val="8"/>
        <color theme="1"/>
        <rFont val="Arial"/>
        <family val="2"/>
      </rPr>
      <t>T</t>
    </r>
  </si>
  <si>
    <t>[%]</t>
  </si>
  <si>
    <t>Viscocidad Dinamica Agua</t>
  </si>
  <si>
    <t>n:</t>
  </si>
  <si>
    <t>Pa*s</t>
  </si>
  <si>
    <r>
      <t>µ</t>
    </r>
    <r>
      <rPr>
        <b/>
        <vertAlign val="subscript"/>
        <sz val="8"/>
        <color theme="1"/>
        <rFont val="Arial"/>
        <family val="2"/>
      </rPr>
      <t>B</t>
    </r>
    <r>
      <rPr>
        <b/>
        <sz val="8"/>
        <color theme="1"/>
        <rFont val="Arial"/>
        <family val="2"/>
      </rPr>
      <t xml:space="preserve"> </t>
    </r>
  </si>
  <si>
    <t>SY</t>
  </si>
  <si>
    <t>kpa</t>
  </si>
  <si>
    <t>Viscocidad Cinematica Agua</t>
  </si>
  <si>
    <t>m2/s</t>
  </si>
  <si>
    <t>λs</t>
  </si>
  <si>
    <t>P [Hp]</t>
  </si>
  <si>
    <t>[HP]</t>
  </si>
  <si>
    <t>Fs normal</t>
  </si>
  <si>
    <t>Viscocidad Dinamica Pulpa</t>
  </si>
  <si>
    <t>[kw]</t>
  </si>
  <si>
    <t>Fs Transiente</t>
  </si>
  <si>
    <t>Viscocidad Cinematica Pulpa</t>
  </si>
  <si>
    <t>[mca]</t>
  </si>
  <si>
    <t>Diámetro Rodete</t>
  </si>
  <si>
    <t>[mm]</t>
  </si>
  <si>
    <t>Acero</t>
  </si>
  <si>
    <t>Modulo K</t>
  </si>
  <si>
    <t>[Gpa]</t>
  </si>
  <si>
    <t>[PSI]</t>
  </si>
  <si>
    <t>Velocidad Periférica</t>
  </si>
  <si>
    <t>[m/s]</t>
  </si>
  <si>
    <t>Anillo 1</t>
  </si>
  <si>
    <t>Anillo 2</t>
  </si>
  <si>
    <t>Capacidad de Diseño :</t>
  </si>
  <si>
    <t>[TMSPH]</t>
  </si>
  <si>
    <t xml:space="preserve">HDPE (Tubería nueva)  0,009 </t>
  </si>
  <si>
    <t>De (mm)</t>
  </si>
  <si>
    <t>Conc. Sólidos en Peso :</t>
  </si>
  <si>
    <t xml:space="preserve">HDPE (Tubería usada)  0,025 </t>
  </si>
  <si>
    <t>A (m2)</t>
  </si>
  <si>
    <t>Cv</t>
  </si>
  <si>
    <t xml:space="preserve">GOMA  0,09 </t>
  </si>
  <si>
    <t>Caudal Nominal :</t>
  </si>
  <si>
    <t xml:space="preserve">ACERO (Tubería nueva)  0,20 </t>
  </si>
  <si>
    <t>Densidad de Sólido :</t>
  </si>
  <si>
    <t xml:space="preserve">ACERO (Tubería vieja, poco oxidada)  0,50 </t>
  </si>
  <si>
    <t>B</t>
  </si>
  <si>
    <t>Densidad Fluido :</t>
  </si>
  <si>
    <t xml:space="preserve">ACERO (Tubería vieja, con incrustaciones)  1,00 </t>
  </si>
  <si>
    <t>Cc</t>
  </si>
  <si>
    <t>Densidad de Pulpa :</t>
  </si>
  <si>
    <t>K</t>
  </si>
  <si>
    <t>H1</t>
  </si>
  <si>
    <t>Presion Resistente</t>
  </si>
  <si>
    <t>Golpe de Ariete</t>
  </si>
  <si>
    <t>Pendiente</t>
  </si>
  <si>
    <t>Distiancia</t>
  </si>
  <si>
    <t>Elevación</t>
  </si>
  <si>
    <t>Longitud Tubería</t>
  </si>
  <si>
    <t>Q por linea</t>
  </si>
  <si>
    <t>Material</t>
  </si>
  <si>
    <t>DN</t>
  </si>
  <si>
    <t>De</t>
  </si>
  <si>
    <t>e cañeria</t>
  </si>
  <si>
    <t>e revestimiento goma o hdpe</t>
  </si>
  <si>
    <t>Di</t>
  </si>
  <si>
    <t>A</t>
  </si>
  <si>
    <t>V</t>
  </si>
  <si>
    <t>Re</t>
  </si>
  <si>
    <t>Rugosidad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</si>
  <si>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</si>
  <si>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</si>
  <si>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</si>
  <si>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</si>
  <si>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</si>
  <si>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</si>
  <si>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</si>
  <si>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</si>
  <si>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</si>
  <si>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</si>
  <si>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</si>
  <si>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</si>
  <si>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</si>
  <si>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</si>
  <si>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</t>
  </si>
  <si>
    <t>J</t>
  </si>
  <si>
    <t>L parcial</t>
  </si>
  <si>
    <t>λL</t>
  </si>
  <si>
    <t>Gradiente</t>
  </si>
  <si>
    <t>Altura</t>
  </si>
  <si>
    <t>Clase</t>
  </si>
  <si>
    <t>Grafico</t>
  </si>
  <si>
    <t>G.A.</t>
  </si>
  <si>
    <t>Δv</t>
  </si>
  <si>
    <t>c</t>
  </si>
  <si>
    <t>Ep</t>
  </si>
  <si>
    <t>Dm</t>
  </si>
  <si>
    <t>e</t>
  </si>
  <si>
    <t>Presion Eventual</t>
  </si>
  <si>
    <t>[m]</t>
  </si>
  <si>
    <t>[m3/h]</t>
  </si>
  <si>
    <t>m2</t>
  </si>
  <si>
    <t>m/s</t>
  </si>
  <si>
    <t>-</t>
  </si>
  <si>
    <t>mm</t>
  </si>
  <si>
    <t>%</t>
  </si>
  <si>
    <t>m</t>
  </si>
  <si>
    <t>mcp</t>
  </si>
  <si>
    <t>bar</t>
  </si>
  <si>
    <t>mca</t>
  </si>
  <si>
    <t>kgf/cm2</t>
  </si>
  <si>
    <t>kg/m2</t>
  </si>
  <si>
    <t>HDPE</t>
  </si>
  <si>
    <t>Distancia</t>
  </si>
  <si>
    <t>Elevacion</t>
  </si>
  <si>
    <t>Tramo 1</t>
  </si>
  <si>
    <t>Tramo 2</t>
  </si>
  <si>
    <t>Presión Atmosférica</t>
  </si>
  <si>
    <t>Altitud (m)</t>
  </si>
  <si>
    <t>(kPa)</t>
  </si>
  <si>
    <t>(psi)</t>
  </si>
  <si>
    <t>(mm Hg)</t>
  </si>
  <si>
    <t>(mca)</t>
  </si>
  <si>
    <t>Patm (mca)</t>
  </si>
  <si>
    <t>Patm (kPa)</t>
  </si>
  <si>
    <t>Propiedades del Agua</t>
  </si>
  <si>
    <t>Ajuste Densidad</t>
  </si>
  <si>
    <t>tº</t>
  </si>
  <si>
    <t>ºC</t>
  </si>
  <si>
    <t>R2</t>
  </si>
  <si>
    <t>r</t>
  </si>
  <si>
    <t>kg/m3</t>
  </si>
  <si>
    <t>Pa·s</t>
  </si>
  <si>
    <t>n</t>
  </si>
  <si>
    <t>Ajuste Pv</t>
  </si>
  <si>
    <t>Pv</t>
  </si>
  <si>
    <t>kPa</t>
  </si>
  <si>
    <t>SG</t>
  </si>
  <si>
    <t>GPa</t>
  </si>
  <si>
    <t>Ajuste K</t>
  </si>
  <si>
    <t>T</t>
  </si>
  <si>
    <t>Peso Esp.</t>
  </si>
  <si>
    <t>Hv</t>
  </si>
  <si>
    <t>Pa s</t>
  </si>
  <si>
    <t>cP</t>
  </si>
  <si>
    <t>N/m3</t>
  </si>
  <si>
    <r>
      <t>1.1.1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rial"/>
        <family val="2"/>
      </rPr>
      <t>Desgaste en tuber</t>
    </r>
    <r>
      <rPr>
        <b/>
        <sz val="11"/>
        <color theme="1"/>
        <rFont val="Times New Roman"/>
        <family val="1"/>
      </rPr>
      <t>í</t>
    </r>
    <r>
      <rPr>
        <b/>
        <sz val="11"/>
        <color theme="1"/>
        <rFont val="Arial"/>
        <family val="2"/>
      </rPr>
      <t>as que transportan relave</t>
    </r>
  </si>
  <si>
    <t>Para fines de diseño se trabajará con tasas de desgaste para tuberías de acuerdo a las velocidades que se indican, obtenidas de estudios experimentales con relaves y mediciones industriales (Ref. 10).</t>
  </si>
  <si>
    <r>
      <t>Tabla Nº1.1</t>
    </r>
    <r>
      <rPr>
        <sz val="11"/>
        <color theme="1"/>
        <rFont val="Arial"/>
        <family val="2"/>
      </rPr>
      <t>Tasas de Desgaste para Tuberías que transportan relaves</t>
    </r>
  </si>
  <si>
    <t>Velocidad</t>
  </si>
  <si>
    <t>Tasa de Desgaste (mm/año)</t>
  </si>
  <si>
    <t>(m/s)</t>
  </si>
  <si>
    <t>Goma</t>
  </si>
  <si>
    <t>Poliuretano</t>
  </si>
  <si>
    <t>Los valores son obtenidos en base a un  mineral de cobre 52%+200# y 12%+65#, con pH 10.</t>
  </si>
  <si>
    <t>Ref. 3. Taller de movimiento de pulpas JRC-203 Dic-1985, Pg. 50.</t>
  </si>
  <si>
    <t>.</t>
  </si>
  <si>
    <t>TUBERIA HDPE PN6 PE100</t>
  </si>
  <si>
    <t>Escurrimiento Normal</t>
  </si>
  <si>
    <t>Comprobación</t>
  </si>
  <si>
    <t>Diámetro</t>
  </si>
  <si>
    <t>Espesor</t>
  </si>
  <si>
    <t>Diametro Int.</t>
  </si>
  <si>
    <t>Densidad Sólidos</t>
  </si>
  <si>
    <t>Densidad Líquido</t>
  </si>
  <si>
    <t>Densidad de la Pulpa</t>
  </si>
  <si>
    <t>Concentración de Sólidos en Peso</t>
  </si>
  <si>
    <t>Concentración de Sólidos en Volumen</t>
  </si>
  <si>
    <t>Tamaño Característico</t>
  </si>
  <si>
    <t>Velocidad Límite de Durand (modificada por JRI)</t>
  </si>
  <si>
    <t>Velocidad Límite de Mc Elvain</t>
  </si>
  <si>
    <r>
      <t>Relación V/V</t>
    </r>
    <r>
      <rPr>
        <b/>
        <vertAlign val="subscript"/>
        <sz val="10"/>
        <color theme="1"/>
        <rFont val="Times New Roman"/>
        <family val="1"/>
      </rPr>
      <t>L</t>
    </r>
  </si>
  <si>
    <t>Caudal de Diseño</t>
  </si>
  <si>
    <t xml:space="preserve">Pendiente </t>
  </si>
  <si>
    <t>Coeficiente rugosidad</t>
  </si>
  <si>
    <t>Diámetro Externo</t>
  </si>
  <si>
    <t>Espesor pared</t>
  </si>
  <si>
    <t>Diámetro Interno</t>
  </si>
  <si>
    <t>Altura de Escurrimiento</t>
  </si>
  <si>
    <t>h/d</t>
  </si>
  <si>
    <t>Ancho Superficial Escurrimiento</t>
  </si>
  <si>
    <t>Angulo</t>
  </si>
  <si>
    <t>Area Escurrimiento</t>
  </si>
  <si>
    <t>Perímetro Mojado</t>
  </si>
  <si>
    <t>Radio Hidráulico</t>
  </si>
  <si>
    <t>Velocidad de Escurrimiento</t>
  </si>
  <si>
    <t>Bernoulli</t>
  </si>
  <si>
    <t>Nº de Froude</t>
  </si>
  <si>
    <t>Q</t>
  </si>
  <si>
    <r>
      <rPr>
        <b/>
        <u/>
        <sz val="10"/>
        <rFont val="Arial"/>
        <family val="2"/>
      </rPr>
      <t>i</t>
    </r>
    <r>
      <rPr>
        <b/>
        <u/>
        <vertAlign val="superscript"/>
        <sz val="10"/>
        <rFont val="Arial"/>
        <family val="2"/>
      </rPr>
      <t>0,5</t>
    </r>
    <r>
      <rPr>
        <b/>
        <sz val="10"/>
        <rFont val="Arial"/>
        <family val="2"/>
      </rPr>
      <t>*A*R</t>
    </r>
    <r>
      <rPr>
        <b/>
        <vertAlign val="superscript"/>
        <sz val="10"/>
        <rFont val="Arial"/>
        <family val="2"/>
      </rPr>
      <t>2/3</t>
    </r>
    <r>
      <rPr>
        <b/>
        <sz val="10"/>
        <rFont val="Arial"/>
        <family val="2"/>
      </rPr>
      <t xml:space="preserve">
n</t>
    </r>
  </si>
  <si>
    <t>Celda=0</t>
  </si>
  <si>
    <t>D</t>
  </si>
  <si>
    <r>
      <t>r</t>
    </r>
    <r>
      <rPr>
        <vertAlign val="subscript"/>
        <sz val="10"/>
        <rFont val="Times New Roman"/>
        <family val="1"/>
      </rPr>
      <t>S</t>
    </r>
  </si>
  <si>
    <r>
      <t>r</t>
    </r>
    <r>
      <rPr>
        <vertAlign val="subscript"/>
        <sz val="10"/>
        <rFont val="Times New Roman"/>
        <family val="1"/>
      </rPr>
      <t>L</t>
    </r>
  </si>
  <si>
    <r>
      <t>r</t>
    </r>
    <r>
      <rPr>
        <vertAlign val="subscript"/>
        <sz val="10"/>
        <rFont val="Times New Roman"/>
        <family val="1"/>
      </rPr>
      <t>P</t>
    </r>
  </si>
  <si>
    <r>
      <t>C</t>
    </r>
    <r>
      <rPr>
        <vertAlign val="subscript"/>
        <sz val="10"/>
        <rFont val="Times New Roman"/>
        <family val="1"/>
      </rPr>
      <t>W</t>
    </r>
  </si>
  <si>
    <r>
      <t>C</t>
    </r>
    <r>
      <rPr>
        <vertAlign val="subscript"/>
        <sz val="10"/>
        <rFont val="Times New Roman"/>
        <family val="1"/>
      </rPr>
      <t>V</t>
    </r>
  </si>
  <si>
    <r>
      <t>d</t>
    </r>
    <r>
      <rPr>
        <vertAlign val="subscript"/>
        <sz val="10"/>
        <rFont val="Times New Roman"/>
        <family val="1"/>
      </rPr>
      <t>50</t>
    </r>
  </si>
  <si>
    <r>
      <t>F</t>
    </r>
    <r>
      <rPr>
        <vertAlign val="subscript"/>
        <sz val="10"/>
        <rFont val="Times New Roman"/>
        <family val="1"/>
      </rPr>
      <t>L</t>
    </r>
  </si>
  <si>
    <r>
      <t>V</t>
    </r>
    <r>
      <rPr>
        <vertAlign val="subscript"/>
        <sz val="10"/>
        <rFont val="Times New Roman"/>
        <family val="1"/>
      </rPr>
      <t>L</t>
    </r>
    <r>
      <rPr>
        <sz val="10"/>
        <rFont val="Times New Roman"/>
        <family val="1"/>
      </rPr>
      <t xml:space="preserve"> </t>
    </r>
  </si>
  <si>
    <t>F1</t>
  </si>
  <si>
    <t>F2</t>
  </si>
  <si>
    <t>Tph</t>
  </si>
  <si>
    <t>L/s</t>
  </si>
  <si>
    <t>m3/s</t>
  </si>
  <si>
    <t>º/1</t>
  </si>
  <si>
    <t>rad</t>
  </si>
  <si>
    <t>h</t>
  </si>
  <si>
    <r>
      <t>t/m</t>
    </r>
    <r>
      <rPr>
        <vertAlign val="superscript"/>
        <sz val="10"/>
        <rFont val="Times New Roman"/>
        <family val="1"/>
      </rPr>
      <t>3</t>
    </r>
  </si>
  <si>
    <t>Durand</t>
  </si>
  <si>
    <t>Mc Elvain</t>
  </si>
  <si>
    <t>Km</t>
  </si>
  <si>
    <t>El.</t>
  </si>
  <si>
    <t>Mat</t>
  </si>
  <si>
    <t>PN</t>
  </si>
  <si>
    <t>PN10</t>
  </si>
  <si>
    <t>PN16</t>
  </si>
  <si>
    <t>PN20</t>
  </si>
  <si>
    <r>
      <rPr>
        <sz val="10"/>
        <rFont val="Calibri"/>
        <family val="2"/>
      </rPr>
      <t>Δ</t>
    </r>
    <r>
      <rPr>
        <sz val="14.5"/>
        <rFont val="Arial"/>
        <family val="2"/>
      </rPr>
      <t>v</t>
    </r>
  </si>
  <si>
    <t>g</t>
  </si>
  <si>
    <t>m/s2</t>
  </si>
  <si>
    <t>m3/h</t>
  </si>
  <si>
    <t>PN (PE100)</t>
  </si>
  <si>
    <t>v fluido</t>
  </si>
  <si>
    <t>ρ</t>
  </si>
  <si>
    <t>kgf/m3</t>
  </si>
  <si>
    <t>Ew</t>
  </si>
  <si>
    <t>kgf/m2</t>
  </si>
  <si>
    <t>P linea</t>
  </si>
  <si>
    <t>P G.A.</t>
  </si>
  <si>
    <t>Presion Total</t>
  </si>
  <si>
    <t>Presio Prueba 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</si>
</sst>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E+00"/>
    <numFmt numFmtId="166" formatCode="#,##0.0"/>
    <numFmt numFmtId="167" formatCode="0.0000"/>
    <numFmt numFmtId="168" formatCode="0.000"/>
    <numFmt numFmtId="169" formatCode="&quot;A&quot;0"/>
    <numFmt numFmtId="170" formatCode="0.000E+00"/>
    <numFmt numFmtId="171" formatCode="0.0%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Calibri"/>
      <family val="2"/>
    </font>
    <font>
      <sz val="14.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MS Sans Serif"/>
      <family val="2"/>
    </font>
    <font>
      <sz val="10"/>
      <name val="Symbol"/>
      <family val="1"/>
      <charset val="2"/>
    </font>
    <font>
      <b/>
      <sz val="10"/>
      <name val="Symbol"/>
      <family val="1"/>
      <charset val="2"/>
    </font>
    <font>
      <b/>
      <sz val="10"/>
      <color rgb="FFFF0000"/>
      <name val="MS Sans Serif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u/>
      <sz val="10"/>
      <name val="Arial"/>
      <family val="2"/>
    </font>
    <font>
      <b/>
      <u/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Times New Roman"/>
      <family val="1"/>
    </font>
    <font>
      <sz val="10"/>
      <name val="HandelGothic BT"/>
      <family val="5"/>
    </font>
    <font>
      <vertAlign val="subscript"/>
      <sz val="8"/>
      <color theme="1"/>
      <name val="Arial"/>
      <family val="2"/>
    </font>
    <font>
      <b/>
      <vertAlign val="subscript"/>
      <sz val="8"/>
      <color theme="1"/>
      <name val="Arial"/>
      <family val="2"/>
    </font>
    <font>
      <sz val="10"/>
      <color theme="1"/>
      <name val="HandelGothic BT"/>
      <family val="5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0" fillId="0" borderId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68">
    <xf numFmtId="0" fontId="0" fillId="0" borderId="0" xfId="0"/>
    <xf numFmtId="0" fontId="3" fillId="5" borderId="0" xfId="2" applyFont="1" applyFill="1"/>
    <xf numFmtId="0" fontId="3" fillId="5" borderId="1" xfId="2" applyFont="1" applyFill="1" applyBorder="1"/>
    <xf numFmtId="0" fontId="3" fillId="5" borderId="1" xfId="2" applyFont="1" applyFill="1" applyBorder="1" applyAlignment="1">
      <alignment horizontal="right"/>
    </xf>
    <xf numFmtId="164" fontId="3" fillId="5" borderId="1" xfId="2" applyNumberFormat="1" applyFont="1" applyFill="1" applyBorder="1"/>
    <xf numFmtId="2" fontId="3" fillId="5" borderId="1" xfId="2" applyNumberFormat="1" applyFont="1" applyFill="1" applyBorder="1"/>
    <xf numFmtId="3" fontId="3" fillId="5" borderId="1" xfId="2" applyNumberFormat="1" applyFont="1" applyFill="1" applyBorder="1"/>
    <xf numFmtId="0" fontId="6" fillId="5" borderId="1" xfId="2" applyFont="1" applyFill="1" applyBorder="1"/>
    <xf numFmtId="0" fontId="3" fillId="5" borderId="1" xfId="2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12" fillId="0" borderId="0" xfId="4" applyFont="1"/>
    <xf numFmtId="0" fontId="11" fillId="7" borderId="0" xfId="4" applyNumberFormat="1" applyFont="1" applyFill="1" applyAlignment="1">
      <alignment horizontal="center" vertical="center"/>
    </xf>
    <xf numFmtId="3" fontId="11" fillId="7" borderId="0" xfId="4" applyNumberFormat="1" applyFont="1" applyFill="1" applyAlignment="1">
      <alignment horizontal="center" vertical="center"/>
    </xf>
    <xf numFmtId="0" fontId="11" fillId="3" borderId="14" xfId="4" applyNumberFormat="1" applyFont="1" applyFill="1" applyBorder="1" applyAlignment="1">
      <alignment horizontal="center" vertical="center"/>
    </xf>
    <xf numFmtId="0" fontId="11" fillId="8" borderId="0" xfId="4" applyNumberFormat="1" applyFont="1" applyFill="1" applyBorder="1" applyAlignment="1">
      <alignment horizontal="center" vertical="center"/>
    </xf>
    <xf numFmtId="0" fontId="11" fillId="3" borderId="15" xfId="4" applyNumberFormat="1" applyFont="1" applyFill="1" applyBorder="1" applyAlignment="1">
      <alignment horizontal="center" vertical="center"/>
    </xf>
    <xf numFmtId="169" fontId="11" fillId="7" borderId="1" xfId="4" applyNumberFormat="1" applyFont="1" applyFill="1" applyBorder="1" applyAlignment="1">
      <alignment horizontal="center" vertical="center"/>
    </xf>
    <xf numFmtId="0" fontId="11" fillId="7" borderId="1" xfId="4" applyNumberFormat="1" applyFont="1" applyFill="1" applyBorder="1" applyAlignment="1">
      <alignment horizontal="center" vertical="center"/>
    </xf>
    <xf numFmtId="0" fontId="14" fillId="3" borderId="14" xfId="4" applyNumberFormat="1" applyFont="1" applyFill="1" applyBorder="1" applyAlignment="1">
      <alignment horizontal="center" vertical="center"/>
    </xf>
    <xf numFmtId="166" fontId="11" fillId="3" borderId="0" xfId="4" applyNumberFormat="1" applyFont="1" applyFill="1" applyBorder="1" applyAlignment="1">
      <alignment horizontal="center" vertical="center"/>
    </xf>
    <xf numFmtId="170" fontId="11" fillId="7" borderId="1" xfId="4" applyNumberFormat="1" applyFont="1" applyFill="1" applyBorder="1" applyAlignment="1">
      <alignment horizontal="center" vertical="center"/>
    </xf>
    <xf numFmtId="167" fontId="11" fillId="7" borderId="1" xfId="4" applyNumberFormat="1" applyFont="1" applyFill="1" applyBorder="1" applyAlignment="1">
      <alignment horizontal="center" vertical="center"/>
    </xf>
    <xf numFmtId="170" fontId="11" fillId="3" borderId="0" xfId="4" applyNumberFormat="1" applyFont="1" applyFill="1" applyBorder="1" applyAlignment="1">
      <alignment horizontal="center" vertical="center"/>
    </xf>
    <xf numFmtId="2" fontId="11" fillId="3" borderId="0" xfId="4" applyNumberFormat="1" applyFont="1" applyFill="1" applyBorder="1" applyAlignment="1">
      <alignment horizontal="center" vertical="center"/>
    </xf>
    <xf numFmtId="168" fontId="11" fillId="3" borderId="0" xfId="4" applyNumberFormat="1" applyFont="1" applyFill="1" applyBorder="1" applyAlignment="1">
      <alignment horizontal="center" vertical="center"/>
    </xf>
    <xf numFmtId="0" fontId="14" fillId="3" borderId="16" xfId="4" applyNumberFormat="1" applyFont="1" applyFill="1" applyBorder="1" applyAlignment="1">
      <alignment horizontal="center" vertical="center"/>
    </xf>
    <xf numFmtId="2" fontId="11" fillId="3" borderId="17" xfId="4" applyNumberFormat="1" applyFont="1" applyFill="1" applyBorder="1" applyAlignment="1">
      <alignment horizontal="center" vertical="center"/>
    </xf>
    <xf numFmtId="0" fontId="11" fillId="3" borderId="18" xfId="4" applyNumberFormat="1" applyFont="1" applyFill="1" applyBorder="1" applyAlignment="1">
      <alignment horizontal="center" vertical="center"/>
    </xf>
    <xf numFmtId="0" fontId="11" fillId="7" borderId="0" xfId="4" applyNumberFormat="1" applyFont="1" applyFill="1" applyBorder="1" applyAlignment="1">
      <alignment horizontal="center" vertical="center"/>
    </xf>
    <xf numFmtId="0" fontId="12" fillId="3" borderId="4" xfId="4" applyFont="1" applyFill="1" applyBorder="1" applyAlignment="1">
      <alignment horizontal="center"/>
    </xf>
    <xf numFmtId="166" fontId="15" fillId="3" borderId="19" xfId="4" applyNumberFormat="1" applyFont="1" applyFill="1" applyBorder="1" applyAlignment="1">
      <alignment horizontal="center"/>
    </xf>
    <xf numFmtId="1" fontId="12" fillId="3" borderId="19" xfId="4" applyNumberFormat="1" applyFont="1" applyFill="1" applyBorder="1" applyAlignment="1">
      <alignment horizontal="center"/>
    </xf>
    <xf numFmtId="2" fontId="12" fillId="3" borderId="19" xfId="4" applyNumberFormat="1" applyFont="1" applyFill="1" applyBorder="1" applyAlignment="1">
      <alignment horizontal="center"/>
    </xf>
    <xf numFmtId="0" fontId="12" fillId="3" borderId="19" xfId="4" applyFont="1" applyFill="1" applyBorder="1" applyAlignment="1">
      <alignment horizontal="center"/>
    </xf>
    <xf numFmtId="0" fontId="12" fillId="3" borderId="8" xfId="4" applyFont="1" applyFill="1" applyBorder="1" applyAlignment="1">
      <alignment horizontal="center"/>
    </xf>
    <xf numFmtId="0" fontId="12" fillId="3" borderId="5" xfId="4" applyFont="1" applyFill="1" applyBorder="1" applyAlignment="1">
      <alignment horizontal="center"/>
    </xf>
    <xf numFmtId="166" fontId="12" fillId="3" borderId="17" xfId="4" applyNumberFormat="1" applyFont="1" applyFill="1" applyBorder="1" applyAlignment="1">
      <alignment horizontal="center"/>
    </xf>
    <xf numFmtId="0" fontId="12" fillId="3" borderId="17" xfId="4" applyFont="1" applyFill="1" applyBorder="1" applyAlignment="1">
      <alignment horizontal="center"/>
    </xf>
    <xf numFmtId="1" fontId="12" fillId="3" borderId="17" xfId="4" applyNumberFormat="1" applyFont="1" applyFill="1" applyBorder="1" applyAlignment="1">
      <alignment horizontal="center"/>
    </xf>
    <xf numFmtId="2" fontId="12" fillId="3" borderId="17" xfId="4" applyNumberFormat="1" applyFont="1" applyFill="1" applyBorder="1" applyAlignment="1">
      <alignment horizontal="center"/>
    </xf>
    <xf numFmtId="170" fontId="12" fillId="3" borderId="17" xfId="4" applyNumberFormat="1" applyFont="1" applyFill="1" applyBorder="1" applyAlignment="1">
      <alignment horizontal="center"/>
    </xf>
    <xf numFmtId="0" fontId="12" fillId="3" borderId="18" xfId="4" applyFont="1" applyFill="1" applyBorder="1" applyAlignment="1">
      <alignment horizontal="center"/>
    </xf>
    <xf numFmtId="0" fontId="12" fillId="3" borderId="20" xfId="4" applyFont="1" applyFill="1" applyBorder="1" applyAlignment="1">
      <alignment horizontal="center"/>
    </xf>
    <xf numFmtId="166" fontId="11" fillId="3" borderId="0" xfId="4" applyNumberFormat="1" applyFont="1" applyFill="1" applyBorder="1" applyAlignment="1">
      <alignment horizontal="center"/>
    </xf>
    <xf numFmtId="170" fontId="11" fillId="3" borderId="0" xfId="4" applyNumberFormat="1" applyFont="1" applyFill="1" applyBorder="1" applyAlignment="1">
      <alignment horizontal="center"/>
    </xf>
    <xf numFmtId="2" fontId="11" fillId="3" borderId="0" xfId="4" applyNumberFormat="1" applyFont="1" applyFill="1" applyBorder="1" applyAlignment="1">
      <alignment horizontal="center"/>
    </xf>
    <xf numFmtId="1" fontId="11" fillId="3" borderId="0" xfId="4" applyNumberFormat="1" applyFont="1" applyFill="1" applyBorder="1" applyAlignment="1">
      <alignment horizontal="center"/>
    </xf>
    <xf numFmtId="168" fontId="11" fillId="3" borderId="0" xfId="4" applyNumberFormat="1" applyFont="1" applyFill="1" applyBorder="1" applyAlignment="1">
      <alignment horizontal="center"/>
    </xf>
    <xf numFmtId="168" fontId="11" fillId="3" borderId="15" xfId="4" applyNumberFormat="1" applyFont="1" applyFill="1" applyBorder="1" applyAlignment="1">
      <alignment horizontal="center"/>
    </xf>
    <xf numFmtId="3" fontId="11" fillId="7" borderId="0" xfId="4" applyNumberFormat="1" applyFont="1" applyFill="1" applyBorder="1" applyAlignment="1">
      <alignment horizontal="center" vertical="center"/>
    </xf>
    <xf numFmtId="168" fontId="11" fillId="7" borderId="0" xfId="4" applyNumberFormat="1" applyFont="1" applyFill="1" applyBorder="1" applyAlignment="1">
      <alignment horizontal="center"/>
    </xf>
    <xf numFmtId="166" fontId="11" fillId="3" borderId="17" xfId="4" applyNumberFormat="1" applyFont="1" applyFill="1" applyBorder="1" applyAlignment="1">
      <alignment horizontal="center"/>
    </xf>
    <xf numFmtId="170" fontId="11" fillId="3" borderId="17" xfId="4" applyNumberFormat="1" applyFont="1" applyFill="1" applyBorder="1" applyAlignment="1">
      <alignment horizontal="center"/>
    </xf>
    <xf numFmtId="2" fontId="11" fillId="3" borderId="17" xfId="4" applyNumberFormat="1" applyFont="1" applyFill="1" applyBorder="1" applyAlignment="1">
      <alignment horizontal="center"/>
    </xf>
    <xf numFmtId="1" fontId="11" fillId="3" borderId="17" xfId="4" applyNumberFormat="1" applyFont="1" applyFill="1" applyBorder="1" applyAlignment="1">
      <alignment horizontal="center"/>
    </xf>
    <xf numFmtId="168" fontId="11" fillId="3" borderId="17" xfId="4" applyNumberFormat="1" applyFont="1" applyFill="1" applyBorder="1" applyAlignment="1">
      <alignment horizontal="center"/>
    </xf>
    <xf numFmtId="168" fontId="11" fillId="3" borderId="18" xfId="4" applyNumberFormat="1" applyFont="1" applyFill="1" applyBorder="1" applyAlignment="1">
      <alignment horizontal="center"/>
    </xf>
    <xf numFmtId="166" fontId="5" fillId="0" borderId="4" xfId="0" applyNumberFormat="1" applyFont="1" applyFill="1" applyBorder="1" applyAlignment="1">
      <alignment horizontal="center" vertical="center" wrapText="1"/>
    </xf>
    <xf numFmtId="166" fontId="5" fillId="0" borderId="7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166" fontId="5" fillId="0" borderId="5" xfId="0" applyNumberFormat="1" applyFont="1" applyFill="1" applyBorder="1" applyAlignment="1">
      <alignment horizontal="center" vertical="center"/>
    </xf>
    <xf numFmtId="0" fontId="10" fillId="0" borderId="0" xfId="4"/>
    <xf numFmtId="0" fontId="4" fillId="0" borderId="13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168" fontId="16" fillId="0" borderId="0" xfId="4" applyNumberFormat="1" applyFont="1"/>
    <xf numFmtId="0" fontId="17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17" fillId="0" borderId="0" xfId="0" applyFont="1" applyAlignment="1">
      <alignment horizontal="center" vertical="center"/>
    </xf>
    <xf numFmtId="0" fontId="22" fillId="0" borderId="2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justify" vertical="center"/>
    </xf>
    <xf numFmtId="0" fontId="25" fillId="0" borderId="0" xfId="2" applyFont="1" applyFill="1" applyAlignment="1">
      <alignment horizontal="center" vertical="center"/>
    </xf>
    <xf numFmtId="0" fontId="25" fillId="0" borderId="4" xfId="2" applyFont="1" applyFill="1" applyBorder="1" applyAlignment="1">
      <alignment horizontal="center" vertical="center"/>
    </xf>
    <xf numFmtId="0" fontId="26" fillId="2" borderId="4" xfId="2" applyFont="1" applyFill="1" applyBorder="1" applyAlignment="1">
      <alignment horizontal="center" vertical="center" wrapText="1"/>
    </xf>
    <xf numFmtId="0" fontId="26" fillId="4" borderId="4" xfId="2" applyFont="1" applyFill="1" applyBorder="1" applyAlignment="1">
      <alignment horizontal="center" vertical="center" wrapText="1"/>
    </xf>
    <xf numFmtId="0" fontId="26" fillId="2" borderId="19" xfId="2" applyFont="1" applyFill="1" applyBorder="1" applyAlignment="1">
      <alignment horizontal="center" vertical="center" wrapText="1"/>
    </xf>
    <xf numFmtId="0" fontId="26" fillId="0" borderId="4" xfId="2" applyFont="1" applyFill="1" applyBorder="1" applyAlignment="1">
      <alignment horizontal="center" vertical="center" wrapText="1"/>
    </xf>
    <xf numFmtId="0" fontId="26" fillId="0" borderId="1" xfId="2" applyFont="1" applyFill="1" applyBorder="1" applyAlignment="1">
      <alignment horizontal="center" vertical="center" wrapText="1"/>
    </xf>
    <xf numFmtId="0" fontId="26" fillId="4" borderId="1" xfId="2" applyFont="1" applyFill="1" applyBorder="1" applyAlignment="1">
      <alignment horizontal="center" vertical="center" wrapText="1"/>
    </xf>
    <xf numFmtId="0" fontId="26" fillId="2" borderId="1" xfId="2" applyFont="1" applyFill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/>
    </xf>
    <xf numFmtId="0" fontId="25" fillId="0" borderId="0" xfId="2" applyFont="1" applyFill="1" applyAlignment="1">
      <alignment horizontal="center" vertical="center" wrapText="1"/>
    </xf>
    <xf numFmtId="0" fontId="25" fillId="0" borderId="1" xfId="2" applyFont="1" applyFill="1" applyBorder="1" applyAlignment="1">
      <alignment horizontal="center" vertical="center" wrapText="1"/>
    </xf>
    <xf numFmtId="0" fontId="25" fillId="0" borderId="20" xfId="2" applyFont="1" applyFill="1" applyBorder="1" applyAlignment="1">
      <alignment horizontal="center" vertical="center" wrapText="1"/>
    </xf>
    <xf numFmtId="0" fontId="21" fillId="0" borderId="22" xfId="2" applyFont="1" applyBorder="1" applyAlignment="1">
      <alignment horizontal="center" vertical="center"/>
    </xf>
    <xf numFmtId="0" fontId="21" fillId="4" borderId="20" xfId="2" applyFont="1" applyFill="1" applyBorder="1" applyAlignment="1">
      <alignment horizontal="center" vertical="center"/>
    </xf>
    <xf numFmtId="0" fontId="32" fillId="2" borderId="20" xfId="2" applyNumberFormat="1" applyFont="1" applyFill="1" applyBorder="1" applyAlignment="1">
      <alignment horizontal="center" vertical="center"/>
    </xf>
    <xf numFmtId="0" fontId="32" fillId="2" borderId="0" xfId="2" applyFont="1" applyFill="1" applyBorder="1" applyAlignment="1">
      <alignment horizontal="center" vertical="center"/>
    </xf>
    <xf numFmtId="0" fontId="32" fillId="2" borderId="20" xfId="2" applyFont="1" applyFill="1" applyBorder="1" applyAlignment="1">
      <alignment horizontal="center" vertical="center"/>
    </xf>
    <xf numFmtId="0" fontId="21" fillId="0" borderId="22" xfId="2" applyFont="1" applyBorder="1" applyAlignment="1">
      <alignment vertical="center"/>
    </xf>
    <xf numFmtId="0" fontId="32" fillId="0" borderId="1" xfId="2" applyFont="1" applyFill="1" applyBorder="1" applyAlignment="1">
      <alignment horizontal="center" vertical="center"/>
    </xf>
    <xf numFmtId="0" fontId="21" fillId="0" borderId="1" xfId="2" applyFont="1" applyFill="1" applyBorder="1" applyAlignment="1">
      <alignment vertical="center"/>
    </xf>
    <xf numFmtId="0" fontId="21" fillId="4" borderId="1" xfId="2" applyFont="1" applyFill="1" applyBorder="1" applyAlignment="1">
      <alignment horizontal="center" vertical="center"/>
    </xf>
    <xf numFmtId="0" fontId="32" fillId="2" borderId="1" xfId="2" applyFont="1" applyFill="1" applyBorder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21" fillId="0" borderId="1" xfId="2" applyFont="1" applyBorder="1" applyAlignment="1">
      <alignment vertical="center"/>
    </xf>
    <xf numFmtId="0" fontId="25" fillId="0" borderId="5" xfId="2" applyFont="1" applyFill="1" applyBorder="1" applyAlignment="1">
      <alignment horizontal="center" vertical="center" wrapText="1"/>
    </xf>
    <xf numFmtId="0" fontId="32" fillId="2" borderId="5" xfId="2" applyFont="1" applyFill="1" applyBorder="1" applyAlignment="1">
      <alignment horizontal="center" vertical="center"/>
    </xf>
    <xf numFmtId="0" fontId="32" fillId="4" borderId="5" xfId="2" applyFont="1" applyFill="1" applyBorder="1" applyAlignment="1">
      <alignment horizontal="center" vertical="center"/>
    </xf>
    <xf numFmtId="0" fontId="32" fillId="2" borderId="17" xfId="2" applyFont="1" applyFill="1" applyBorder="1" applyAlignment="1">
      <alignment horizontal="center" vertical="center"/>
    </xf>
    <xf numFmtId="0" fontId="21" fillId="0" borderId="23" xfId="2" applyFont="1" applyBorder="1" applyAlignment="1">
      <alignment horizontal="center" vertical="center"/>
    </xf>
    <xf numFmtId="0" fontId="21" fillId="0" borderId="1" xfId="2" applyFont="1" applyFill="1" applyBorder="1" applyAlignment="1">
      <alignment horizontal="center" vertical="center"/>
    </xf>
    <xf numFmtId="164" fontId="3" fillId="0" borderId="0" xfId="2" applyNumberFormat="1" applyFill="1" applyAlignment="1">
      <alignment horizontal="center" vertical="center"/>
    </xf>
    <xf numFmtId="166" fontId="3" fillId="0" borderId="1" xfId="2" applyNumberFormat="1" applyFill="1" applyBorder="1" applyAlignment="1">
      <alignment horizontal="center" vertical="center"/>
    </xf>
    <xf numFmtId="168" fontId="25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ill="1" applyBorder="1" applyAlignment="1">
      <alignment horizontal="center" vertical="center"/>
    </xf>
    <xf numFmtId="1" fontId="3" fillId="0" borderId="1" xfId="2" applyNumberFormat="1" applyFill="1" applyBorder="1" applyAlignment="1">
      <alignment horizontal="center" vertical="center"/>
    </xf>
    <xf numFmtId="164" fontId="3" fillId="0" borderId="1" xfId="2" applyNumberFormat="1" applyFill="1" applyBorder="1" applyAlignment="1" applyProtection="1">
      <alignment horizontal="center" vertical="center"/>
      <protection locked="0"/>
    </xf>
    <xf numFmtId="168" fontId="3" fillId="0" borderId="1" xfId="2" applyNumberFormat="1" applyFill="1" applyBorder="1" applyAlignment="1">
      <alignment horizontal="center" vertical="center"/>
    </xf>
    <xf numFmtId="167" fontId="25" fillId="4" borderId="1" xfId="2" applyNumberFormat="1" applyFont="1" applyFill="1" applyBorder="1" applyAlignment="1">
      <alignment horizontal="center" vertical="center"/>
    </xf>
    <xf numFmtId="9" fontId="25" fillId="0" borderId="1" xfId="6" applyFont="1" applyFill="1" applyBorder="1" applyAlignment="1">
      <alignment horizontal="center" vertical="center"/>
    </xf>
    <xf numFmtId="2" fontId="3" fillId="0" borderId="1" xfId="2" applyNumberForma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2" fontId="25" fillId="0" borderId="1" xfId="2" applyNumberFormat="1" applyFont="1" applyFill="1" applyBorder="1" applyAlignment="1">
      <alignment horizontal="center" vertical="center"/>
    </xf>
    <xf numFmtId="165" fontId="3" fillId="4" borderId="1" xfId="2" applyNumberFormat="1" applyFill="1" applyBorder="1" applyAlignment="1">
      <alignment horizontal="center" vertical="center"/>
    </xf>
    <xf numFmtId="165" fontId="3" fillId="0" borderId="1" xfId="2" applyNumberFormat="1" applyFill="1" applyBorder="1" applyAlignment="1">
      <alignment horizontal="center" vertical="center"/>
    </xf>
    <xf numFmtId="2" fontId="21" fillId="7" borderId="1" xfId="2" applyNumberFormat="1" applyFont="1" applyFill="1" applyBorder="1" applyAlignment="1">
      <alignment horizontal="center" vertical="center"/>
    </xf>
    <xf numFmtId="2" fontId="21" fillId="0" borderId="1" xfId="2" applyNumberFormat="1" applyFont="1" applyBorder="1" applyAlignment="1">
      <alignment horizontal="center" vertical="center"/>
    </xf>
    <xf numFmtId="2" fontId="21" fillId="4" borderId="1" xfId="2" applyNumberFormat="1" applyFont="1" applyFill="1" applyBorder="1" applyAlignment="1">
      <alignment horizontal="center" vertical="center"/>
    </xf>
    <xf numFmtId="10" fontId="32" fillId="7" borderId="6" xfId="6" applyNumberFormat="1" applyFont="1" applyFill="1" applyBorder="1" applyAlignment="1">
      <alignment horizontal="center" vertical="center"/>
    </xf>
    <xf numFmtId="10" fontId="32" fillId="0" borderId="1" xfId="6" applyNumberFormat="1" applyFont="1" applyFill="1" applyBorder="1" applyAlignment="1">
      <alignment horizontal="center" vertical="center"/>
    </xf>
    <xf numFmtId="2" fontId="21" fillId="0" borderId="1" xfId="2" applyNumberFormat="1" applyFont="1" applyFill="1" applyBorder="1" applyAlignment="1">
      <alignment horizontal="center" vertical="center"/>
    </xf>
    <xf numFmtId="0" fontId="3" fillId="0" borderId="0" xfId="2" applyFill="1" applyAlignment="1">
      <alignment horizontal="center" vertical="center"/>
    </xf>
    <xf numFmtId="168" fontId="3" fillId="0" borderId="20" xfId="2" applyNumberFormat="1" applyFill="1" applyBorder="1" applyAlignment="1">
      <alignment horizontal="center" vertical="center"/>
    </xf>
    <xf numFmtId="2" fontId="21" fillId="7" borderId="24" xfId="2" applyNumberFormat="1" applyFont="1" applyFill="1" applyBorder="1" applyAlignment="1">
      <alignment horizontal="center" vertical="center"/>
    </xf>
    <xf numFmtId="2" fontId="21" fillId="0" borderId="25" xfId="2" applyNumberFormat="1" applyFont="1" applyBorder="1" applyAlignment="1">
      <alignment horizontal="center" vertical="center"/>
    </xf>
    <xf numFmtId="10" fontId="32" fillId="7" borderId="26" xfId="6" applyNumberFormat="1" applyFont="1" applyFill="1" applyBorder="1" applyAlignment="1">
      <alignment horizontal="center" vertical="center"/>
    </xf>
    <xf numFmtId="10" fontId="32" fillId="0" borderId="25" xfId="6" applyNumberFormat="1" applyFont="1" applyFill="1" applyBorder="1" applyAlignment="1">
      <alignment horizontal="center" vertical="center"/>
    </xf>
    <xf numFmtId="166" fontId="35" fillId="0" borderId="1" xfId="2" applyNumberFormat="1" applyFont="1" applyFill="1" applyBorder="1" applyAlignment="1">
      <alignment horizontal="center" vertical="center"/>
    </xf>
    <xf numFmtId="168" fontId="36" fillId="0" borderId="1" xfId="2" applyNumberFormat="1" applyFont="1" applyFill="1" applyBorder="1" applyAlignment="1">
      <alignment horizontal="center" vertical="center"/>
    </xf>
    <xf numFmtId="0" fontId="35" fillId="0" borderId="1" xfId="2" applyFont="1" applyFill="1" applyBorder="1" applyAlignment="1">
      <alignment horizontal="center" vertical="center"/>
    </xf>
    <xf numFmtId="167" fontId="36" fillId="4" borderId="1" xfId="2" applyNumberFormat="1" applyFont="1" applyFill="1" applyBorder="1" applyAlignment="1">
      <alignment horizontal="center" vertical="center"/>
    </xf>
    <xf numFmtId="9" fontId="36" fillId="0" borderId="1" xfId="6" applyFont="1" applyFill="1" applyBorder="1" applyAlignment="1">
      <alignment horizontal="center" vertical="center"/>
    </xf>
    <xf numFmtId="2" fontId="35" fillId="0" borderId="1" xfId="2" applyNumberFormat="1" applyFont="1" applyFill="1" applyBorder="1" applyAlignment="1">
      <alignment horizontal="center" vertical="center"/>
    </xf>
    <xf numFmtId="168" fontId="35" fillId="0" borderId="1" xfId="2" applyNumberFormat="1" applyFont="1" applyFill="1" applyBorder="1" applyAlignment="1">
      <alignment horizontal="center" vertical="center"/>
    </xf>
    <xf numFmtId="2" fontId="36" fillId="0" borderId="1" xfId="2" applyNumberFormat="1" applyFont="1" applyFill="1" applyBorder="1" applyAlignment="1">
      <alignment horizontal="center" vertical="center"/>
    </xf>
    <xf numFmtId="165" fontId="35" fillId="0" borderId="1" xfId="2" applyNumberFormat="1" applyFont="1" applyFill="1" applyBorder="1" applyAlignment="1">
      <alignment horizontal="center" vertical="center"/>
    </xf>
    <xf numFmtId="168" fontId="35" fillId="0" borderId="20" xfId="2" applyNumberFormat="1" applyFont="1" applyFill="1" applyBorder="1" applyAlignment="1">
      <alignment horizontal="center" vertical="center"/>
    </xf>
    <xf numFmtId="0" fontId="35" fillId="0" borderId="0" xfId="2" applyFont="1" applyFill="1" applyAlignment="1">
      <alignment horizontal="center" vertical="center"/>
    </xf>
    <xf numFmtId="164" fontId="35" fillId="0" borderId="0" xfId="2" applyNumberFormat="1" applyFont="1" applyFill="1" applyAlignment="1">
      <alignment horizontal="center" vertical="center"/>
    </xf>
    <xf numFmtId="2" fontId="37" fillId="7" borderId="24" xfId="2" applyNumberFormat="1" applyFont="1" applyFill="1" applyBorder="1" applyAlignment="1">
      <alignment horizontal="center" vertical="center"/>
    </xf>
    <xf numFmtId="2" fontId="37" fillId="0" borderId="25" xfId="2" applyNumberFormat="1" applyFont="1" applyBorder="1" applyAlignment="1">
      <alignment horizontal="center" vertical="center"/>
    </xf>
    <xf numFmtId="2" fontId="37" fillId="4" borderId="1" xfId="2" applyNumberFormat="1" applyFont="1" applyFill="1" applyBorder="1" applyAlignment="1">
      <alignment horizontal="center" vertical="center"/>
    </xf>
    <xf numFmtId="10" fontId="37" fillId="7" borderId="26" xfId="6" applyNumberFormat="1" applyFont="1" applyFill="1" applyBorder="1" applyAlignment="1">
      <alignment horizontal="center" vertical="center"/>
    </xf>
    <xf numFmtId="10" fontId="37" fillId="0" borderId="25" xfId="6" applyNumberFormat="1" applyFont="1" applyFill="1" applyBorder="1" applyAlignment="1">
      <alignment horizontal="center" vertical="center"/>
    </xf>
    <xf numFmtId="2" fontId="37" fillId="0" borderId="1" xfId="2" applyNumberFormat="1" applyFont="1" applyBorder="1" applyAlignment="1">
      <alignment horizontal="center" vertical="center"/>
    </xf>
    <xf numFmtId="2" fontId="37" fillId="0" borderId="1" xfId="2" applyNumberFormat="1" applyFont="1" applyFill="1" applyBorder="1" applyAlignment="1">
      <alignment horizontal="center" vertical="center"/>
    </xf>
    <xf numFmtId="170" fontId="11" fillId="7" borderId="0" xfId="4" applyNumberFormat="1" applyFont="1" applyFill="1" applyBorder="1" applyAlignment="1">
      <alignment horizontal="center" vertical="center"/>
    </xf>
    <xf numFmtId="164" fontId="38" fillId="6" borderId="1" xfId="0" applyNumberFormat="1" applyFont="1" applyFill="1" applyBorder="1" applyAlignment="1" applyProtection="1">
      <alignment horizontal="center"/>
      <protection locked="0"/>
    </xf>
    <xf numFmtId="1" fontId="38" fillId="8" borderId="1" xfId="0" applyNumberFormat="1" applyFont="1" applyFill="1" applyBorder="1" applyAlignment="1" applyProtection="1">
      <alignment horizontal="center"/>
      <protection locked="0"/>
    </xf>
    <xf numFmtId="1" fontId="38" fillId="6" borderId="1" xfId="0" applyNumberFormat="1" applyFont="1" applyFill="1" applyBorder="1" applyAlignment="1" applyProtection="1">
      <alignment horizontal="center"/>
      <protection locked="0"/>
    </xf>
    <xf numFmtId="164" fontId="38" fillId="9" borderId="1" xfId="0" applyNumberFormat="1" applyFont="1" applyFill="1" applyBorder="1" applyAlignment="1" applyProtection="1">
      <alignment horizontal="center"/>
      <protection locked="0"/>
    </xf>
    <xf numFmtId="164" fontId="38" fillId="6" borderId="4" xfId="0" applyNumberFormat="1" applyFont="1" applyFill="1" applyBorder="1" applyAlignment="1" applyProtection="1">
      <alignment horizontal="center"/>
      <protection locked="0"/>
    </xf>
    <xf numFmtId="1" fontId="38" fillId="6" borderId="4" xfId="0" applyNumberFormat="1" applyFont="1" applyFill="1" applyBorder="1" applyAlignment="1" applyProtection="1">
      <alignment horizontal="center"/>
      <protection locked="0"/>
    </xf>
    <xf numFmtId="164" fontId="38" fillId="9" borderId="4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/>
    <xf numFmtId="171" fontId="3" fillId="0" borderId="1" xfId="1" applyNumberFormat="1" applyFont="1" applyFill="1" applyBorder="1" applyAlignment="1">
      <alignment horizontal="center" vertical="center"/>
    </xf>
    <xf numFmtId="0" fontId="25" fillId="0" borderId="1" xfId="2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left" vertical="center"/>
    </xf>
    <xf numFmtId="166" fontId="2" fillId="0" borderId="3" xfId="0" applyNumberFormat="1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Fill="1"/>
    <xf numFmtId="166" fontId="2" fillId="0" borderId="2" xfId="0" applyNumberFormat="1" applyFont="1" applyFill="1" applyBorder="1" applyAlignment="1">
      <alignment vertical="center"/>
    </xf>
    <xf numFmtId="9" fontId="2" fillId="0" borderId="3" xfId="1" applyFont="1" applyFill="1" applyBorder="1" applyAlignment="1">
      <alignment vertical="center"/>
    </xf>
    <xf numFmtId="0" fontId="2" fillId="0" borderId="1" xfId="0" applyFont="1" applyFill="1" applyBorder="1"/>
    <xf numFmtId="170" fontId="2" fillId="0" borderId="0" xfId="0" applyNumberFormat="1" applyFont="1" applyFill="1"/>
    <xf numFmtId="9" fontId="2" fillId="0" borderId="0" xfId="1" applyFont="1" applyFill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/>
    </xf>
    <xf numFmtId="9" fontId="2" fillId="0" borderId="0" xfId="1" applyFont="1" applyFill="1" applyBorder="1" applyAlignment="1">
      <alignment horizontal="center" vertical="center"/>
    </xf>
    <xf numFmtId="4" fontId="2" fillId="0" borderId="0" xfId="0" applyNumberFormat="1" applyFont="1" applyFill="1"/>
    <xf numFmtId="164" fontId="2" fillId="0" borderId="0" xfId="0" applyNumberFormat="1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6" fontId="5" fillId="0" borderId="16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10" fontId="5" fillId="0" borderId="1" xfId="1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0" fontId="5" fillId="0" borderId="0" xfId="1" applyNumberFormat="1" applyFont="1" applyFill="1" applyAlignment="1">
      <alignment horizontal="center" vertical="center"/>
    </xf>
    <xf numFmtId="4" fontId="2" fillId="10" borderId="2" xfId="0" applyNumberFormat="1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/>
    </xf>
    <xf numFmtId="2" fontId="2" fillId="12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2" fillId="0" borderId="1" xfId="2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left"/>
    </xf>
    <xf numFmtId="164" fontId="2" fillId="0" borderId="1" xfId="2" applyNumberFormat="1" applyFont="1" applyFill="1" applyBorder="1" applyAlignment="1">
      <alignment horizontal="center" vertical="center"/>
    </xf>
    <xf numFmtId="1" fontId="2" fillId="0" borderId="1" xfId="2" applyNumberFormat="1" applyFont="1" applyFill="1" applyBorder="1" applyAlignment="1">
      <alignment horizontal="center" vertical="center"/>
    </xf>
    <xf numFmtId="168" fontId="2" fillId="0" borderId="1" xfId="2" applyNumberFormat="1" applyFont="1" applyFill="1" applyBorder="1" applyAlignment="1">
      <alignment horizontal="center" vertical="center"/>
    </xf>
    <xf numFmtId="170" fontId="2" fillId="0" borderId="1" xfId="2" applyNumberFormat="1" applyFont="1" applyFill="1" applyBorder="1" applyAlignment="1">
      <alignment horizontal="center" vertical="center"/>
    </xf>
    <xf numFmtId="0" fontId="21" fillId="0" borderId="1" xfId="2" applyFont="1" applyFill="1" applyBorder="1"/>
    <xf numFmtId="3" fontId="27" fillId="0" borderId="1" xfId="2" applyNumberFormat="1" applyFont="1" applyFill="1" applyBorder="1" applyProtection="1">
      <protection locked="0"/>
    </xf>
    <xf numFmtId="164" fontId="21" fillId="0" borderId="1" xfId="2" applyNumberFormat="1" applyFont="1" applyFill="1" applyBorder="1"/>
    <xf numFmtId="0" fontId="21" fillId="0" borderId="1" xfId="2" applyFont="1" applyFill="1" applyBorder="1" applyProtection="1">
      <protection locked="0"/>
    </xf>
    <xf numFmtId="0" fontId="0" fillId="0" borderId="1" xfId="0" applyFont="1" applyFill="1" applyBorder="1"/>
    <xf numFmtId="2" fontId="21" fillId="0" borderId="1" xfId="2" applyNumberFormat="1" applyFont="1" applyFill="1" applyBorder="1" applyAlignment="1">
      <alignment horizontal="right"/>
    </xf>
    <xf numFmtId="2" fontId="21" fillId="0" borderId="1" xfId="2" applyNumberFormat="1" applyFont="1" applyFill="1" applyBorder="1" applyProtection="1">
      <protection locked="0"/>
    </xf>
    <xf numFmtId="164" fontId="21" fillId="0" borderId="1" xfId="2" applyNumberFormat="1" applyFont="1" applyFill="1" applyBorder="1" applyProtection="1">
      <protection locked="0"/>
    </xf>
    <xf numFmtId="0" fontId="5" fillId="0" borderId="4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164" fontId="41" fillId="0" borderId="1" xfId="0" applyNumberFormat="1" applyFont="1" applyFill="1" applyBorder="1" applyAlignment="1" applyProtection="1">
      <alignment horizontal="center"/>
      <protection locked="0"/>
    </xf>
    <xf numFmtId="3" fontId="2" fillId="0" borderId="1" xfId="3" applyNumberFormat="1" applyFont="1" applyFill="1" applyBorder="1" applyAlignment="1">
      <alignment horizontal="center" vertical="center"/>
    </xf>
    <xf numFmtId="164" fontId="2" fillId="0" borderId="3" xfId="2" applyNumberFormat="1" applyFont="1" applyFill="1" applyBorder="1" applyAlignment="1">
      <alignment horizontal="center" vertical="center"/>
    </xf>
    <xf numFmtId="2" fontId="2" fillId="0" borderId="1" xfId="2" applyNumberFormat="1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>
      <alignment horizontal="center" vertical="center"/>
    </xf>
    <xf numFmtId="164" fontId="41" fillId="0" borderId="4" xfId="0" applyNumberFormat="1" applyFont="1" applyFill="1" applyBorder="1" applyAlignment="1" applyProtection="1">
      <alignment horizontal="center"/>
      <protection locked="0"/>
    </xf>
    <xf numFmtId="164" fontId="2" fillId="13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left" vertical="center"/>
    </xf>
    <xf numFmtId="166" fontId="2" fillId="0" borderId="3" xfId="0" applyNumberFormat="1" applyFont="1" applyFill="1" applyBorder="1" applyAlignment="1">
      <alignment horizontal="left" vertical="center"/>
    </xf>
    <xf numFmtId="16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12" fillId="3" borderId="2" xfId="4" applyNumberFormat="1" applyFont="1" applyFill="1" applyBorder="1" applyAlignment="1">
      <alignment horizontal="center" vertical="center"/>
    </xf>
    <xf numFmtId="0" fontId="12" fillId="3" borderId="6" xfId="4" applyNumberFormat="1" applyFont="1" applyFill="1" applyBorder="1" applyAlignment="1">
      <alignment horizontal="center" vertical="center"/>
    </xf>
    <xf numFmtId="0" fontId="12" fillId="3" borderId="3" xfId="4" applyNumberFormat="1" applyFont="1" applyFill="1" applyBorder="1" applyAlignment="1">
      <alignment horizontal="center" vertical="center"/>
    </xf>
    <xf numFmtId="0" fontId="12" fillId="7" borderId="1" xfId="4" applyNumberFormat="1" applyFont="1" applyFill="1" applyBorder="1" applyAlignment="1">
      <alignment horizontal="center" vertical="center"/>
    </xf>
    <xf numFmtId="0" fontId="12" fillId="7" borderId="2" xfId="4" applyNumberFormat="1" applyFont="1" applyFill="1" applyBorder="1" applyAlignment="1">
      <alignment horizontal="center" vertical="center"/>
    </xf>
    <xf numFmtId="0" fontId="12" fillId="7" borderId="6" xfId="4" applyNumberFormat="1" applyFont="1" applyFill="1" applyBorder="1" applyAlignment="1">
      <alignment horizontal="center" vertical="center"/>
    </xf>
    <xf numFmtId="0" fontId="12" fillId="7" borderId="3" xfId="4" applyNumberFormat="1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/>
    </xf>
    <xf numFmtId="0" fontId="25" fillId="0" borderId="6" xfId="2" applyFont="1" applyFill="1" applyBorder="1" applyAlignment="1">
      <alignment horizontal="center" vertical="center"/>
    </xf>
    <xf numFmtId="0" fontId="25" fillId="0" borderId="3" xfId="2" applyFont="1" applyFill="1" applyBorder="1" applyAlignment="1">
      <alignment horizontal="center" vertical="center"/>
    </xf>
    <xf numFmtId="0" fontId="25" fillId="0" borderId="1" xfId="2" applyFont="1" applyFill="1" applyBorder="1" applyAlignment="1">
      <alignment horizontal="center" vertical="center"/>
    </xf>
  </cellXfs>
  <cellStyles count="7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Porcentaje" xfId="1" builtinId="5"/>
    <cellStyle name="Porcentaje 2" xfId="5" xr:uid="{00000000-0005-0000-0000-000005000000}"/>
    <cellStyle name="Porcentaje 3" xfId="6" xr:uid="{00000000-0005-0000-0000-000006000000}"/>
  </cellStyles>
  <dxfs count="1">
    <dxf>
      <font>
        <b/>
        <i val="0"/>
        <condense val="0"/>
        <extend val="0"/>
        <color auto="1"/>
      </font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PERFIL</a:t>
            </a:r>
            <a:r>
              <a:rPr lang="en-US" sz="1200" b="1" u="sng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HIDRÁULICO T1 a T3</a:t>
            </a:r>
            <a:endParaRPr lang="en-US" sz="1200" b="1" u="sng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43996605803969568"/>
          <c:y val="3.5824634130779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92777777777784E-2"/>
          <c:y val="0.13928888888888888"/>
          <c:w val="0.86915013888888892"/>
          <c:h val="0.66955864197530868"/>
        </c:manualLayout>
      </c:layout>
      <c:scatterChart>
        <c:scatterStyle val="lineMarker"/>
        <c:varyColors val="0"/>
        <c:ser>
          <c:idx val="0"/>
          <c:order val="0"/>
          <c:tx>
            <c:v>Rasante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'MC Cañerias 710 T1+T3 Rel'!$D$28:$D$67</c:f>
              <c:numCache>
                <c:formatCode>0.0</c:formatCode>
                <c:ptCount val="4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422.96999999999997</c:v>
                </c:pt>
                <c:pt idx="23">
                  <c:v>525.5</c:v>
                </c:pt>
                <c:pt idx="24">
                  <c:v>544.37</c:v>
                </c:pt>
                <c:pt idx="25">
                  <c:v>636.91</c:v>
                </c:pt>
                <c:pt idx="26">
                  <c:v>650.24</c:v>
                </c:pt>
                <c:pt idx="27">
                  <c:v>686.91</c:v>
                </c:pt>
                <c:pt idx="28">
                  <c:v>716.09999999999991</c:v>
                </c:pt>
                <c:pt idx="29">
                  <c:v>727.97</c:v>
                </c:pt>
                <c:pt idx="30">
                  <c:v>732.67</c:v>
                </c:pt>
                <c:pt idx="31">
                  <c:v>736.06999999999994</c:v>
                </c:pt>
                <c:pt idx="32">
                  <c:v>736.06999999999994</c:v>
                </c:pt>
                <c:pt idx="33">
                  <c:v>736.06999999999994</c:v>
                </c:pt>
                <c:pt idx="34">
                  <c:v>736.06999999999994</c:v>
                </c:pt>
                <c:pt idx="35">
                  <c:v>740.46999999999991</c:v>
                </c:pt>
                <c:pt idx="36">
                  <c:v>743.51</c:v>
                </c:pt>
                <c:pt idx="37">
                  <c:v>776.56999999999994</c:v>
                </c:pt>
                <c:pt idx="38">
                  <c:v>776.84999999999991</c:v>
                </c:pt>
                <c:pt idx="39">
                  <c:v>799.31</c:v>
                </c:pt>
              </c:numCache>
            </c:numRef>
          </c:xVal>
          <c:yVal>
            <c:numRef>
              <c:f>'MC Cañerias 710 T1+T3 Rel'!$E$28:$E$67</c:f>
              <c:numCache>
                <c:formatCode>0.0</c:formatCode>
                <c:ptCount val="40"/>
                <c:pt idx="0">
                  <c:v>818</c:v>
                </c:pt>
                <c:pt idx="1">
                  <c:v>811.78</c:v>
                </c:pt>
                <c:pt idx="2">
                  <c:v>811.56</c:v>
                </c:pt>
                <c:pt idx="3">
                  <c:v>811.34</c:v>
                </c:pt>
                <c:pt idx="4">
                  <c:v>811.12</c:v>
                </c:pt>
                <c:pt idx="5">
                  <c:v>810.9</c:v>
                </c:pt>
                <c:pt idx="6">
                  <c:v>810.68</c:v>
                </c:pt>
                <c:pt idx="7">
                  <c:v>810.46</c:v>
                </c:pt>
                <c:pt idx="8">
                  <c:v>810.24</c:v>
                </c:pt>
                <c:pt idx="9">
                  <c:v>810.02</c:v>
                </c:pt>
                <c:pt idx="10">
                  <c:v>809.8</c:v>
                </c:pt>
                <c:pt idx="11">
                  <c:v>809.58</c:v>
                </c:pt>
                <c:pt idx="12">
                  <c:v>809.36</c:v>
                </c:pt>
                <c:pt idx="13">
                  <c:v>809.14</c:v>
                </c:pt>
                <c:pt idx="14">
                  <c:v>807.89</c:v>
                </c:pt>
                <c:pt idx="15">
                  <c:v>802.89</c:v>
                </c:pt>
                <c:pt idx="16">
                  <c:v>802.55</c:v>
                </c:pt>
                <c:pt idx="17">
                  <c:v>802.35</c:v>
                </c:pt>
                <c:pt idx="18">
                  <c:v>802.15</c:v>
                </c:pt>
                <c:pt idx="19">
                  <c:v>800.78</c:v>
                </c:pt>
                <c:pt idx="20">
                  <c:v>793.15</c:v>
                </c:pt>
                <c:pt idx="21">
                  <c:v>784.99</c:v>
                </c:pt>
                <c:pt idx="22">
                  <c:v>783.1</c:v>
                </c:pt>
                <c:pt idx="23">
                  <c:v>782.08</c:v>
                </c:pt>
                <c:pt idx="24">
                  <c:v>773.99</c:v>
                </c:pt>
                <c:pt idx="25">
                  <c:v>773.06</c:v>
                </c:pt>
                <c:pt idx="26">
                  <c:v>770.35</c:v>
                </c:pt>
                <c:pt idx="27">
                  <c:v>769.98</c:v>
                </c:pt>
                <c:pt idx="28">
                  <c:v>763.58</c:v>
                </c:pt>
                <c:pt idx="29">
                  <c:v>757.55</c:v>
                </c:pt>
                <c:pt idx="30">
                  <c:v>757.55</c:v>
                </c:pt>
                <c:pt idx="31">
                  <c:v>757.55</c:v>
                </c:pt>
                <c:pt idx="32">
                  <c:v>757.55</c:v>
                </c:pt>
                <c:pt idx="33">
                  <c:v>757.55</c:v>
                </c:pt>
                <c:pt idx="34">
                  <c:v>757.55</c:v>
                </c:pt>
                <c:pt idx="35">
                  <c:v>757.55</c:v>
                </c:pt>
                <c:pt idx="36">
                  <c:v>757.55</c:v>
                </c:pt>
                <c:pt idx="37">
                  <c:v>754.23</c:v>
                </c:pt>
                <c:pt idx="38">
                  <c:v>753.25</c:v>
                </c:pt>
                <c:pt idx="39">
                  <c:v>753.14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6-4351-B872-92B77492B612}"/>
            </c:ext>
          </c:extLst>
        </c:ser>
        <c:ser>
          <c:idx val="1"/>
          <c:order val="1"/>
          <c:tx>
            <c:v>Bernoulli</c:v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'MC Cañerias 710 T1+T3 Rel'!$D$28:$D$67</c:f>
              <c:numCache>
                <c:formatCode>0.0</c:formatCode>
                <c:ptCount val="4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422.96999999999997</c:v>
                </c:pt>
                <c:pt idx="23">
                  <c:v>525.5</c:v>
                </c:pt>
                <c:pt idx="24">
                  <c:v>544.37</c:v>
                </c:pt>
                <c:pt idx="25">
                  <c:v>636.91</c:v>
                </c:pt>
                <c:pt idx="26">
                  <c:v>650.24</c:v>
                </c:pt>
                <c:pt idx="27">
                  <c:v>686.91</c:v>
                </c:pt>
                <c:pt idx="28">
                  <c:v>716.09999999999991</c:v>
                </c:pt>
                <c:pt idx="29">
                  <c:v>727.97</c:v>
                </c:pt>
                <c:pt idx="30">
                  <c:v>732.67</c:v>
                </c:pt>
                <c:pt idx="31">
                  <c:v>736.06999999999994</c:v>
                </c:pt>
                <c:pt idx="32">
                  <c:v>736.06999999999994</c:v>
                </c:pt>
                <c:pt idx="33">
                  <c:v>736.06999999999994</c:v>
                </c:pt>
                <c:pt idx="34">
                  <c:v>736.06999999999994</c:v>
                </c:pt>
                <c:pt idx="35">
                  <c:v>740.46999999999991</c:v>
                </c:pt>
                <c:pt idx="36">
                  <c:v>743.51</c:v>
                </c:pt>
                <c:pt idx="37">
                  <c:v>776.56999999999994</c:v>
                </c:pt>
                <c:pt idx="38">
                  <c:v>776.84999999999991</c:v>
                </c:pt>
                <c:pt idx="39">
                  <c:v>799.31</c:v>
                </c:pt>
              </c:numCache>
            </c:numRef>
          </c:xVal>
          <c:yVal>
            <c:numRef>
              <c:f>'MC Cañerias 710 T1+T3 Rel'!$AM$28:$AM$67</c:f>
              <c:numCache>
                <c:formatCode>#,##0.00</c:formatCode>
                <c:ptCount val="40"/>
                <c:pt idx="0">
                  <c:v>817.96236863196634</c:v>
                </c:pt>
                <c:pt idx="1">
                  <c:v>817.7374175430632</c:v>
                </c:pt>
                <c:pt idx="2">
                  <c:v>817.51246645416006</c:v>
                </c:pt>
                <c:pt idx="3">
                  <c:v>817.28751536525692</c:v>
                </c:pt>
                <c:pt idx="4">
                  <c:v>817.06256427635378</c:v>
                </c:pt>
                <c:pt idx="5">
                  <c:v>816.83761318745064</c:v>
                </c:pt>
                <c:pt idx="6">
                  <c:v>816.6126620985475</c:v>
                </c:pt>
                <c:pt idx="7">
                  <c:v>816.38771100964436</c:v>
                </c:pt>
                <c:pt idx="8">
                  <c:v>816.16275992074122</c:v>
                </c:pt>
                <c:pt idx="9">
                  <c:v>815.93780883183808</c:v>
                </c:pt>
                <c:pt idx="10">
                  <c:v>815.71285774293494</c:v>
                </c:pt>
                <c:pt idx="11">
                  <c:v>815.4879066540318</c:v>
                </c:pt>
                <c:pt idx="12">
                  <c:v>815.26295556512866</c:v>
                </c:pt>
                <c:pt idx="13">
                  <c:v>815.03800447622552</c:v>
                </c:pt>
                <c:pt idx="14">
                  <c:v>814.81305338732238</c:v>
                </c:pt>
                <c:pt idx="15">
                  <c:v>814.58810229841924</c:v>
                </c:pt>
                <c:pt idx="16">
                  <c:v>814.3631512095161</c:v>
                </c:pt>
                <c:pt idx="17">
                  <c:v>814.13820012061296</c:v>
                </c:pt>
                <c:pt idx="18">
                  <c:v>813.91324903170982</c:v>
                </c:pt>
                <c:pt idx="19">
                  <c:v>813.68829794280668</c:v>
                </c:pt>
                <c:pt idx="20">
                  <c:v>813.46334685390354</c:v>
                </c:pt>
                <c:pt idx="21">
                  <c:v>813.2383957650004</c:v>
                </c:pt>
                <c:pt idx="22">
                  <c:v>813.20499052829825</c:v>
                </c:pt>
                <c:pt idx="23">
                  <c:v>812.05177877103654</c:v>
                </c:pt>
                <c:pt idx="24">
                  <c:v>811.8395374186565</c:v>
                </c:pt>
                <c:pt idx="25">
                  <c:v>810.79868873030182</c:v>
                </c:pt>
                <c:pt idx="26">
                  <c:v>810.64875882954789</c:v>
                </c:pt>
                <c:pt idx="27">
                  <c:v>810.23631100804403</c:v>
                </c:pt>
                <c:pt idx="28">
                  <c:v>809.90799489378992</c:v>
                </c:pt>
                <c:pt idx="29">
                  <c:v>809.77448642252591</c:v>
                </c:pt>
                <c:pt idx="30">
                  <c:v>809.72162291663369</c:v>
                </c:pt>
                <c:pt idx="31">
                  <c:v>809.68338123152012</c:v>
                </c:pt>
                <c:pt idx="32">
                  <c:v>809.68338123152012</c:v>
                </c:pt>
                <c:pt idx="33">
                  <c:v>766.29948923955874</c:v>
                </c:pt>
                <c:pt idx="34">
                  <c:v>757.59948923955869</c:v>
                </c:pt>
                <c:pt idx="35">
                  <c:v>757.55</c:v>
                </c:pt>
                <c:pt idx="36">
                  <c:v>757.55</c:v>
                </c:pt>
                <c:pt idx="37">
                  <c:v>754.23</c:v>
                </c:pt>
                <c:pt idx="38">
                  <c:v>753.25</c:v>
                </c:pt>
                <c:pt idx="39">
                  <c:v>753.14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46-4351-B872-92B77492B612}"/>
            </c:ext>
          </c:extLst>
        </c:ser>
        <c:ser>
          <c:idx val="2"/>
          <c:order val="2"/>
          <c:tx>
            <c:v>Resistente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'MC Cañerias 710 T1+T3 Rel'!$D$28:$D$67</c:f>
              <c:numCache>
                <c:formatCode>0.0</c:formatCode>
                <c:ptCount val="4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422.96999999999997</c:v>
                </c:pt>
                <c:pt idx="23">
                  <c:v>525.5</c:v>
                </c:pt>
                <c:pt idx="24">
                  <c:v>544.37</c:v>
                </c:pt>
                <c:pt idx="25">
                  <c:v>636.91</c:v>
                </c:pt>
                <c:pt idx="26">
                  <c:v>650.24</c:v>
                </c:pt>
                <c:pt idx="27">
                  <c:v>686.91</c:v>
                </c:pt>
                <c:pt idx="28">
                  <c:v>716.09999999999991</c:v>
                </c:pt>
                <c:pt idx="29">
                  <c:v>727.97</c:v>
                </c:pt>
                <c:pt idx="30">
                  <c:v>732.67</c:v>
                </c:pt>
                <c:pt idx="31">
                  <c:v>736.06999999999994</c:v>
                </c:pt>
                <c:pt idx="32">
                  <c:v>736.06999999999994</c:v>
                </c:pt>
                <c:pt idx="33">
                  <c:v>736.06999999999994</c:v>
                </c:pt>
                <c:pt idx="34">
                  <c:v>736.06999999999994</c:v>
                </c:pt>
                <c:pt idx="35">
                  <c:v>740.46999999999991</c:v>
                </c:pt>
                <c:pt idx="36">
                  <c:v>743.51</c:v>
                </c:pt>
                <c:pt idx="37">
                  <c:v>776.56999999999994</c:v>
                </c:pt>
                <c:pt idx="38">
                  <c:v>776.84999999999991</c:v>
                </c:pt>
                <c:pt idx="39">
                  <c:v>799.31</c:v>
                </c:pt>
              </c:numCache>
            </c:numRef>
          </c:xVal>
          <c:yVal>
            <c:numRef>
              <c:f>'MC Cañerias 710 T1+T3 Rel'!$AP$28:$AP$67</c:f>
              <c:numCache>
                <c:formatCode>0.0</c:formatCode>
                <c:ptCount val="40"/>
                <c:pt idx="0">
                  <c:v>978</c:v>
                </c:pt>
                <c:pt idx="1">
                  <c:v>971.78</c:v>
                </c:pt>
                <c:pt idx="2">
                  <c:v>971.56</c:v>
                </c:pt>
                <c:pt idx="3">
                  <c:v>971.34</c:v>
                </c:pt>
                <c:pt idx="4">
                  <c:v>971.12</c:v>
                </c:pt>
                <c:pt idx="5">
                  <c:v>970.9</c:v>
                </c:pt>
                <c:pt idx="6">
                  <c:v>970.68</c:v>
                </c:pt>
                <c:pt idx="7">
                  <c:v>970.46</c:v>
                </c:pt>
                <c:pt idx="8">
                  <c:v>970.24</c:v>
                </c:pt>
                <c:pt idx="9">
                  <c:v>970.02</c:v>
                </c:pt>
                <c:pt idx="10">
                  <c:v>969.8</c:v>
                </c:pt>
                <c:pt idx="11">
                  <c:v>969.58</c:v>
                </c:pt>
                <c:pt idx="12">
                  <c:v>969.36</c:v>
                </c:pt>
                <c:pt idx="13">
                  <c:v>969.14</c:v>
                </c:pt>
                <c:pt idx="14">
                  <c:v>967.89</c:v>
                </c:pt>
                <c:pt idx="15">
                  <c:v>962.89</c:v>
                </c:pt>
                <c:pt idx="16">
                  <c:v>962.55</c:v>
                </c:pt>
                <c:pt idx="17">
                  <c:v>962.35</c:v>
                </c:pt>
                <c:pt idx="18">
                  <c:v>962.15</c:v>
                </c:pt>
                <c:pt idx="19">
                  <c:v>960.78</c:v>
                </c:pt>
                <c:pt idx="20">
                  <c:v>953.15</c:v>
                </c:pt>
                <c:pt idx="21">
                  <c:v>944.99</c:v>
                </c:pt>
                <c:pt idx="22">
                  <c:v>943.1</c:v>
                </c:pt>
                <c:pt idx="23">
                  <c:v>942.08</c:v>
                </c:pt>
                <c:pt idx="24">
                  <c:v>933.99</c:v>
                </c:pt>
                <c:pt idx="25">
                  <c:v>933.06</c:v>
                </c:pt>
                <c:pt idx="26">
                  <c:v>930.35</c:v>
                </c:pt>
                <c:pt idx="27">
                  <c:v>929.98</c:v>
                </c:pt>
                <c:pt idx="28">
                  <c:v>923.58</c:v>
                </c:pt>
                <c:pt idx="29">
                  <c:v>917.55</c:v>
                </c:pt>
                <c:pt idx="30">
                  <c:v>917.55</c:v>
                </c:pt>
                <c:pt idx="31">
                  <c:v>917.55</c:v>
                </c:pt>
                <c:pt idx="32">
                  <c:v>917.55</c:v>
                </c:pt>
                <c:pt idx="33">
                  <c:v>917.55</c:v>
                </c:pt>
                <c:pt idx="34">
                  <c:v>917.55</c:v>
                </c:pt>
                <c:pt idx="35">
                  <c:v>917.55</c:v>
                </c:pt>
                <c:pt idx="36">
                  <c:v>917.55</c:v>
                </c:pt>
                <c:pt idx="37">
                  <c:v>914.23</c:v>
                </c:pt>
                <c:pt idx="38">
                  <c:v>913.25</c:v>
                </c:pt>
                <c:pt idx="39">
                  <c:v>913.14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46-4351-B872-92B77492B612}"/>
            </c:ext>
          </c:extLst>
        </c:ser>
        <c:ser>
          <c:idx val="3"/>
          <c:order val="3"/>
          <c:tx>
            <c:v>Sobrepresion</c:v>
          </c:tx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'MC Cañerias 710 T1+T3 Rel'!$D$28:$D$67</c:f>
              <c:numCache>
                <c:formatCode>0.0</c:formatCode>
                <c:ptCount val="4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422.96999999999997</c:v>
                </c:pt>
                <c:pt idx="23">
                  <c:v>525.5</c:v>
                </c:pt>
                <c:pt idx="24">
                  <c:v>544.37</c:v>
                </c:pt>
                <c:pt idx="25">
                  <c:v>636.91</c:v>
                </c:pt>
                <c:pt idx="26">
                  <c:v>650.24</c:v>
                </c:pt>
                <c:pt idx="27">
                  <c:v>686.91</c:v>
                </c:pt>
                <c:pt idx="28">
                  <c:v>716.09999999999991</c:v>
                </c:pt>
                <c:pt idx="29">
                  <c:v>727.97</c:v>
                </c:pt>
                <c:pt idx="30">
                  <c:v>732.67</c:v>
                </c:pt>
                <c:pt idx="31">
                  <c:v>736.06999999999994</c:v>
                </c:pt>
                <c:pt idx="32">
                  <c:v>736.06999999999994</c:v>
                </c:pt>
                <c:pt idx="33">
                  <c:v>736.06999999999994</c:v>
                </c:pt>
                <c:pt idx="34">
                  <c:v>736.06999999999994</c:v>
                </c:pt>
                <c:pt idx="35">
                  <c:v>740.46999999999991</c:v>
                </c:pt>
                <c:pt idx="36">
                  <c:v>743.51</c:v>
                </c:pt>
                <c:pt idx="37">
                  <c:v>776.56999999999994</c:v>
                </c:pt>
                <c:pt idx="38">
                  <c:v>776.84999999999991</c:v>
                </c:pt>
                <c:pt idx="39">
                  <c:v>799.31</c:v>
                </c:pt>
              </c:numCache>
            </c:numRef>
          </c:xVal>
          <c:yVal>
            <c:numRef>
              <c:f>'MC Cañerias 710 T1+T3 Rel'!$AX$28:$AX$67</c:f>
              <c:numCache>
                <c:formatCode>0.00</c:formatCode>
                <c:ptCount val="40"/>
                <c:pt idx="0">
                  <c:v>919.01461014769302</c:v>
                </c:pt>
                <c:pt idx="1">
                  <c:v>918.78965905878977</c:v>
                </c:pt>
                <c:pt idx="2">
                  <c:v>918.56470796988674</c:v>
                </c:pt>
                <c:pt idx="3">
                  <c:v>918.33975688098349</c:v>
                </c:pt>
                <c:pt idx="4">
                  <c:v>918.11480579208046</c:v>
                </c:pt>
                <c:pt idx="5">
                  <c:v>917.88985470317721</c:v>
                </c:pt>
                <c:pt idx="6">
                  <c:v>917.66490361427418</c:v>
                </c:pt>
                <c:pt idx="7">
                  <c:v>917.43995252537093</c:v>
                </c:pt>
                <c:pt idx="8">
                  <c:v>917.2150014364679</c:v>
                </c:pt>
                <c:pt idx="9">
                  <c:v>916.99005034756465</c:v>
                </c:pt>
                <c:pt idx="10">
                  <c:v>916.76509925866162</c:v>
                </c:pt>
                <c:pt idx="11">
                  <c:v>916.54014816975837</c:v>
                </c:pt>
                <c:pt idx="12">
                  <c:v>916.31519708085534</c:v>
                </c:pt>
                <c:pt idx="13">
                  <c:v>916.09024599195209</c:v>
                </c:pt>
                <c:pt idx="14">
                  <c:v>915.86529490304906</c:v>
                </c:pt>
                <c:pt idx="15">
                  <c:v>915.64034381414581</c:v>
                </c:pt>
                <c:pt idx="16">
                  <c:v>915.41539272524278</c:v>
                </c:pt>
                <c:pt idx="17">
                  <c:v>915.19044163633953</c:v>
                </c:pt>
                <c:pt idx="18">
                  <c:v>914.9654905474365</c:v>
                </c:pt>
                <c:pt idx="19">
                  <c:v>914.74053945853325</c:v>
                </c:pt>
                <c:pt idx="20">
                  <c:v>914.51558836963022</c:v>
                </c:pt>
                <c:pt idx="21">
                  <c:v>914.29063728072697</c:v>
                </c:pt>
                <c:pt idx="22">
                  <c:v>914.25723204402493</c:v>
                </c:pt>
                <c:pt idx="23">
                  <c:v>913.10402028676322</c:v>
                </c:pt>
                <c:pt idx="24">
                  <c:v>912.89177893438318</c:v>
                </c:pt>
                <c:pt idx="25">
                  <c:v>911.85093024602838</c:v>
                </c:pt>
                <c:pt idx="26">
                  <c:v>911.70100034527445</c:v>
                </c:pt>
                <c:pt idx="27">
                  <c:v>911.2885525237707</c:v>
                </c:pt>
                <c:pt idx="28">
                  <c:v>910.96023640951648</c:v>
                </c:pt>
                <c:pt idx="29">
                  <c:v>910.82672793825259</c:v>
                </c:pt>
                <c:pt idx="30">
                  <c:v>910.77386443236037</c:v>
                </c:pt>
                <c:pt idx="31">
                  <c:v>910.73562274724668</c:v>
                </c:pt>
                <c:pt idx="32">
                  <c:v>910.73562274724668</c:v>
                </c:pt>
                <c:pt idx="33">
                  <c:v>867.35173075528542</c:v>
                </c:pt>
                <c:pt idx="34">
                  <c:v>858.65173075528537</c:v>
                </c:pt>
                <c:pt idx="35">
                  <c:v>757.55</c:v>
                </c:pt>
                <c:pt idx="36">
                  <c:v>757.55</c:v>
                </c:pt>
                <c:pt idx="37">
                  <c:v>754.23</c:v>
                </c:pt>
                <c:pt idx="38">
                  <c:v>753.25</c:v>
                </c:pt>
                <c:pt idx="39">
                  <c:v>753.14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46-4351-B872-92B77492B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749008"/>
        <c:axId val="1947741392"/>
      </c:scatterChart>
      <c:valAx>
        <c:axId val="1947749008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="1">
                    <a:solidFill>
                      <a:schemeClr val="tx1"/>
                    </a:solidFill>
                  </a:rPr>
                  <a:t>Distancia [</a:t>
                </a:r>
                <a:r>
                  <a:rPr lang="es-CL" b="1" baseline="0">
                    <a:solidFill>
                      <a:schemeClr val="tx1"/>
                    </a:solidFill>
                  </a:rPr>
                  <a:t>m]</a:t>
                </a:r>
                <a:endParaRPr lang="es-CL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741392"/>
        <c:crosses val="autoZero"/>
        <c:crossBetween val="midCat"/>
      </c:valAx>
      <c:valAx>
        <c:axId val="1947741392"/>
        <c:scaling>
          <c:orientation val="minMax"/>
          <c:min val="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="1">
                    <a:solidFill>
                      <a:schemeClr val="tx1"/>
                    </a:solidFill>
                  </a:rPr>
                  <a:t>Elevación [m.s.n.m.]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74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41652589845899"/>
          <c:y val="0.94368459465039145"/>
          <c:w val="0.6207957825014826"/>
          <c:h val="4.4006090687664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Patm!$E$2:$E$3</c:f>
              <c:strCache>
                <c:ptCount val="2"/>
                <c:pt idx="0">
                  <c:v>Presión Atmosférica</c:v>
                </c:pt>
                <c:pt idx="1">
                  <c:v>(mca)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-0.51580391160782324"/>
                  <c:y val="-0.1105119975523904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Patm!$A$4:$A$59</c:f>
              <c:numCache>
                <c:formatCode>General</c:formatCode>
                <c:ptCount val="5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</c:numCache>
            </c:numRef>
          </c:xVal>
          <c:yVal>
            <c:numRef>
              <c:f>Patm!$E$4:$E$59</c:f>
              <c:numCache>
                <c:formatCode>General</c:formatCode>
                <c:ptCount val="56"/>
                <c:pt idx="0">
                  <c:v>10.3</c:v>
                </c:pt>
                <c:pt idx="1">
                  <c:v>10.199999999999999</c:v>
                </c:pt>
                <c:pt idx="2">
                  <c:v>10.1</c:v>
                </c:pt>
                <c:pt idx="3">
                  <c:v>10</c:v>
                </c:pt>
                <c:pt idx="4">
                  <c:v>9.9</c:v>
                </c:pt>
                <c:pt idx="5">
                  <c:v>9.8000000000000007</c:v>
                </c:pt>
                <c:pt idx="6">
                  <c:v>9.6999999999999993</c:v>
                </c:pt>
                <c:pt idx="7">
                  <c:v>9.6</c:v>
                </c:pt>
                <c:pt idx="8">
                  <c:v>9.5</c:v>
                </c:pt>
                <c:pt idx="9">
                  <c:v>9.4</c:v>
                </c:pt>
                <c:pt idx="10">
                  <c:v>9.3000000000000007</c:v>
                </c:pt>
                <c:pt idx="11">
                  <c:v>9.1</c:v>
                </c:pt>
                <c:pt idx="12">
                  <c:v>9</c:v>
                </c:pt>
                <c:pt idx="13">
                  <c:v>8.9</c:v>
                </c:pt>
                <c:pt idx="14">
                  <c:v>8.8000000000000007</c:v>
                </c:pt>
                <c:pt idx="15">
                  <c:v>8.6999999999999993</c:v>
                </c:pt>
                <c:pt idx="16">
                  <c:v>8.6</c:v>
                </c:pt>
                <c:pt idx="17">
                  <c:v>8.5</c:v>
                </c:pt>
                <c:pt idx="18">
                  <c:v>8.4</c:v>
                </c:pt>
                <c:pt idx="19">
                  <c:v>8.3000000000000007</c:v>
                </c:pt>
                <c:pt idx="20">
                  <c:v>8.1999999999999993</c:v>
                </c:pt>
                <c:pt idx="21">
                  <c:v>8.1</c:v>
                </c:pt>
                <c:pt idx="22">
                  <c:v>8</c:v>
                </c:pt>
                <c:pt idx="23">
                  <c:v>7.9</c:v>
                </c:pt>
                <c:pt idx="24">
                  <c:v>7.8</c:v>
                </c:pt>
                <c:pt idx="25">
                  <c:v>7.6</c:v>
                </c:pt>
                <c:pt idx="26">
                  <c:v>7.5</c:v>
                </c:pt>
                <c:pt idx="27">
                  <c:v>7.4</c:v>
                </c:pt>
                <c:pt idx="28">
                  <c:v>7.3</c:v>
                </c:pt>
                <c:pt idx="29">
                  <c:v>7.2</c:v>
                </c:pt>
                <c:pt idx="30">
                  <c:v>7.1</c:v>
                </c:pt>
                <c:pt idx="31">
                  <c:v>7</c:v>
                </c:pt>
                <c:pt idx="32">
                  <c:v>6.9</c:v>
                </c:pt>
                <c:pt idx="33">
                  <c:v>6.8</c:v>
                </c:pt>
                <c:pt idx="34">
                  <c:v>6.7</c:v>
                </c:pt>
                <c:pt idx="35">
                  <c:v>6.6</c:v>
                </c:pt>
                <c:pt idx="36">
                  <c:v>6.5</c:v>
                </c:pt>
                <c:pt idx="37">
                  <c:v>6.4</c:v>
                </c:pt>
                <c:pt idx="38">
                  <c:v>6.2</c:v>
                </c:pt>
                <c:pt idx="39">
                  <c:v>6.1</c:v>
                </c:pt>
                <c:pt idx="40">
                  <c:v>6</c:v>
                </c:pt>
                <c:pt idx="41">
                  <c:v>5.9</c:v>
                </c:pt>
                <c:pt idx="42">
                  <c:v>5.8</c:v>
                </c:pt>
                <c:pt idx="43">
                  <c:v>5.7</c:v>
                </c:pt>
                <c:pt idx="44">
                  <c:v>5.6</c:v>
                </c:pt>
                <c:pt idx="45">
                  <c:v>5.5</c:v>
                </c:pt>
                <c:pt idx="46">
                  <c:v>5.4</c:v>
                </c:pt>
                <c:pt idx="47">
                  <c:v>5.3</c:v>
                </c:pt>
                <c:pt idx="48">
                  <c:v>5.2</c:v>
                </c:pt>
                <c:pt idx="49">
                  <c:v>5.0999999999999996</c:v>
                </c:pt>
                <c:pt idx="50">
                  <c:v>5</c:v>
                </c:pt>
                <c:pt idx="51">
                  <c:v>4.8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4.4000000000000004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F1-4156-94C0-41F8A5766F09}"/>
            </c:ext>
          </c:extLst>
        </c:ser>
        <c:ser>
          <c:idx val="1"/>
          <c:order val="1"/>
          <c:tx>
            <c:strRef>
              <c:f>Patm!$A$2</c:f>
              <c:strCache>
                <c:ptCount val="1"/>
                <c:pt idx="0">
                  <c:v>Presión Atmosférica</c:v>
                </c:pt>
              </c:strCache>
            </c:strRef>
          </c:tx>
          <c:trendline>
            <c:trendlineType val="log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6.2040470747608163E-2"/>
                  <c:y val="-0.266870339944134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Patm!$A$4:$A$59</c:f>
              <c:numCache>
                <c:formatCode>General</c:formatCode>
                <c:ptCount val="5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</c:numCache>
            </c:numRef>
          </c:xVal>
          <c:yVal>
            <c:numRef>
              <c:f>Patm!$B$4:$B$59</c:f>
              <c:numCache>
                <c:formatCode>General</c:formatCode>
                <c:ptCount val="56"/>
                <c:pt idx="0">
                  <c:v>101.3</c:v>
                </c:pt>
                <c:pt idx="1">
                  <c:v>100.3</c:v>
                </c:pt>
                <c:pt idx="2">
                  <c:v>99.2</c:v>
                </c:pt>
                <c:pt idx="3">
                  <c:v>98.2</c:v>
                </c:pt>
                <c:pt idx="4">
                  <c:v>97.1</c:v>
                </c:pt>
                <c:pt idx="5">
                  <c:v>96.1</c:v>
                </c:pt>
                <c:pt idx="6">
                  <c:v>95</c:v>
                </c:pt>
                <c:pt idx="7">
                  <c:v>93.9</c:v>
                </c:pt>
                <c:pt idx="8">
                  <c:v>92.9</c:v>
                </c:pt>
                <c:pt idx="9">
                  <c:v>91.8</c:v>
                </c:pt>
                <c:pt idx="10">
                  <c:v>90.8</c:v>
                </c:pt>
                <c:pt idx="11">
                  <c:v>89.7</c:v>
                </c:pt>
                <c:pt idx="12">
                  <c:v>88.7</c:v>
                </c:pt>
                <c:pt idx="13">
                  <c:v>87.6</c:v>
                </c:pt>
                <c:pt idx="14">
                  <c:v>86.6</c:v>
                </c:pt>
                <c:pt idx="15">
                  <c:v>85.5</c:v>
                </c:pt>
                <c:pt idx="16">
                  <c:v>84.4</c:v>
                </c:pt>
                <c:pt idx="17">
                  <c:v>83.4</c:v>
                </c:pt>
                <c:pt idx="18">
                  <c:v>82.3</c:v>
                </c:pt>
                <c:pt idx="19">
                  <c:v>81.3</c:v>
                </c:pt>
                <c:pt idx="20">
                  <c:v>80.2</c:v>
                </c:pt>
                <c:pt idx="21">
                  <c:v>79.2</c:v>
                </c:pt>
                <c:pt idx="22">
                  <c:v>78.099999999999994</c:v>
                </c:pt>
                <c:pt idx="23">
                  <c:v>77.099999999999994</c:v>
                </c:pt>
                <c:pt idx="24">
                  <c:v>76</c:v>
                </c:pt>
                <c:pt idx="25">
                  <c:v>75</c:v>
                </c:pt>
                <c:pt idx="26">
                  <c:v>73.900000000000006</c:v>
                </c:pt>
                <c:pt idx="27">
                  <c:v>72.8</c:v>
                </c:pt>
                <c:pt idx="28">
                  <c:v>71.8</c:v>
                </c:pt>
                <c:pt idx="29">
                  <c:v>70.7</c:v>
                </c:pt>
                <c:pt idx="30">
                  <c:v>69.7</c:v>
                </c:pt>
                <c:pt idx="31">
                  <c:v>68.599999999999994</c:v>
                </c:pt>
                <c:pt idx="32">
                  <c:v>67.599999999999994</c:v>
                </c:pt>
                <c:pt idx="33">
                  <c:v>66.5</c:v>
                </c:pt>
                <c:pt idx="34">
                  <c:v>65.5</c:v>
                </c:pt>
                <c:pt idx="35">
                  <c:v>64.400000000000006</c:v>
                </c:pt>
                <c:pt idx="36">
                  <c:v>63.3</c:v>
                </c:pt>
                <c:pt idx="37">
                  <c:v>62.3</c:v>
                </c:pt>
                <c:pt idx="38">
                  <c:v>61.2</c:v>
                </c:pt>
                <c:pt idx="39">
                  <c:v>60.2</c:v>
                </c:pt>
                <c:pt idx="40">
                  <c:v>59.1</c:v>
                </c:pt>
                <c:pt idx="41">
                  <c:v>58.1</c:v>
                </c:pt>
                <c:pt idx="42">
                  <c:v>57</c:v>
                </c:pt>
                <c:pt idx="43">
                  <c:v>56</c:v>
                </c:pt>
                <c:pt idx="44">
                  <c:v>54.9</c:v>
                </c:pt>
                <c:pt idx="45">
                  <c:v>53.9</c:v>
                </c:pt>
                <c:pt idx="46">
                  <c:v>52.8</c:v>
                </c:pt>
                <c:pt idx="47">
                  <c:v>51.7</c:v>
                </c:pt>
                <c:pt idx="48">
                  <c:v>50.7</c:v>
                </c:pt>
                <c:pt idx="49">
                  <c:v>49.6</c:v>
                </c:pt>
                <c:pt idx="50">
                  <c:v>48.6</c:v>
                </c:pt>
                <c:pt idx="51">
                  <c:v>47.5</c:v>
                </c:pt>
                <c:pt idx="52">
                  <c:v>46.5</c:v>
                </c:pt>
                <c:pt idx="53">
                  <c:v>45.4</c:v>
                </c:pt>
                <c:pt idx="54">
                  <c:v>44.4</c:v>
                </c:pt>
                <c:pt idx="55">
                  <c:v>43.3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F1-4156-94C0-41F8A5766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748464"/>
        <c:axId val="1947727248"/>
      </c:scatterChart>
      <c:valAx>
        <c:axId val="194774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7727248"/>
        <c:crosses val="autoZero"/>
        <c:crossBetween val="midCat"/>
      </c:valAx>
      <c:valAx>
        <c:axId val="194772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77484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Acero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Desgaste!$A$8:$A$12</c:f>
              <c:numCache>
                <c:formatCode>General</c:formatCode>
                <c:ptCount val="5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Desgaste!$B$8:$B$12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30</c:v>
                </c:pt>
                <c:pt idx="4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E-4C68-844E-9CD3885D8878}"/>
            </c:ext>
          </c:extLst>
        </c:ser>
        <c:ser>
          <c:idx val="1"/>
          <c:order val="1"/>
          <c:tx>
            <c:v>HDPE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Desgaste!$A$8:$A$12</c:f>
              <c:numCache>
                <c:formatCode>General</c:formatCode>
                <c:ptCount val="5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Desgaste!$C$8:$C$12</c:f>
              <c:numCache>
                <c:formatCode>General</c:formatCode>
                <c:ptCount val="5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20</c:v>
                </c:pt>
                <c:pt idx="4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7E-4C68-844E-9CD3885D8878}"/>
            </c:ext>
          </c:extLst>
        </c:ser>
        <c:ser>
          <c:idx val="2"/>
          <c:order val="2"/>
          <c:tx>
            <c:v>Goma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Desgaste!$A$8:$A$12</c:f>
              <c:numCache>
                <c:formatCode>General</c:formatCode>
                <c:ptCount val="5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Desgaste!$D$8:$D$12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0.15</c:v>
                </c:pt>
                <c:pt idx="3">
                  <c:v>7</c:v>
                </c:pt>
                <c:pt idx="4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7E-4C68-844E-9CD3885D8878}"/>
            </c:ext>
          </c:extLst>
        </c:ser>
        <c:ser>
          <c:idx val="3"/>
          <c:order val="3"/>
          <c:tx>
            <c:v>Poliuretano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Desgaste!$A$8:$A$12</c:f>
              <c:numCache>
                <c:formatCode>General</c:formatCode>
                <c:ptCount val="5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Desgaste!$E$8:$E$12</c:f>
              <c:numCache>
                <c:formatCode>General</c:formatCode>
                <c:ptCount val="5"/>
                <c:pt idx="0">
                  <c:v>0.05</c:v>
                </c:pt>
                <c:pt idx="1">
                  <c:v>0.06</c:v>
                </c:pt>
                <c:pt idx="2">
                  <c:v>0.08</c:v>
                </c:pt>
                <c:pt idx="3">
                  <c:v>0.7</c:v>
                </c:pt>
                <c:pt idx="4">
                  <c:v>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7E-4C68-844E-9CD3885D8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739216"/>
        <c:axId val="1947737040"/>
      </c:scatterChart>
      <c:valAx>
        <c:axId val="194773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737040"/>
        <c:crosses val="autoZero"/>
        <c:crossBetween val="midCat"/>
      </c:valAx>
      <c:valAx>
        <c:axId val="19477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73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T2+T3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Hoja1!$I$3:$I$46</c:f>
              <c:numCache>
                <c:formatCode>0.0</c:formatCode>
                <c:ptCount val="44"/>
                <c:pt idx="7">
                  <c:v>0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100</c:v>
                </c:pt>
                <c:pt idx="13">
                  <c:v>120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220</c:v>
                </c:pt>
                <c:pt idx="19">
                  <c:v>240</c:v>
                </c:pt>
                <c:pt idx="20">
                  <c:v>260</c:v>
                </c:pt>
                <c:pt idx="21">
                  <c:v>280</c:v>
                </c:pt>
                <c:pt idx="22">
                  <c:v>300</c:v>
                </c:pt>
                <c:pt idx="23">
                  <c:v>320</c:v>
                </c:pt>
                <c:pt idx="24">
                  <c:v>340</c:v>
                </c:pt>
                <c:pt idx="25">
                  <c:v>360</c:v>
                </c:pt>
                <c:pt idx="26">
                  <c:v>380</c:v>
                </c:pt>
                <c:pt idx="27">
                  <c:v>400</c:v>
                </c:pt>
                <c:pt idx="28">
                  <c:v>420</c:v>
                </c:pt>
                <c:pt idx="29">
                  <c:v>422.96999999999997</c:v>
                </c:pt>
                <c:pt idx="30">
                  <c:v>525.5</c:v>
                </c:pt>
                <c:pt idx="31">
                  <c:v>544.37</c:v>
                </c:pt>
                <c:pt idx="32">
                  <c:v>636.91</c:v>
                </c:pt>
                <c:pt idx="33">
                  <c:v>650.24</c:v>
                </c:pt>
                <c:pt idx="34">
                  <c:v>686.91</c:v>
                </c:pt>
                <c:pt idx="35">
                  <c:v>716.09999999999991</c:v>
                </c:pt>
                <c:pt idx="36">
                  <c:v>727.97</c:v>
                </c:pt>
                <c:pt idx="37">
                  <c:v>732.67</c:v>
                </c:pt>
                <c:pt idx="38">
                  <c:v>736.06999999999994</c:v>
                </c:pt>
                <c:pt idx="39">
                  <c:v>740.46999999999991</c:v>
                </c:pt>
                <c:pt idx="40">
                  <c:v>743.51</c:v>
                </c:pt>
                <c:pt idx="41">
                  <c:v>776.56999999999994</c:v>
                </c:pt>
                <c:pt idx="42">
                  <c:v>776.84999999999991</c:v>
                </c:pt>
                <c:pt idx="43">
                  <c:v>799.31</c:v>
                </c:pt>
              </c:numCache>
            </c:numRef>
          </c:xVal>
          <c:yVal>
            <c:numRef>
              <c:f>Hoja1!$J$3:$J$46</c:f>
              <c:numCache>
                <c:formatCode>0.0</c:formatCode>
                <c:ptCount val="44"/>
                <c:pt idx="7">
                  <c:v>812</c:v>
                </c:pt>
                <c:pt idx="8">
                  <c:v>811.78</c:v>
                </c:pt>
                <c:pt idx="9">
                  <c:v>811.56</c:v>
                </c:pt>
                <c:pt idx="10">
                  <c:v>811.34</c:v>
                </c:pt>
                <c:pt idx="11">
                  <c:v>811.12</c:v>
                </c:pt>
                <c:pt idx="12">
                  <c:v>810.9</c:v>
                </c:pt>
                <c:pt idx="13">
                  <c:v>810.68</c:v>
                </c:pt>
                <c:pt idx="14">
                  <c:v>810.46</c:v>
                </c:pt>
                <c:pt idx="15">
                  <c:v>810.24</c:v>
                </c:pt>
                <c:pt idx="16">
                  <c:v>810.02</c:v>
                </c:pt>
                <c:pt idx="17">
                  <c:v>809.8</c:v>
                </c:pt>
                <c:pt idx="18">
                  <c:v>809.58</c:v>
                </c:pt>
                <c:pt idx="19">
                  <c:v>809.36</c:v>
                </c:pt>
                <c:pt idx="20">
                  <c:v>809.14</c:v>
                </c:pt>
                <c:pt idx="21">
                  <c:v>807.89</c:v>
                </c:pt>
                <c:pt idx="22">
                  <c:v>802.89</c:v>
                </c:pt>
                <c:pt idx="23">
                  <c:v>802.55</c:v>
                </c:pt>
                <c:pt idx="24">
                  <c:v>802.35</c:v>
                </c:pt>
                <c:pt idx="25">
                  <c:v>802.15</c:v>
                </c:pt>
                <c:pt idx="26">
                  <c:v>800.78</c:v>
                </c:pt>
                <c:pt idx="27">
                  <c:v>793.15</c:v>
                </c:pt>
                <c:pt idx="28">
                  <c:v>784.99</c:v>
                </c:pt>
                <c:pt idx="29">
                  <c:v>783.1</c:v>
                </c:pt>
                <c:pt idx="30">
                  <c:v>782.08</c:v>
                </c:pt>
                <c:pt idx="31">
                  <c:v>773.99</c:v>
                </c:pt>
                <c:pt idx="32">
                  <c:v>773.06</c:v>
                </c:pt>
                <c:pt idx="33">
                  <c:v>770.35</c:v>
                </c:pt>
                <c:pt idx="34">
                  <c:v>769.98</c:v>
                </c:pt>
                <c:pt idx="35">
                  <c:v>763.58</c:v>
                </c:pt>
                <c:pt idx="36">
                  <c:v>757.55</c:v>
                </c:pt>
                <c:pt idx="37">
                  <c:v>757.55</c:v>
                </c:pt>
                <c:pt idx="38">
                  <c:v>757.55</c:v>
                </c:pt>
                <c:pt idx="39">
                  <c:v>757.55</c:v>
                </c:pt>
                <c:pt idx="40">
                  <c:v>757.55</c:v>
                </c:pt>
                <c:pt idx="41">
                  <c:v>754.23</c:v>
                </c:pt>
                <c:pt idx="42">
                  <c:v>753.25</c:v>
                </c:pt>
                <c:pt idx="43">
                  <c:v>753.14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C-4945-B3A1-3B750854A104}"/>
            </c:ext>
          </c:extLst>
        </c:ser>
        <c:ser>
          <c:idx val="1"/>
          <c:order val="1"/>
          <c:tx>
            <c:v>T1+T2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Hoja1!$L$3:$L$46</c:f>
              <c:numCache>
                <c:formatCode>0.0</c:formatCode>
                <c:ptCount val="44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734.98</c:v>
                </c:pt>
                <c:pt idx="38">
                  <c:v>734.98</c:v>
                </c:pt>
                <c:pt idx="39">
                  <c:v>734.98</c:v>
                </c:pt>
                <c:pt idx="40">
                  <c:v>760</c:v>
                </c:pt>
                <c:pt idx="41">
                  <c:v>780</c:v>
                </c:pt>
                <c:pt idx="42">
                  <c:v>799.31</c:v>
                </c:pt>
                <c:pt idx="43">
                  <c:v>799.31</c:v>
                </c:pt>
              </c:numCache>
            </c:numRef>
          </c:xVal>
          <c:yVal>
            <c:numRef>
              <c:f>Hoja1!$M$3:$M$46</c:f>
              <c:numCache>
                <c:formatCode>0.0</c:formatCode>
                <c:ptCount val="44"/>
                <c:pt idx="0">
                  <c:v>812</c:v>
                </c:pt>
                <c:pt idx="1">
                  <c:v>811.78</c:v>
                </c:pt>
                <c:pt idx="2">
                  <c:v>811.56</c:v>
                </c:pt>
                <c:pt idx="3">
                  <c:v>811.34</c:v>
                </c:pt>
                <c:pt idx="4">
                  <c:v>811.12</c:v>
                </c:pt>
                <c:pt idx="5">
                  <c:v>810.9</c:v>
                </c:pt>
                <c:pt idx="6">
                  <c:v>810.68</c:v>
                </c:pt>
                <c:pt idx="7">
                  <c:v>810.46</c:v>
                </c:pt>
                <c:pt idx="8">
                  <c:v>810.24</c:v>
                </c:pt>
                <c:pt idx="9">
                  <c:v>810.02</c:v>
                </c:pt>
                <c:pt idx="10">
                  <c:v>809.8</c:v>
                </c:pt>
                <c:pt idx="11">
                  <c:v>809.58</c:v>
                </c:pt>
                <c:pt idx="12">
                  <c:v>809.36</c:v>
                </c:pt>
                <c:pt idx="13">
                  <c:v>809.14</c:v>
                </c:pt>
                <c:pt idx="14">
                  <c:v>807.89</c:v>
                </c:pt>
                <c:pt idx="15">
                  <c:v>802.89</c:v>
                </c:pt>
                <c:pt idx="16">
                  <c:v>802.55</c:v>
                </c:pt>
                <c:pt idx="17">
                  <c:v>802.35</c:v>
                </c:pt>
                <c:pt idx="18">
                  <c:v>802.15</c:v>
                </c:pt>
                <c:pt idx="19">
                  <c:v>800.78</c:v>
                </c:pt>
                <c:pt idx="20">
                  <c:v>793.15</c:v>
                </c:pt>
                <c:pt idx="21">
                  <c:v>784.99</c:v>
                </c:pt>
                <c:pt idx="22">
                  <c:v>782.93</c:v>
                </c:pt>
                <c:pt idx="23">
                  <c:v>782.73</c:v>
                </c:pt>
                <c:pt idx="24">
                  <c:v>782.53</c:v>
                </c:pt>
                <c:pt idx="25">
                  <c:v>782.33</c:v>
                </c:pt>
                <c:pt idx="26">
                  <c:v>782.08</c:v>
                </c:pt>
                <c:pt idx="27">
                  <c:v>775.98</c:v>
                </c:pt>
                <c:pt idx="28">
                  <c:v>773.83</c:v>
                </c:pt>
                <c:pt idx="29">
                  <c:v>773.63</c:v>
                </c:pt>
                <c:pt idx="30">
                  <c:v>773.43</c:v>
                </c:pt>
                <c:pt idx="31">
                  <c:v>773.23</c:v>
                </c:pt>
                <c:pt idx="32">
                  <c:v>772.4</c:v>
                </c:pt>
                <c:pt idx="33">
                  <c:v>770.25</c:v>
                </c:pt>
                <c:pt idx="34">
                  <c:v>769.99</c:v>
                </c:pt>
                <c:pt idx="35">
                  <c:v>767.11</c:v>
                </c:pt>
                <c:pt idx="36">
                  <c:v>761.59</c:v>
                </c:pt>
                <c:pt idx="37">
                  <c:v>757.55</c:v>
                </c:pt>
                <c:pt idx="38">
                  <c:v>757.55</c:v>
                </c:pt>
                <c:pt idx="39">
                  <c:v>757.55</c:v>
                </c:pt>
                <c:pt idx="40">
                  <c:v>755.89</c:v>
                </c:pt>
                <c:pt idx="41">
                  <c:v>753.24</c:v>
                </c:pt>
                <c:pt idx="42">
                  <c:v>753.14</c:v>
                </c:pt>
                <c:pt idx="43">
                  <c:v>753.14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C-4945-B3A1-3B750854A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752272"/>
        <c:axId val="1947737584"/>
      </c:scatterChart>
      <c:valAx>
        <c:axId val="194775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737584"/>
        <c:crosses val="autoZero"/>
        <c:crossBetween val="midCat"/>
      </c:valAx>
      <c:valAx>
        <c:axId val="19477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75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413091</xdr:colOff>
      <xdr:row>73</xdr:row>
      <xdr:rowOff>75853</xdr:rowOff>
    </xdr:from>
    <xdr:to>
      <xdr:col>41</xdr:col>
      <xdr:colOff>214312</xdr:colOff>
      <xdr:row>118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</xdr:row>
      <xdr:rowOff>47625</xdr:rowOff>
    </xdr:from>
    <xdr:to>
      <xdr:col>13</xdr:col>
      <xdr:colOff>209550</xdr:colOff>
      <xdr:row>17</xdr:row>
      <xdr:rowOff>28575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231322</xdr:colOff>
      <xdr:row>15</xdr:row>
      <xdr:rowOff>50346</xdr:rowOff>
    </xdr:from>
    <xdr:to>
      <xdr:col>6</xdr:col>
      <xdr:colOff>47624</xdr:colOff>
      <xdr:row>40</xdr:row>
      <xdr:rowOff>81642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22</xdr:row>
      <xdr:rowOff>23812</xdr:rowOff>
    </xdr:from>
    <xdr:to>
      <xdr:col>6</xdr:col>
      <xdr:colOff>161925</xdr:colOff>
      <xdr:row>36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ANUAL\MOLINOS\Molin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zocar/Documents/BOMBA%20DE%20AGUA%20(05-07-2012)/corregido%20Ignacio%20E/Camaro/Proyectos/500/591/ACTUAL%20BIOCOBRE-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zocar/Documents/BOMBA%20DE%20AGUA%20(05-07-2012)/corregido%20Ignacio%20E/Documents%20and%20Settings/Usuario/Mis%20documentos/Claudia%20Amaro/Proyectos/500/591/PROY%20BIOCOBRE-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a/Desktop/BPI12021/BPI12021%20-%20SS%20-%20Acero%20D2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carc44235\My%20Documents\Carlos%20C&#225;rcamo\Los%20Bronces\Los%20Bronces%20(en%20trabajo)\Curvas%20Cin&#233;ticas\Recuperaci&#243;n-curv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ras"/>
      <sheetName val="Bolas"/>
      <sheetName val="Kwh Ton"/>
      <sheetName val="Gr Kwh"/>
      <sheetName val="Gr Ton"/>
      <sheetName val="Molin2003"/>
      <sheetName val="Barras Grt"/>
      <sheetName val="Barras GrKw"/>
      <sheetName val="ENER-SABO"/>
      <sheetName val="ENER-Molycop"/>
      <sheetName val="ENERG-51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 xml:space="preserve"> </v>
          </cell>
        </row>
        <row r="6">
          <cell r="A6" t="str">
            <v xml:space="preserve">ENERO  </v>
          </cell>
          <cell r="E6">
            <v>269.35669155657666</v>
          </cell>
        </row>
        <row r="7">
          <cell r="A7" t="str">
            <v xml:space="preserve">FEBRERO </v>
          </cell>
          <cell r="E7">
            <v>270.78416268679712</v>
          </cell>
        </row>
        <row r="8">
          <cell r="A8" t="str">
            <v>MARZO</v>
          </cell>
          <cell r="E8">
            <v>263.74588639290312</v>
          </cell>
        </row>
        <row r="9">
          <cell r="A9" t="str">
            <v xml:space="preserve">ABRIL </v>
          </cell>
        </row>
        <row r="10">
          <cell r="A10" t="str">
            <v xml:space="preserve">MAYO    </v>
          </cell>
        </row>
        <row r="11">
          <cell r="A11" t="str">
            <v xml:space="preserve">JUNIO </v>
          </cell>
        </row>
        <row r="12">
          <cell r="A12" t="str">
            <v xml:space="preserve">JULIO  </v>
          </cell>
        </row>
        <row r="13">
          <cell r="A13" t="str">
            <v>AGOSTO</v>
          </cell>
        </row>
        <row r="14">
          <cell r="A14" t="str">
            <v>SEPTIEMBRE</v>
          </cell>
        </row>
        <row r="15">
          <cell r="A15" t="str">
            <v>OCTUBRE</v>
          </cell>
        </row>
        <row r="16">
          <cell r="A16" t="str">
            <v>NOVIEMBRE</v>
          </cell>
        </row>
        <row r="17">
          <cell r="A17" t="str">
            <v xml:space="preserve">DICIEMBRE </v>
          </cell>
        </row>
        <row r="67">
          <cell r="A67" t="str">
            <v xml:space="preserve">ENERO  </v>
          </cell>
          <cell r="E67">
            <v>274.72936496661458</v>
          </cell>
        </row>
        <row r="68">
          <cell r="A68" t="str">
            <v xml:space="preserve">FEBRERO </v>
          </cell>
          <cell r="E68">
            <v>275.13106871413061</v>
          </cell>
        </row>
        <row r="69">
          <cell r="A69" t="str">
            <v>MARZO</v>
          </cell>
          <cell r="E69">
            <v>264.90617390058731</v>
          </cell>
        </row>
        <row r="70">
          <cell r="A70" t="str">
            <v xml:space="preserve">ABRIL </v>
          </cell>
        </row>
        <row r="71">
          <cell r="A71" t="str">
            <v xml:space="preserve">MAYO    </v>
          </cell>
        </row>
        <row r="72">
          <cell r="A72" t="str">
            <v xml:space="preserve">JUNIO </v>
          </cell>
        </row>
        <row r="73">
          <cell r="A73" t="str">
            <v xml:space="preserve">JULIO  </v>
          </cell>
        </row>
        <row r="74">
          <cell r="A74" t="str">
            <v>AGOSTO</v>
          </cell>
        </row>
        <row r="75">
          <cell r="A75" t="str">
            <v>SEPTIEMBRE</v>
          </cell>
        </row>
        <row r="76">
          <cell r="A76" t="str">
            <v>OCTUBRE</v>
          </cell>
        </row>
        <row r="77">
          <cell r="A77" t="str">
            <v>NOVIEMBRE</v>
          </cell>
        </row>
        <row r="78">
          <cell r="A78" t="str">
            <v xml:space="preserve">DICIEMBRE </v>
          </cell>
        </row>
        <row r="127">
          <cell r="E127">
            <v>266.018963858733</v>
          </cell>
        </row>
        <row r="128">
          <cell r="E128">
            <v>274.33637747336377</v>
          </cell>
        </row>
        <row r="129">
          <cell r="E129">
            <v>264.37187366014007</v>
          </cell>
        </row>
        <row r="187">
          <cell r="E187">
            <v>278.45976680581543</v>
          </cell>
        </row>
        <row r="188">
          <cell r="E188">
            <v>277.55083320593178</v>
          </cell>
        </row>
        <row r="189">
          <cell r="E189">
            <v>270.6520501138952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ROM"/>
      <sheetName val="Bce-A"/>
      <sheetName val="Bce-A (2)"/>
      <sheetName val="H-1°-A"/>
      <sheetName val="H-2°-A"/>
      <sheetName val="H-3°-A"/>
      <sheetName val="Chanc-A"/>
    </sheetNames>
    <sheetDataSet>
      <sheetData sheetId="0"/>
      <sheetData sheetId="1"/>
      <sheetData sheetId="2" refreshError="1">
        <row r="1">
          <cell r="A1" t="str">
            <v>BALANCE DE MASA ACTUAL CIRCUITO DE CHANCADO</v>
          </cell>
        </row>
        <row r="2">
          <cell r="A2" t="str">
            <v>PLANTA BIOCOBRE</v>
          </cell>
        </row>
        <row r="3">
          <cell r="C3" t="str">
            <v>Circuito Chancado Primario</v>
          </cell>
          <cell r="M3" t="str">
            <v xml:space="preserve">Circuito Chancado Secundario </v>
          </cell>
        </row>
        <row r="4">
          <cell r="C4" t="str">
            <v>R.O.M.</v>
          </cell>
          <cell r="E4" t="str">
            <v>Bajo tamaño Grizzly</v>
          </cell>
          <cell r="G4" t="str">
            <v>Sobretamaño Grizzly</v>
          </cell>
          <cell r="I4" t="str">
            <v>Producto Chancador 1°</v>
          </cell>
          <cell r="K4" t="str">
            <v>Producto Circuito Chancado 1°</v>
          </cell>
          <cell r="M4" t="str">
            <v>Alimentación Circuito 2°</v>
          </cell>
          <cell r="O4" t="str">
            <v>Bajo tamaño Grizzly 2°</v>
          </cell>
        </row>
        <row r="5">
          <cell r="C5">
            <v>1</v>
          </cell>
          <cell r="E5">
            <v>2</v>
          </cell>
          <cell r="G5">
            <v>3</v>
          </cell>
          <cell r="I5">
            <v>4</v>
          </cell>
          <cell r="K5">
            <v>5</v>
          </cell>
          <cell r="M5">
            <v>6</v>
          </cell>
          <cell r="O5">
            <v>7</v>
          </cell>
        </row>
        <row r="6">
          <cell r="C6">
            <v>161.03059581320451</v>
          </cell>
          <cell r="E6">
            <v>21.980676328502415</v>
          </cell>
          <cell r="G6">
            <v>139.04991948470209</v>
          </cell>
          <cell r="I6">
            <v>139.04991948470209</v>
          </cell>
          <cell r="K6">
            <v>161.03059581320451</v>
          </cell>
          <cell r="M6">
            <v>116.53529960166118</v>
          </cell>
          <cell r="O6">
            <v>46.614119840664479</v>
          </cell>
        </row>
        <row r="7">
          <cell r="A7" t="str">
            <v>Malla</v>
          </cell>
          <cell r="B7" t="str">
            <v>Tamaño (mm)</v>
          </cell>
          <cell r="C7">
            <v>100</v>
          </cell>
          <cell r="E7">
            <v>100</v>
          </cell>
          <cell r="G7">
            <v>100</v>
          </cell>
          <cell r="I7">
            <v>100</v>
          </cell>
          <cell r="K7">
            <v>100</v>
          </cell>
          <cell r="M7">
            <v>100</v>
          </cell>
          <cell r="O7">
            <v>100</v>
          </cell>
        </row>
        <row r="8">
          <cell r="A8" t="str">
            <v>20"</v>
          </cell>
          <cell r="B8">
            <v>508000</v>
          </cell>
          <cell r="C8">
            <v>100</v>
          </cell>
          <cell r="D8">
            <v>0</v>
          </cell>
          <cell r="E8">
            <v>100.00000000000003</v>
          </cell>
          <cell r="F8">
            <v>0</v>
          </cell>
          <cell r="G8">
            <v>100.00000000000001</v>
          </cell>
          <cell r="H8">
            <v>0</v>
          </cell>
          <cell r="I8">
            <v>100.00000000000001</v>
          </cell>
          <cell r="J8">
            <v>0</v>
          </cell>
          <cell r="K8">
            <v>100</v>
          </cell>
          <cell r="L8">
            <v>0</v>
          </cell>
          <cell r="M8">
            <v>100</v>
          </cell>
          <cell r="N8">
            <v>0</v>
          </cell>
          <cell r="O8">
            <v>100</v>
          </cell>
          <cell r="P8">
            <v>0</v>
          </cell>
        </row>
        <row r="9">
          <cell r="A9" t="str">
            <v>12"</v>
          </cell>
          <cell r="B9">
            <v>304799.99999999994</v>
          </cell>
          <cell r="C9">
            <v>70</v>
          </cell>
          <cell r="D9">
            <v>48.309178743961354</v>
          </cell>
          <cell r="E9">
            <v>100.00000000000003</v>
          </cell>
          <cell r="F9">
            <v>0</v>
          </cell>
          <cell r="G9">
            <v>65.257672264041702</v>
          </cell>
          <cell r="H9">
            <v>48.309178743961354</v>
          </cell>
          <cell r="I9">
            <v>100.00000000000001</v>
          </cell>
          <cell r="J9">
            <v>0</v>
          </cell>
          <cell r="K9">
            <v>100</v>
          </cell>
          <cell r="L9">
            <v>0</v>
          </cell>
          <cell r="M9">
            <v>100</v>
          </cell>
          <cell r="N9">
            <v>0</v>
          </cell>
          <cell r="O9">
            <v>100</v>
          </cell>
          <cell r="P9">
            <v>0</v>
          </cell>
        </row>
        <row r="10">
          <cell r="A10" t="str">
            <v>8"</v>
          </cell>
          <cell r="B10">
            <v>203200</v>
          </cell>
          <cell r="C10">
            <v>47</v>
          </cell>
          <cell r="D10">
            <v>37.037037037037038</v>
          </cell>
          <cell r="E10">
            <v>100.00000000000003</v>
          </cell>
          <cell r="F10">
            <v>0</v>
          </cell>
          <cell r="G10">
            <v>38.621887666473654</v>
          </cell>
          <cell r="H10">
            <v>37.037037037037038</v>
          </cell>
          <cell r="I10">
            <v>100.00000000000001</v>
          </cell>
          <cell r="J10">
            <v>0</v>
          </cell>
          <cell r="K10">
            <v>100</v>
          </cell>
          <cell r="L10">
            <v>0</v>
          </cell>
          <cell r="M10">
            <v>100</v>
          </cell>
          <cell r="N10">
            <v>0</v>
          </cell>
          <cell r="O10">
            <v>100</v>
          </cell>
          <cell r="P10">
            <v>0</v>
          </cell>
        </row>
        <row r="11">
          <cell r="A11" t="str">
            <v>4"</v>
          </cell>
          <cell r="B11">
            <v>101600</v>
          </cell>
          <cell r="C11">
            <v>21</v>
          </cell>
          <cell r="D11">
            <v>41.867954911433173</v>
          </cell>
          <cell r="E11">
            <v>100.00000000000003</v>
          </cell>
          <cell r="F11">
            <v>0</v>
          </cell>
          <cell r="G11">
            <v>8.5118702953097873</v>
          </cell>
          <cell r="H11">
            <v>41.867954911433173</v>
          </cell>
          <cell r="I11">
            <v>100.00000000000001</v>
          </cell>
          <cell r="J11">
            <v>0</v>
          </cell>
          <cell r="K11">
            <v>100</v>
          </cell>
          <cell r="L11">
            <v>0</v>
          </cell>
          <cell r="M11">
            <v>100</v>
          </cell>
          <cell r="N11">
            <v>0</v>
          </cell>
          <cell r="O11">
            <v>100</v>
          </cell>
          <cell r="P11">
            <v>0</v>
          </cell>
        </row>
        <row r="12">
          <cell r="A12" t="str">
            <v>3 1/2"</v>
          </cell>
          <cell r="B12">
            <v>88899.999999999985</v>
          </cell>
          <cell r="C12">
            <v>18</v>
          </cell>
          <cell r="D12">
            <v>4.8309178743961354</v>
          </cell>
          <cell r="E12">
            <v>85.714285714285737</v>
          </cell>
          <cell r="F12">
            <v>3.1400966183574881</v>
          </cell>
          <cell r="G12">
            <v>7.2958888245512465</v>
          </cell>
          <cell r="H12">
            <v>1.6908212560386473</v>
          </cell>
          <cell r="I12">
            <v>97.104806022003487</v>
          </cell>
          <cell r="J12">
            <v>4.0257648953301164</v>
          </cell>
          <cell r="K12">
            <v>95.55</v>
          </cell>
          <cell r="L12">
            <v>7.1658615136876049</v>
          </cell>
          <cell r="M12">
            <v>95.55</v>
          </cell>
          <cell r="N12">
            <v>5.1858208322739259</v>
          </cell>
          <cell r="O12">
            <v>100</v>
          </cell>
          <cell r="P12">
            <v>0</v>
          </cell>
        </row>
        <row r="13">
          <cell r="A13" t="str">
            <v>3"</v>
          </cell>
          <cell r="B13">
            <v>76199.999999999985</v>
          </cell>
          <cell r="C13">
            <v>15</v>
          </cell>
          <cell r="D13">
            <v>4.8309178743961354</v>
          </cell>
          <cell r="E13">
            <v>71.428571428571445</v>
          </cell>
          <cell r="F13">
            <v>3.1400966183574881</v>
          </cell>
          <cell r="G13">
            <v>6.0799073537927057</v>
          </cell>
          <cell r="H13">
            <v>1.6908212560386473</v>
          </cell>
          <cell r="I13">
            <v>94.20961204400696</v>
          </cell>
        </row>
        <row r="14">
          <cell r="A14" t="str">
            <v>2"</v>
          </cell>
          <cell r="B14">
            <v>50800</v>
          </cell>
          <cell r="C14">
            <v>10</v>
          </cell>
          <cell r="D14">
            <v>8.0515297906602257</v>
          </cell>
          <cell r="E14">
            <v>47.619047619047635</v>
          </cell>
          <cell r="F14">
            <v>5.2334943639291467</v>
          </cell>
          <cell r="G14">
            <v>4.0532715691951369</v>
          </cell>
          <cell r="H14">
            <v>2.818035426731079</v>
          </cell>
          <cell r="I14">
            <v>62.767805442964693</v>
          </cell>
        </row>
        <row r="15">
          <cell r="A15" t="str">
            <v>1 1/2"</v>
          </cell>
          <cell r="B15">
            <v>38100</v>
          </cell>
          <cell r="C15">
            <v>7</v>
          </cell>
          <cell r="D15">
            <v>4.8309178743961354</v>
          </cell>
          <cell r="E15">
            <v>33.333333333333343</v>
          </cell>
          <cell r="F15">
            <v>3.1400966183574881</v>
          </cell>
          <cell r="G15">
            <v>2.8372900984365956</v>
          </cell>
          <cell r="H15">
            <v>1.6908212560386473</v>
          </cell>
          <cell r="I15">
            <v>52.634626519976848</v>
          </cell>
        </row>
        <row r="16">
          <cell r="A16" t="str">
            <v>1"</v>
          </cell>
          <cell r="B16">
            <v>25400</v>
          </cell>
          <cell r="C16">
            <v>0</v>
          </cell>
          <cell r="D16">
            <v>11.272141706924318</v>
          </cell>
          <cell r="E16">
            <v>0</v>
          </cell>
          <cell r="F16">
            <v>7.3268921095008066</v>
          </cell>
          <cell r="G16">
            <v>0</v>
          </cell>
          <cell r="H16">
            <v>3.9452495974235111</v>
          </cell>
          <cell r="I16">
            <v>46.323103647944421</v>
          </cell>
        </row>
        <row r="17">
          <cell r="A17" t="str">
            <v>3/4"</v>
          </cell>
          <cell r="B17">
            <v>19050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40.532715691951367</v>
          </cell>
        </row>
        <row r="18">
          <cell r="A18" t="str">
            <v>1/2"</v>
          </cell>
          <cell r="B18">
            <v>12700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33.815865662999421</v>
          </cell>
        </row>
        <row r="19">
          <cell r="A19" t="str">
            <v>3/8"</v>
          </cell>
          <cell r="B19">
            <v>9525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30.11001737116387</v>
          </cell>
        </row>
        <row r="20">
          <cell r="A20" t="str">
            <v>#3</v>
          </cell>
          <cell r="B20">
            <v>6350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25.477707006369428</v>
          </cell>
        </row>
        <row r="21">
          <cell r="A21" t="str">
            <v>#6</v>
          </cell>
          <cell r="B21">
            <v>3350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20.613781123335265</v>
          </cell>
        </row>
        <row r="22">
          <cell r="A22" t="str">
            <v>#10</v>
          </cell>
          <cell r="B22">
            <v>1700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16.213086276780544</v>
          </cell>
        </row>
        <row r="23">
          <cell r="A23" t="str">
            <v>#20</v>
          </cell>
          <cell r="B23">
            <v>850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12.27562246670527</v>
          </cell>
        </row>
        <row r="24">
          <cell r="A24" t="str">
            <v>#35</v>
          </cell>
          <cell r="B24">
            <v>425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8.6855819339895781</v>
          </cell>
        </row>
        <row r="25">
          <cell r="A25" t="str">
            <v>#65</v>
          </cell>
          <cell r="B25">
            <v>212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6.1378112333526351</v>
          </cell>
        </row>
        <row r="26">
          <cell r="A26" t="str">
            <v>#150</v>
          </cell>
          <cell r="B26">
            <v>106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3.7058482918355531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F27">
            <v>0</v>
          </cell>
          <cell r="H27">
            <v>0</v>
          </cell>
        </row>
        <row r="28">
          <cell r="A28" t="str">
            <v>m</v>
          </cell>
          <cell r="C28">
            <v>1.4763779527559055E-4</v>
          </cell>
          <cell r="G28">
            <v>1.7097602232262873E-4</v>
          </cell>
          <cell r="I28">
            <v>1.237866401615835E-3</v>
          </cell>
        </row>
        <row r="29">
          <cell r="A29" t="str">
            <v>b</v>
          </cell>
          <cell r="C29">
            <v>25</v>
          </cell>
          <cell r="G29">
            <v>13.144180660104556</v>
          </cell>
          <cell r="I29">
            <v>-0.11580775911968173</v>
          </cell>
        </row>
        <row r="30">
          <cell r="A30" t="str">
            <v>D80</v>
          </cell>
          <cell r="C30">
            <v>372.5333333333333</v>
          </cell>
          <cell r="G30">
            <v>391.02453333333312</v>
          </cell>
          <cell r="I30">
            <v>64.720883977900527</v>
          </cell>
        </row>
        <row r="31">
          <cell r="C31" t="str">
            <v>Base de Cálculo</v>
          </cell>
        </row>
        <row r="32">
          <cell r="B32" t="str">
            <v>Tonelaje</v>
          </cell>
          <cell r="C32">
            <v>2125.6038647342998</v>
          </cell>
          <cell r="D32" t="str">
            <v>tpd</v>
          </cell>
        </row>
        <row r="33">
          <cell r="B33" t="str">
            <v>Utilización</v>
          </cell>
          <cell r="C33">
            <v>0.55000000000000004</v>
          </cell>
          <cell r="D33" t="str">
            <v>Primario</v>
          </cell>
          <cell r="I33" t="str">
            <v>Abertura Grizzly 2°</v>
          </cell>
        </row>
        <row r="34">
          <cell r="C34">
            <v>0.76</v>
          </cell>
          <cell r="D34" t="str">
            <v>Secundario-Terciario</v>
          </cell>
          <cell r="I34" t="str">
            <v>Eficiencia Grizzly</v>
          </cell>
        </row>
        <row r="35">
          <cell r="B35" t="str">
            <v>Finos CuT</v>
          </cell>
          <cell r="C35">
            <v>22</v>
          </cell>
          <cell r="D35" t="str">
            <v>tpd</v>
          </cell>
        </row>
        <row r="36">
          <cell r="B36" t="str">
            <v>Ley Alim</v>
          </cell>
          <cell r="C36">
            <v>1.4999999999999999E-2</v>
          </cell>
          <cell r="D36" t="str">
            <v>CuT</v>
          </cell>
          <cell r="I36" t="str">
            <v>Setting Descarga</v>
          </cell>
        </row>
        <row r="37">
          <cell r="B37" t="str">
            <v>Recuperación</v>
          </cell>
          <cell r="C37">
            <v>0.69</v>
          </cell>
          <cell r="D37" t="str">
            <v>CuT</v>
          </cell>
        </row>
        <row r="39">
          <cell r="C39" t="str">
            <v>Chancado Primario</v>
          </cell>
          <cell r="I39" t="str">
            <v>Abertura Harnero 3°</v>
          </cell>
        </row>
        <row r="40">
          <cell r="B40" t="str">
            <v>Abertura Grizzly</v>
          </cell>
          <cell r="C40">
            <v>3.5</v>
          </cell>
          <cell r="D40" t="str">
            <v>pulg</v>
          </cell>
        </row>
        <row r="41">
          <cell r="B41" t="str">
            <v>Eficiencia Grizzly</v>
          </cell>
          <cell r="C41">
            <v>0.65</v>
          </cell>
        </row>
        <row r="42">
          <cell r="I42" t="str">
            <v>Setting Descarga</v>
          </cell>
        </row>
        <row r="43">
          <cell r="B43" t="str">
            <v>Setting Descarga</v>
          </cell>
          <cell r="C43">
            <v>3.5</v>
          </cell>
          <cell r="D43" t="str">
            <v>pulg</v>
          </cell>
        </row>
        <row r="44">
          <cell r="I44" t="str">
            <v>Producto Circuito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"/>
      <sheetName val="Bce"/>
      <sheetName val="Bce (2)"/>
      <sheetName val="H-1°"/>
      <sheetName val="H-2°"/>
      <sheetName val="H-3°"/>
      <sheetName val="H-4°"/>
      <sheetName val="Chanc"/>
      <sheetName val="Aglom"/>
      <sheetName val="LE"/>
    </sheetNames>
    <sheetDataSet>
      <sheetData sheetId="0" refreshError="1"/>
      <sheetData sheetId="1" refreshError="1">
        <row r="1">
          <cell r="A1" t="str">
            <v>BALANCE DE MASA PROYECTADO CIRCUITO DE CHANCADO</v>
          </cell>
        </row>
        <row r="2">
          <cell r="A2" t="str">
            <v>ALTERNATIVA CHANCADO BIOCOBRE MODIFICADO</v>
          </cell>
        </row>
        <row r="3">
          <cell r="C3" t="str">
            <v>Circuito Chancado Primario</v>
          </cell>
          <cell r="M3" t="str">
            <v xml:space="preserve">Circuito Chancado Secundario </v>
          </cell>
        </row>
        <row r="4">
          <cell r="C4" t="str">
            <v>R.O.M.</v>
          </cell>
          <cell r="E4" t="str">
            <v>Bajo tamaño Grizzly</v>
          </cell>
          <cell r="G4" t="str">
            <v>Sobretamaño Grizzly</v>
          </cell>
          <cell r="I4" t="str">
            <v>Producto Chancador 1°</v>
          </cell>
          <cell r="K4" t="str">
            <v>Producto Circuito Chancado 1°</v>
          </cell>
          <cell r="M4" t="str">
            <v>Alimentación Circuito 2°</v>
          </cell>
          <cell r="O4" t="str">
            <v>Bajo tamaño Grizzly 2°</v>
          </cell>
        </row>
        <row r="5">
          <cell r="C5">
            <v>1</v>
          </cell>
          <cell r="E5">
            <v>2</v>
          </cell>
          <cell r="G5">
            <v>3</v>
          </cell>
          <cell r="I5">
            <v>4</v>
          </cell>
          <cell r="K5">
            <v>5</v>
          </cell>
          <cell r="M5">
            <v>6</v>
          </cell>
          <cell r="O5">
            <v>7</v>
          </cell>
        </row>
        <row r="6">
          <cell r="B6" t="str">
            <v>tmsph</v>
          </cell>
          <cell r="C6">
            <v>187.88003006080481</v>
          </cell>
          <cell r="E6">
            <v>34.194165471066476</v>
          </cell>
          <cell r="G6">
            <v>153.68586458973834</v>
          </cell>
          <cell r="I6">
            <v>153.68586458973834</v>
          </cell>
          <cell r="K6">
            <v>187.88003006080481</v>
          </cell>
          <cell r="M6">
            <v>164.39502630320419</v>
          </cell>
          <cell r="O6">
            <v>39.944867886178855</v>
          </cell>
        </row>
        <row r="7">
          <cell r="B7" t="str">
            <v>tmhph</v>
          </cell>
          <cell r="C7">
            <v>193.51643096262896</v>
          </cell>
          <cell r="E7">
            <v>35.219990435198469</v>
          </cell>
          <cell r="G7">
            <v>158.29644052743049</v>
          </cell>
          <cell r="I7">
            <v>158.29644052743049</v>
          </cell>
          <cell r="K7">
            <v>193.51643096262896</v>
          </cell>
          <cell r="M7">
            <v>169.32687709230032</v>
          </cell>
          <cell r="O7">
            <v>41.143213922764225</v>
          </cell>
        </row>
        <row r="8">
          <cell r="A8" t="str">
            <v>Malla</v>
          </cell>
          <cell r="B8" t="str">
            <v>Tamaño (mm)</v>
          </cell>
          <cell r="C8">
            <v>100</v>
          </cell>
          <cell r="E8">
            <v>100</v>
          </cell>
          <cell r="G8">
            <v>100</v>
          </cell>
          <cell r="I8">
            <v>100</v>
          </cell>
          <cell r="K8">
            <v>100</v>
          </cell>
          <cell r="M8">
            <v>100</v>
          </cell>
          <cell r="O8">
            <v>100</v>
          </cell>
        </row>
        <row r="9">
          <cell r="A9" t="str">
            <v>20"</v>
          </cell>
          <cell r="B9">
            <v>508000</v>
          </cell>
          <cell r="C9">
            <v>100</v>
          </cell>
          <cell r="D9">
            <v>0</v>
          </cell>
          <cell r="E9">
            <v>100.00000000000001</v>
          </cell>
          <cell r="F9">
            <v>0</v>
          </cell>
          <cell r="G9">
            <v>100</v>
          </cell>
          <cell r="H9">
            <v>0</v>
          </cell>
          <cell r="I9">
            <v>100</v>
          </cell>
          <cell r="J9">
            <v>0</v>
          </cell>
          <cell r="K9">
            <v>100.00000000000001</v>
          </cell>
          <cell r="L9">
            <v>0</v>
          </cell>
          <cell r="M9">
            <v>100.00000000000001</v>
          </cell>
          <cell r="N9">
            <v>-2.3361938346966468E-14</v>
          </cell>
          <cell r="O9">
            <v>100.00000000000001</v>
          </cell>
          <cell r="P9">
            <v>0</v>
          </cell>
        </row>
        <row r="10">
          <cell r="A10" t="str">
            <v>12"</v>
          </cell>
          <cell r="B10">
            <v>304799.99999999994</v>
          </cell>
          <cell r="C10">
            <v>70</v>
          </cell>
          <cell r="D10">
            <v>56.36400901824144</v>
          </cell>
          <cell r="E10">
            <v>100.00000000000001</v>
          </cell>
          <cell r="F10">
            <v>0</v>
          </cell>
          <cell r="G10">
            <v>63.325183374083124</v>
          </cell>
          <cell r="H10">
            <v>56.36400901824144</v>
          </cell>
          <cell r="I10">
            <v>100</v>
          </cell>
          <cell r="J10">
            <v>0</v>
          </cell>
          <cell r="K10">
            <v>100.00000000000001</v>
          </cell>
          <cell r="L10">
            <v>0</v>
          </cell>
          <cell r="M10">
            <v>100.00000000000001</v>
          </cell>
          <cell r="N10">
            <v>0</v>
          </cell>
          <cell r="O10">
            <v>100.00000000000001</v>
          </cell>
          <cell r="P10">
            <v>0</v>
          </cell>
        </row>
        <row r="11">
          <cell r="A11" t="str">
            <v>8"</v>
          </cell>
          <cell r="B11">
            <v>203200</v>
          </cell>
          <cell r="C11">
            <v>47</v>
          </cell>
          <cell r="D11">
            <v>43.212406913985106</v>
          </cell>
          <cell r="E11">
            <v>100.00000000000001</v>
          </cell>
          <cell r="F11">
            <v>0</v>
          </cell>
          <cell r="G11">
            <v>35.207823960880198</v>
          </cell>
          <cell r="H11">
            <v>43.212406913985106</v>
          </cell>
          <cell r="I11">
            <v>96</v>
          </cell>
          <cell r="J11">
            <v>6.1474345835895337</v>
          </cell>
          <cell r="K11">
            <v>96.728000000000009</v>
          </cell>
          <cell r="L11">
            <v>6.1474345835895337</v>
          </cell>
          <cell r="M11">
            <v>96.728000000000009</v>
          </cell>
          <cell r="N11">
            <v>5.3790052606408505</v>
          </cell>
          <cell r="O11">
            <v>100.00000000000001</v>
          </cell>
          <cell r="P11">
            <v>0</v>
          </cell>
        </row>
        <row r="12">
          <cell r="A12" t="str">
            <v>5"</v>
          </cell>
          <cell r="B12">
            <v>127000</v>
          </cell>
          <cell r="C12">
            <v>28</v>
          </cell>
          <cell r="D12">
            <v>35.697205711552918</v>
          </cell>
          <cell r="E12">
            <v>100.00000000000001</v>
          </cell>
          <cell r="F12">
            <v>0</v>
          </cell>
          <cell r="G12">
            <v>11.980440097799512</v>
          </cell>
          <cell r="H12">
            <v>35.697205711552918</v>
          </cell>
          <cell r="I12">
            <v>60</v>
          </cell>
          <cell r="J12">
            <v>55.326911252305798</v>
          </cell>
          <cell r="K12">
            <v>67.28</v>
          </cell>
          <cell r="L12">
            <v>55.326911252305798</v>
          </cell>
          <cell r="M12">
            <v>67.28</v>
          </cell>
          <cell r="N12">
            <v>48.411047345767585</v>
          </cell>
          <cell r="O12">
            <v>100.00000000000001</v>
          </cell>
          <cell r="P12">
            <v>0</v>
          </cell>
        </row>
        <row r="13">
          <cell r="A13" t="str">
            <v>3 1/2"</v>
          </cell>
          <cell r="B13">
            <v>88899.999999999985</v>
          </cell>
          <cell r="C13">
            <v>18</v>
          </cell>
          <cell r="D13">
            <v>18.788003006080483</v>
          </cell>
          <cell r="E13">
            <v>64.285714285714292</v>
          </cell>
          <cell r="F13">
            <v>12.212201953952315</v>
          </cell>
          <cell r="G13">
            <v>7.7017114914425431</v>
          </cell>
          <cell r="H13">
            <v>6.5758010521281687</v>
          </cell>
          <cell r="I13">
            <v>45</v>
          </cell>
        </row>
        <row r="14">
          <cell r="A14" t="str">
            <v>3"</v>
          </cell>
          <cell r="B14">
            <v>76199.999999999985</v>
          </cell>
          <cell r="C14">
            <v>15</v>
          </cell>
          <cell r="D14">
            <v>5.6364009018241443</v>
          </cell>
          <cell r="E14">
            <v>53.571428571428577</v>
          </cell>
          <cell r="F14">
            <v>3.6636605861856939</v>
          </cell>
          <cell r="G14">
            <v>6.4180929095354529</v>
          </cell>
          <cell r="H14">
            <v>1.9727403156384504</v>
          </cell>
          <cell r="I14">
            <v>39</v>
          </cell>
        </row>
        <row r="15">
          <cell r="A15" t="str">
            <v>2"</v>
          </cell>
          <cell r="B15">
            <v>50800</v>
          </cell>
          <cell r="C15">
            <v>10</v>
          </cell>
          <cell r="D15">
            <v>9.3940015030402417</v>
          </cell>
          <cell r="E15">
            <v>35.714285714285715</v>
          </cell>
          <cell r="F15">
            <v>6.1061009769761574</v>
          </cell>
          <cell r="G15">
            <v>4.2787286063569683</v>
          </cell>
          <cell r="H15">
            <v>3.2879005260640843</v>
          </cell>
          <cell r="I15">
            <v>27</v>
          </cell>
        </row>
        <row r="16">
          <cell r="A16" t="str">
            <v>1 1/2"</v>
          </cell>
          <cell r="B16">
            <v>38100</v>
          </cell>
          <cell r="C16">
            <v>7</v>
          </cell>
          <cell r="D16">
            <v>5.6364009018241443</v>
          </cell>
          <cell r="E16">
            <v>25</v>
          </cell>
          <cell r="F16">
            <v>3.6636605861856939</v>
          </cell>
          <cell r="G16">
            <v>2.9951100244498781</v>
          </cell>
          <cell r="H16">
            <v>1.9727403156384504</v>
          </cell>
          <cell r="I16">
            <v>21</v>
          </cell>
        </row>
        <row r="17">
          <cell r="A17" t="str">
            <v>1"</v>
          </cell>
          <cell r="B17">
            <v>25400</v>
          </cell>
          <cell r="C17">
            <v>0</v>
          </cell>
          <cell r="D17">
            <v>13.151602104256337</v>
          </cell>
          <cell r="E17">
            <v>0</v>
          </cell>
          <cell r="F17">
            <v>8.5485413677666191</v>
          </cell>
          <cell r="G17">
            <v>0</v>
          </cell>
          <cell r="H17">
            <v>4.6030607364897183</v>
          </cell>
          <cell r="I17">
            <v>16</v>
          </cell>
        </row>
        <row r="18">
          <cell r="A18" t="str">
            <v>3/4"</v>
          </cell>
          <cell r="B18">
            <v>19050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13</v>
          </cell>
        </row>
        <row r="19">
          <cell r="A19" t="str">
            <v>5/8"</v>
          </cell>
          <cell r="B19">
            <v>15875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11</v>
          </cell>
        </row>
        <row r="20">
          <cell r="A20" t="str">
            <v>1/2"</v>
          </cell>
          <cell r="B20">
            <v>12700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10</v>
          </cell>
        </row>
        <row r="21">
          <cell r="A21" t="str">
            <v>3/8"</v>
          </cell>
          <cell r="B21">
            <v>9525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8</v>
          </cell>
        </row>
        <row r="22">
          <cell r="A22" t="str">
            <v>#3</v>
          </cell>
          <cell r="B22">
            <v>6350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6</v>
          </cell>
        </row>
        <row r="23">
          <cell r="A23" t="str">
            <v>#6</v>
          </cell>
          <cell r="B23">
            <v>3350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3</v>
          </cell>
        </row>
        <row r="24">
          <cell r="A24" t="str">
            <v>#10</v>
          </cell>
          <cell r="B24">
            <v>1700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2</v>
          </cell>
        </row>
        <row r="25">
          <cell r="A25" t="str">
            <v>#20</v>
          </cell>
          <cell r="B25">
            <v>850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</v>
          </cell>
        </row>
        <row r="26">
          <cell r="A26" t="str">
            <v>#35</v>
          </cell>
          <cell r="B26">
            <v>425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#65</v>
          </cell>
          <cell r="B27">
            <v>212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 t="str">
            <v>#150</v>
          </cell>
          <cell r="B28">
            <v>106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F29">
            <v>0</v>
          </cell>
          <cell r="H29">
            <v>0</v>
          </cell>
        </row>
        <row r="30">
          <cell r="A30" t="str">
            <v>m</v>
          </cell>
          <cell r="C30">
            <v>1.4763779527559055E-4</v>
          </cell>
          <cell r="I30">
            <v>9.4488188976383624E-4</v>
          </cell>
        </row>
        <row r="31">
          <cell r="A31" t="str">
            <v>b</v>
          </cell>
          <cell r="C31">
            <v>25</v>
          </cell>
          <cell r="I31">
            <v>-26.000000000005397</v>
          </cell>
        </row>
        <row r="32">
          <cell r="A32" t="str">
            <v>D80</v>
          </cell>
          <cell r="B32" t="str">
            <v>mm</v>
          </cell>
          <cell r="C32">
            <v>372.5333333333333</v>
          </cell>
          <cell r="I32">
            <v>112.18333333333231</v>
          </cell>
        </row>
        <row r="33">
          <cell r="A33" t="str">
            <v>D100</v>
          </cell>
          <cell r="B33" t="str">
            <v>mm</v>
          </cell>
          <cell r="C33">
            <v>508</v>
          </cell>
          <cell r="I33">
            <v>304.8</v>
          </cell>
        </row>
        <row r="34">
          <cell r="I34" t="str">
            <v>CAT</v>
          </cell>
        </row>
        <row r="35">
          <cell r="C35" t="str">
            <v>BASES DE CÁLCULO</v>
          </cell>
          <cell r="I35" t="str">
            <v>5"</v>
          </cell>
        </row>
        <row r="37">
          <cell r="C37" t="str">
            <v>Generales</v>
          </cell>
          <cell r="E37">
            <v>187.88003006080481</v>
          </cell>
        </row>
        <row r="38">
          <cell r="B38" t="str">
            <v>Tonelaje</v>
          </cell>
          <cell r="C38">
            <v>3156.3845050215205</v>
          </cell>
          <cell r="D38" t="str">
            <v>tpd</v>
          </cell>
        </row>
        <row r="39">
          <cell r="B39" t="str">
            <v>Utilización</v>
          </cell>
          <cell r="C39">
            <v>0.7</v>
          </cell>
          <cell r="D39" t="str">
            <v>1°</v>
          </cell>
          <cell r="E39" t="str">
            <v>(Aumenta utilización)</v>
          </cell>
        </row>
        <row r="40">
          <cell r="C40">
            <v>0.8</v>
          </cell>
          <cell r="D40" t="str">
            <v>2°-3°</v>
          </cell>
          <cell r="E40" t="str">
            <v>(Aumenta utilización)</v>
          </cell>
        </row>
        <row r="41">
          <cell r="B41" t="str">
            <v>Finos CuT</v>
          </cell>
          <cell r="C41">
            <v>22</v>
          </cell>
          <cell r="D41" t="str">
            <v>tpd</v>
          </cell>
        </row>
        <row r="42">
          <cell r="B42" t="str">
            <v>Ley Alim</v>
          </cell>
          <cell r="C42">
            <v>8.2000000000000007E-3</v>
          </cell>
          <cell r="D42" t="str">
            <v>CuT</v>
          </cell>
        </row>
        <row r="43">
          <cell r="B43" t="str">
            <v>Recuperación</v>
          </cell>
          <cell r="C43">
            <v>0.85</v>
          </cell>
          <cell r="D43" t="str">
            <v>CuT</v>
          </cell>
        </row>
        <row r="45">
          <cell r="C45" t="str">
            <v>Chancado Primario</v>
          </cell>
        </row>
        <row r="46">
          <cell r="B46" t="str">
            <v>Abertura Grizzly</v>
          </cell>
          <cell r="C46">
            <v>4.5</v>
          </cell>
          <cell r="D46" t="str">
            <v>pulg</v>
          </cell>
          <cell r="E46" t="str">
            <v>(Modificar abertura desde 3 1/2")</v>
          </cell>
        </row>
        <row r="47">
          <cell r="B47" t="str">
            <v>Eficiencia Grizzly</v>
          </cell>
          <cell r="C47">
            <v>0.65</v>
          </cell>
        </row>
        <row r="49">
          <cell r="B49" t="str">
            <v>Setting Descarga</v>
          </cell>
          <cell r="C49">
            <v>5</v>
          </cell>
          <cell r="D49" t="str">
            <v>pulg</v>
          </cell>
          <cell r="E49" t="str">
            <v>(Abrir setting desde 3 1/2")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S"/>
      <sheetName val="HGL"/>
      <sheetName val="Pres."/>
      <sheetName val="Anillos"/>
      <sheetName val="Tubería"/>
      <sheetName val="Perfil"/>
      <sheetName val="Datos"/>
      <sheetName val="Bomba"/>
      <sheetName val="Notas"/>
      <sheetName val="Tab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">
          <cell r="E4" t="str">
            <v>ASTM A53</v>
          </cell>
        </row>
        <row r="5">
          <cell r="E5" t="str">
            <v>X42</v>
          </cell>
        </row>
        <row r="6">
          <cell r="E6" t="str">
            <v>X46</v>
          </cell>
        </row>
        <row r="7">
          <cell r="E7" t="str">
            <v>X52</v>
          </cell>
        </row>
        <row r="8">
          <cell r="E8" t="str">
            <v>X56</v>
          </cell>
        </row>
        <row r="9">
          <cell r="E9" t="str">
            <v>X60</v>
          </cell>
        </row>
        <row r="10">
          <cell r="E10" t="str">
            <v>X65</v>
          </cell>
        </row>
        <row r="11">
          <cell r="E11" t="str">
            <v>X70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usados"/>
      <sheetName val="Con Lix 2000"/>
      <sheetName val="Sin Lix2000"/>
      <sheetName val="Sheet1"/>
      <sheetName val="Datos variac.pendiente"/>
      <sheetName val="Marcelo Bustos"/>
      <sheetName val="Gráfico variación pendiente"/>
      <sheetName val="Sheet2"/>
      <sheetName val="Gráfico variación pendiente (2)"/>
      <sheetName val="Tablas presentacion"/>
      <sheetName val="PHD"/>
      <sheetName val="PHD riego "/>
      <sheetName val="Finos curva real"/>
      <sheetName val="Temperaturas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 refreshError="1">
        <row r="4">
          <cell r="E4" t="e">
            <v>#NAME?</v>
          </cell>
          <cell r="F4" t="str">
            <v>Q_PLS_CAPTADO</v>
          </cell>
          <cell r="G4" t="str">
            <v>Q_RIEGO_SF</v>
          </cell>
          <cell r="H4" t="str">
            <v>FIT9133</v>
          </cell>
          <cell r="I4" t="e">
            <v>#NAME?</v>
          </cell>
          <cell r="J4" t="str">
            <v>CONCURFE1_SF</v>
          </cell>
          <cell r="K4" t="str">
            <v>CONCURFE2_SF</v>
          </cell>
          <cell r="L4" t="e">
            <v>#NAME?</v>
          </cell>
          <cell r="M4" t="str">
            <v>Q_E2_SF</v>
          </cell>
          <cell r="N4" t="str">
            <v>Q_NEU_REF_SF</v>
          </cell>
          <cell r="O4" t="e">
            <v>#NAME?</v>
          </cell>
          <cell r="P4" t="e">
            <v>#NAME?</v>
          </cell>
          <cell r="Q4" t="str">
            <v>LQI9121</v>
          </cell>
          <cell r="R4" t="str">
            <v>LQI9131</v>
          </cell>
          <cell r="T4" t="e">
            <v>#NAME?</v>
          </cell>
        </row>
        <row r="5">
          <cell r="E5" t="str">
            <v>Timestamp</v>
          </cell>
          <cell r="F5" t="str">
            <v>Q_PLS_CAPTADO - Average</v>
          </cell>
          <cell r="G5" t="str">
            <v>Q_RIEGO_SF - Average</v>
          </cell>
          <cell r="H5" t="str">
            <v>FIT9133 - Average</v>
          </cell>
          <cell r="I5" t="str">
            <v>CONCUPLS_SF - SnapShot</v>
          </cell>
          <cell r="J5" t="str">
            <v>CONCURFE1_SF - SnapShot</v>
          </cell>
          <cell r="K5" t="str">
            <v>CONCURFE2_SF - SnapShot</v>
          </cell>
          <cell r="L5" t="str">
            <v>Q_E1_SF - Average</v>
          </cell>
          <cell r="M5" t="str">
            <v>Q_E2_SF - Average</v>
          </cell>
          <cell r="N5" t="str">
            <v>Q_NEU_REF_SF - Average</v>
          </cell>
          <cell r="O5" t="str">
            <v>CONCURBOTSF_SF - SnapShot</v>
          </cell>
          <cell r="P5" t="str">
            <v>LQI9111 - Delta</v>
          </cell>
          <cell r="Q5" t="str">
            <v>LQI9121 - Delta</v>
          </cell>
          <cell r="R5" t="str">
            <v>LQI9131 - Delta</v>
          </cell>
          <cell r="T5" t="str">
            <v>OPE_NEU_PIS3 - SnapShot</v>
          </cell>
        </row>
        <row r="6">
          <cell r="E6">
            <v>38231</v>
          </cell>
          <cell r="F6">
            <v>1.3223958116011798E-2</v>
          </cell>
          <cell r="G6">
            <v>1.8442508795195156</v>
          </cell>
          <cell r="H6">
            <v>1707.2962125142415</v>
          </cell>
          <cell r="I6">
            <v>1.9800000190734863</v>
          </cell>
          <cell r="J6">
            <v>0</v>
          </cell>
          <cell r="K6">
            <v>0.15000000596046448</v>
          </cell>
          <cell r="L6">
            <v>1749.9914489746093</v>
          </cell>
          <cell r="M6">
            <v>0</v>
          </cell>
          <cell r="N6">
            <v>0.3735635041880111</v>
          </cell>
          <cell r="O6">
            <v>0.63999998569488525</v>
          </cell>
          <cell r="P6">
            <v>-8.25848388671875</v>
          </cell>
          <cell r="Q6">
            <v>-0.17706298828125</v>
          </cell>
          <cell r="R6">
            <v>-14.943359375</v>
          </cell>
          <cell r="T6">
            <v>0</v>
          </cell>
        </row>
        <row r="7">
          <cell r="E7">
            <v>38231.333333333336</v>
          </cell>
          <cell r="F7">
            <v>1.0050849709336439E-2</v>
          </cell>
          <cell r="G7">
            <v>1.8472166876412099</v>
          </cell>
          <cell r="H7">
            <v>1707.8814393361411</v>
          </cell>
          <cell r="I7">
            <v>1.8700000047683716</v>
          </cell>
          <cell r="J7">
            <v>0</v>
          </cell>
          <cell r="K7">
            <v>0.10000000149011612</v>
          </cell>
          <cell r="L7">
            <v>1750.1220626831055</v>
          </cell>
          <cell r="M7">
            <v>0</v>
          </cell>
          <cell r="N7">
            <v>0.37340251259091828</v>
          </cell>
          <cell r="O7">
            <v>0.5</v>
          </cell>
          <cell r="P7">
            <v>4.2716064453125</v>
          </cell>
          <cell r="Q7">
            <v>2.5272026062011719</v>
          </cell>
          <cell r="R7">
            <v>-19.052734375</v>
          </cell>
          <cell r="T7">
            <v>0</v>
          </cell>
        </row>
        <row r="8">
          <cell r="E8">
            <v>38231.666666666664</v>
          </cell>
          <cell r="F8">
            <v>1.403967728805987E-2</v>
          </cell>
          <cell r="G8">
            <v>1.8451309973167049</v>
          </cell>
          <cell r="H8">
            <v>1705.6694184366861</v>
          </cell>
          <cell r="I8">
            <v>1.8500000238418579</v>
          </cell>
          <cell r="J8">
            <v>0</v>
          </cell>
          <cell r="K8">
            <v>0.11999999731779099</v>
          </cell>
          <cell r="L8">
            <v>1749.7904864841037</v>
          </cell>
          <cell r="M8">
            <v>0</v>
          </cell>
          <cell r="N8">
            <v>0.38748397113134464</v>
          </cell>
          <cell r="O8">
            <v>0.56000000238418579</v>
          </cell>
          <cell r="P8">
            <v>-28.28765869140625</v>
          </cell>
          <cell r="Q8">
            <v>-3.7827568054199219</v>
          </cell>
          <cell r="R8">
            <v>-12.701171875</v>
          </cell>
          <cell r="T8">
            <v>0</v>
          </cell>
        </row>
        <row r="9">
          <cell r="E9">
            <v>38232</v>
          </cell>
          <cell r="F9">
            <v>1.2810632197296298E-2</v>
          </cell>
          <cell r="G9">
            <v>1.8457864799433283</v>
          </cell>
          <cell r="H9">
            <v>1705.7127847035727</v>
          </cell>
          <cell r="I9">
            <v>1.7999999523162842</v>
          </cell>
          <cell r="J9">
            <v>0</v>
          </cell>
          <cell r="K9">
            <v>0.10000000149011612</v>
          </cell>
          <cell r="L9">
            <v>1749.9973770141601</v>
          </cell>
          <cell r="M9">
            <v>0</v>
          </cell>
          <cell r="N9">
            <v>0.39542025646401774</v>
          </cell>
          <cell r="O9">
            <v>0.5</v>
          </cell>
          <cell r="P9">
            <v>-1.993438720703125</v>
          </cell>
          <cell r="Q9">
            <v>2.5915908813476563</v>
          </cell>
          <cell r="R9">
            <v>7.6572265625</v>
          </cell>
          <cell r="T9">
            <v>0</v>
          </cell>
        </row>
        <row r="10">
          <cell r="E10">
            <v>38232.333333333336</v>
          </cell>
          <cell r="F10">
            <v>1.1325865645711827E-2</v>
          </cell>
          <cell r="G10">
            <v>1.8453053638339043</v>
          </cell>
          <cell r="H10">
            <v>1705.6087952931723</v>
          </cell>
          <cell r="I10">
            <v>1.8700000047683716</v>
          </cell>
          <cell r="J10">
            <v>0</v>
          </cell>
          <cell r="K10">
            <v>0.14000000059604645</v>
          </cell>
          <cell r="L10">
            <v>1750.1673263549806</v>
          </cell>
          <cell r="M10">
            <v>0</v>
          </cell>
          <cell r="N10">
            <v>0.38684701995096271</v>
          </cell>
          <cell r="O10">
            <v>0.72000002861022949</v>
          </cell>
          <cell r="P10">
            <v>0.37969970703125</v>
          </cell>
          <cell r="Q10">
            <v>0.12877655029296875</v>
          </cell>
          <cell r="R10">
            <v>13.82421875</v>
          </cell>
          <cell r="T10">
            <v>0</v>
          </cell>
        </row>
        <row r="11">
          <cell r="E11">
            <v>38232.666666666664</v>
          </cell>
          <cell r="F11">
            <v>1.3882182246986001E-2</v>
          </cell>
          <cell r="G11">
            <v>1.8362854753517441</v>
          </cell>
          <cell r="H11">
            <v>1705.2837280273438</v>
          </cell>
          <cell r="I11">
            <v>1.7799999713897705</v>
          </cell>
          <cell r="J11">
            <v>0</v>
          </cell>
          <cell r="K11">
            <v>0.10000000149011612</v>
          </cell>
          <cell r="L11">
            <v>1750.1192993164063</v>
          </cell>
          <cell r="M11">
            <v>0</v>
          </cell>
          <cell r="N11">
            <v>0.39925246845102974</v>
          </cell>
          <cell r="O11">
            <v>0.33000001311302185</v>
          </cell>
          <cell r="P11">
            <v>-20.219085693359375</v>
          </cell>
          <cell r="Q11">
            <v>-3.76666259765625</v>
          </cell>
          <cell r="R11">
            <v>-24.6572265625</v>
          </cell>
          <cell r="T11">
            <v>0</v>
          </cell>
        </row>
        <row r="12">
          <cell r="E12">
            <v>38233</v>
          </cell>
          <cell r="F12">
            <v>1.3845154549764831E-2</v>
          </cell>
          <cell r="G12">
            <v>1.7680956537524859</v>
          </cell>
          <cell r="H12">
            <v>1764.7405301411948</v>
          </cell>
          <cell r="I12">
            <v>1.8999999761581421</v>
          </cell>
          <cell r="J12">
            <v>0</v>
          </cell>
          <cell r="K12">
            <v>0.10000000149011612</v>
          </cell>
          <cell r="L12">
            <v>1750.1404129028319</v>
          </cell>
          <cell r="M12">
            <v>0</v>
          </cell>
          <cell r="N12">
            <v>0.48952998237477408</v>
          </cell>
          <cell r="O12">
            <v>0.60000002384185791</v>
          </cell>
          <cell r="P12">
            <v>-0.85430908203125</v>
          </cell>
          <cell r="Q12">
            <v>2.6237869262695313</v>
          </cell>
          <cell r="R12">
            <v>-469.9677734375</v>
          </cell>
          <cell r="T12">
            <v>0</v>
          </cell>
        </row>
        <row r="13">
          <cell r="E13">
            <v>38233.333333333336</v>
          </cell>
          <cell r="F13">
            <v>1.1681340381619521E-2</v>
          </cell>
          <cell r="G13">
            <v>1.8234318956318829</v>
          </cell>
          <cell r="H13">
            <v>1627.3672669728596</v>
          </cell>
          <cell r="I13">
            <v>1.7999999523162842</v>
          </cell>
          <cell r="J13">
            <v>0</v>
          </cell>
          <cell r="K13">
            <v>0.11999999731779099</v>
          </cell>
          <cell r="L13">
            <v>1749.9852111816406</v>
          </cell>
          <cell r="M13">
            <v>0</v>
          </cell>
          <cell r="N13">
            <v>0.29747188602988089</v>
          </cell>
          <cell r="O13">
            <v>0.40999999642372131</v>
          </cell>
          <cell r="P13">
            <v>-7.8787841796875</v>
          </cell>
          <cell r="Q13">
            <v>-6.439208984375E-2</v>
          </cell>
          <cell r="R13">
            <v>624.4453125</v>
          </cell>
          <cell r="T13">
            <v>0</v>
          </cell>
        </row>
        <row r="14">
          <cell r="E14">
            <v>38233.666666666664</v>
          </cell>
          <cell r="F14">
            <v>1.5430566077055927E-2</v>
          </cell>
          <cell r="G14">
            <v>1.8428018444942103</v>
          </cell>
          <cell r="H14">
            <v>1670.0814914703369</v>
          </cell>
          <cell r="I14">
            <v>1.8400000333786011</v>
          </cell>
          <cell r="J14">
            <v>0</v>
          </cell>
          <cell r="K14">
            <v>0.12999999523162842</v>
          </cell>
          <cell r="L14">
            <v>1749.7445251464844</v>
          </cell>
          <cell r="M14">
            <v>0</v>
          </cell>
          <cell r="N14">
            <v>0.32090717801927693</v>
          </cell>
          <cell r="O14">
            <v>0.5</v>
          </cell>
          <cell r="P14">
            <v>-12.15045166015625</v>
          </cell>
          <cell r="Q14">
            <v>-4.9739227294921875</v>
          </cell>
          <cell r="R14">
            <v>241.2353515625</v>
          </cell>
          <cell r="T14">
            <v>0</v>
          </cell>
        </row>
        <row r="15">
          <cell r="E15">
            <v>38234</v>
          </cell>
          <cell r="F15">
            <v>1.3610321693704464E-2</v>
          </cell>
          <cell r="G15">
            <v>1.8401804413646459</v>
          </cell>
          <cell r="H15">
            <v>1709.866033299764</v>
          </cell>
          <cell r="I15">
            <v>1.7799999713897705</v>
          </cell>
          <cell r="J15">
            <v>0</v>
          </cell>
          <cell r="K15">
            <v>0.10999999940395355</v>
          </cell>
          <cell r="L15">
            <v>1750.0921173095703</v>
          </cell>
          <cell r="M15">
            <v>0</v>
          </cell>
          <cell r="N15">
            <v>0.36432623432742223</v>
          </cell>
          <cell r="O15">
            <v>0.51999998092651367</v>
          </cell>
          <cell r="P15">
            <v>-0.37969970703125</v>
          </cell>
          <cell r="Q15">
            <v>3.7827606201171875</v>
          </cell>
          <cell r="R15">
            <v>-65.7373046875</v>
          </cell>
          <cell r="T15">
            <v>0</v>
          </cell>
        </row>
        <row r="16">
          <cell r="E16">
            <v>38234.333333333336</v>
          </cell>
          <cell r="F16">
            <v>9.5913384330439545E-3</v>
          </cell>
          <cell r="G16">
            <v>1.8395243340482315</v>
          </cell>
          <cell r="H16">
            <v>1707.3603830973307</v>
          </cell>
          <cell r="I16">
            <v>1.7999999523162842</v>
          </cell>
          <cell r="J16">
            <v>0</v>
          </cell>
          <cell r="K16">
            <v>0.11999999731779099</v>
          </cell>
          <cell r="L16">
            <v>1750.1141387939454</v>
          </cell>
          <cell r="M16">
            <v>0</v>
          </cell>
          <cell r="N16">
            <v>0.37783625233504509</v>
          </cell>
          <cell r="O16">
            <v>0.54000002145767212</v>
          </cell>
          <cell r="P16">
            <v>-1.613739013671875</v>
          </cell>
          <cell r="Q16">
            <v>4.8290252685546875E-2</v>
          </cell>
          <cell r="R16">
            <v>-24.783203125</v>
          </cell>
          <cell r="T16">
            <v>0</v>
          </cell>
        </row>
        <row r="17">
          <cell r="E17">
            <v>38234.666666666664</v>
          </cell>
          <cell r="F17">
            <v>6.7586553975060165E-3</v>
          </cell>
          <cell r="G17">
            <v>1.838810804569059</v>
          </cell>
          <cell r="H17">
            <v>1708.8134206136067</v>
          </cell>
          <cell r="I17">
            <v>1.8200000524520874</v>
          </cell>
          <cell r="J17">
            <v>0</v>
          </cell>
          <cell r="K17">
            <v>0.11999999731779099</v>
          </cell>
          <cell r="L17">
            <v>1750.0381179809569</v>
          </cell>
          <cell r="M17">
            <v>0</v>
          </cell>
          <cell r="N17">
            <v>0.36861560864167081</v>
          </cell>
          <cell r="O17">
            <v>0.37000000476837158</v>
          </cell>
          <cell r="P17">
            <v>-6.929534912109375</v>
          </cell>
          <cell r="Q17">
            <v>0.98190689086914063</v>
          </cell>
          <cell r="R17">
            <v>-64.41796875</v>
          </cell>
          <cell r="T17">
            <v>0</v>
          </cell>
        </row>
        <row r="18">
          <cell r="E18">
            <v>38235</v>
          </cell>
          <cell r="F18">
            <v>6.1039282251335357E-3</v>
          </cell>
          <cell r="G18">
            <v>1.8399704084214237</v>
          </cell>
          <cell r="H18">
            <v>1707.1348181406656</v>
          </cell>
          <cell r="I18">
            <v>1.8300000429153442</v>
          </cell>
          <cell r="J18">
            <v>0</v>
          </cell>
          <cell r="K18">
            <v>0.11999999731779099</v>
          </cell>
          <cell r="L18">
            <v>1750.1119262695313</v>
          </cell>
          <cell r="M18">
            <v>0</v>
          </cell>
          <cell r="N18">
            <v>0.374664895546933</v>
          </cell>
          <cell r="O18">
            <v>0.5899999737739563</v>
          </cell>
          <cell r="P18">
            <v>-8.16357421875</v>
          </cell>
          <cell r="Q18">
            <v>2.2857513427734375</v>
          </cell>
          <cell r="R18">
            <v>-37.1708984375</v>
          </cell>
          <cell r="T18">
            <v>0</v>
          </cell>
        </row>
        <row r="19">
          <cell r="E19">
            <v>38235.333333333336</v>
          </cell>
          <cell r="F19">
            <v>6.0749965429977241E-3</v>
          </cell>
          <cell r="G19">
            <v>1.840861054427094</v>
          </cell>
          <cell r="H19">
            <v>1796.9929913838705</v>
          </cell>
          <cell r="I19">
            <v>1.7899999618530273</v>
          </cell>
          <cell r="J19">
            <v>0</v>
          </cell>
          <cell r="K19">
            <v>0.10999999940395355</v>
          </cell>
          <cell r="L19">
            <v>1750.1355239868165</v>
          </cell>
          <cell r="M19">
            <v>0</v>
          </cell>
          <cell r="N19">
            <v>0.45743285917366544</v>
          </cell>
          <cell r="O19">
            <v>0.40999999642372131</v>
          </cell>
          <cell r="P19">
            <v>-9.490966796875E-2</v>
          </cell>
          <cell r="Q19">
            <v>0.14487075805664063</v>
          </cell>
          <cell r="R19">
            <v>-779.4833984375</v>
          </cell>
          <cell r="T19">
            <v>0</v>
          </cell>
        </row>
        <row r="20">
          <cell r="E20">
            <v>38235.666666666664</v>
          </cell>
          <cell r="F20">
            <v>8.3898997439569543E-3</v>
          </cell>
          <cell r="G20">
            <v>1.8365646638390092</v>
          </cell>
          <cell r="H20">
            <v>1774.0513659159342</v>
          </cell>
          <cell r="I20">
            <v>1.8200000524520874</v>
          </cell>
          <cell r="J20">
            <v>0</v>
          </cell>
          <cell r="K20">
            <v>0.12999999523162842</v>
          </cell>
          <cell r="L20">
            <v>1750.2720245361329</v>
          </cell>
          <cell r="M20">
            <v>0</v>
          </cell>
          <cell r="N20">
            <v>0.43259162841778664</v>
          </cell>
          <cell r="O20">
            <v>0.56000000238418579</v>
          </cell>
          <cell r="P20">
            <v>-19.93426513671875</v>
          </cell>
          <cell r="Q20">
            <v>-2.4950103759765625</v>
          </cell>
          <cell r="R20">
            <v>-608.755859375</v>
          </cell>
          <cell r="T20">
            <v>0</v>
          </cell>
        </row>
        <row r="21">
          <cell r="E21">
            <v>38236</v>
          </cell>
          <cell r="F21">
            <v>7.1328020040608764E-3</v>
          </cell>
          <cell r="G21">
            <v>1.8357914074841473</v>
          </cell>
          <cell r="H21">
            <v>1756.2279493967692</v>
          </cell>
          <cell r="I21">
            <v>1.8400000333786011</v>
          </cell>
          <cell r="J21">
            <v>0</v>
          </cell>
          <cell r="K21">
            <v>0.10999999940395355</v>
          </cell>
          <cell r="L21">
            <v>1749.9270080566407</v>
          </cell>
          <cell r="M21">
            <v>0</v>
          </cell>
          <cell r="N21">
            <v>0.42439175564795734</v>
          </cell>
          <cell r="O21">
            <v>0.60000002384185791</v>
          </cell>
          <cell r="P21">
            <v>5.6005859375</v>
          </cell>
          <cell r="Q21">
            <v>2.3984298706054688</v>
          </cell>
          <cell r="R21">
            <v>-459.1328125</v>
          </cell>
          <cell r="T21">
            <v>0</v>
          </cell>
        </row>
        <row r="22">
          <cell r="E22">
            <v>38236.333333333336</v>
          </cell>
          <cell r="F22">
            <v>4.8033721774182392E-3</v>
          </cell>
          <cell r="G22">
            <v>1.8364333854367336</v>
          </cell>
          <cell r="H22">
            <v>1723.7605926513672</v>
          </cell>
          <cell r="I22">
            <v>1.8700000047683716</v>
          </cell>
          <cell r="J22">
            <v>0</v>
          </cell>
          <cell r="K22">
            <v>0.11999999731779099</v>
          </cell>
          <cell r="L22">
            <v>1749.8404861450194</v>
          </cell>
          <cell r="M22">
            <v>0</v>
          </cell>
          <cell r="N22">
            <v>0.39718132224968739</v>
          </cell>
          <cell r="O22">
            <v>0.62000000476837158</v>
          </cell>
          <cell r="P22">
            <v>177.98471069335938</v>
          </cell>
          <cell r="Q22">
            <v>2.2857513427734375</v>
          </cell>
          <cell r="R22">
            <v>-167.740234375</v>
          </cell>
          <cell r="T22">
            <v>0</v>
          </cell>
        </row>
        <row r="23">
          <cell r="E23">
            <v>38236.666666666664</v>
          </cell>
          <cell r="F23">
            <v>5.3260266451060391E-3</v>
          </cell>
          <cell r="G23">
            <v>1.8388343668646283</v>
          </cell>
          <cell r="H23">
            <v>1680.3372383117676</v>
          </cell>
          <cell r="I23">
            <v>1.8700000047683716</v>
          </cell>
          <cell r="J23">
            <v>0</v>
          </cell>
          <cell r="K23">
            <v>0.12999999523162842</v>
          </cell>
          <cell r="L23">
            <v>1749.7899993896485</v>
          </cell>
          <cell r="M23">
            <v>0</v>
          </cell>
          <cell r="N23">
            <v>0.40123965795048411</v>
          </cell>
          <cell r="O23">
            <v>0.69999998807907104</v>
          </cell>
          <cell r="P23">
            <v>32.939056396484375</v>
          </cell>
          <cell r="Q23">
            <v>17.239727020263672</v>
          </cell>
          <cell r="R23">
            <v>213.5029296875</v>
          </cell>
          <cell r="T23">
            <v>0</v>
          </cell>
        </row>
        <row r="24">
          <cell r="E24">
            <v>38237</v>
          </cell>
          <cell r="F24">
            <v>4.3519244980699872E-3</v>
          </cell>
          <cell r="G24">
            <v>1.8382478889077902</v>
          </cell>
          <cell r="H24">
            <v>1700.9336456298829</v>
          </cell>
          <cell r="I24">
            <v>1.8400000333786011</v>
          </cell>
          <cell r="J24">
            <v>0</v>
          </cell>
          <cell r="K24">
            <v>0.11999999731779099</v>
          </cell>
          <cell r="L24">
            <v>1749.9415847778321</v>
          </cell>
          <cell r="M24">
            <v>0</v>
          </cell>
          <cell r="N24">
            <v>0.38213018402457238</v>
          </cell>
          <cell r="O24">
            <v>0.49000000953674316</v>
          </cell>
          <cell r="P24">
            <v>-22.40234375</v>
          </cell>
          <cell r="Q24">
            <v>-3.444732666015625</v>
          </cell>
          <cell r="R24">
            <v>38.1064453125</v>
          </cell>
          <cell r="T24">
            <v>0</v>
          </cell>
        </row>
        <row r="25">
          <cell r="E25">
            <v>38237.333333333336</v>
          </cell>
          <cell r="F25">
            <v>4.0003478566225468E-3</v>
          </cell>
          <cell r="G25">
            <v>1.8401701505399413</v>
          </cell>
          <cell r="H25">
            <v>1701.7447185516357</v>
          </cell>
          <cell r="I25">
            <v>1.8500000238418579</v>
          </cell>
          <cell r="J25">
            <v>0</v>
          </cell>
          <cell r="K25">
            <v>0.15000000596046448</v>
          </cell>
          <cell r="L25">
            <v>1749.9458206176757</v>
          </cell>
          <cell r="M25">
            <v>0</v>
          </cell>
          <cell r="N25">
            <v>0.38346231221738791</v>
          </cell>
          <cell r="O25">
            <v>0.61000001430511475</v>
          </cell>
          <cell r="P25">
            <v>7.59405517578125</v>
          </cell>
          <cell r="Q25">
            <v>-5.79486083984375</v>
          </cell>
          <cell r="R25">
            <v>33.0625</v>
          </cell>
          <cell r="T25">
            <v>0</v>
          </cell>
        </row>
        <row r="26">
          <cell r="E26">
            <v>38237.666666666664</v>
          </cell>
          <cell r="F26">
            <v>4.5182330446381308E-3</v>
          </cell>
          <cell r="G26">
            <v>1.8388687070045207</v>
          </cell>
          <cell r="H26">
            <v>1701.9899103800456</v>
          </cell>
          <cell r="I26">
            <v>1.8600000143051147</v>
          </cell>
          <cell r="J26">
            <v>0</v>
          </cell>
          <cell r="K26">
            <v>0.11999999731779099</v>
          </cell>
          <cell r="L26">
            <v>1747.4423919677733</v>
          </cell>
          <cell r="M26">
            <v>0</v>
          </cell>
          <cell r="N26">
            <v>0.35849908608943226</v>
          </cell>
          <cell r="O26">
            <v>0.4699999988079071</v>
          </cell>
          <cell r="P26">
            <v>90.36871337890625</v>
          </cell>
          <cell r="Q26">
            <v>-1.60980224609375E-2</v>
          </cell>
          <cell r="R26">
            <v>16.4375</v>
          </cell>
          <cell r="T26">
            <v>0</v>
          </cell>
        </row>
        <row r="27">
          <cell r="E27">
            <v>38238</v>
          </cell>
          <cell r="F27">
            <v>3.7471996986904441E-3</v>
          </cell>
          <cell r="G27">
            <v>1.840265422190229</v>
          </cell>
          <cell r="H27">
            <v>1702.1447321573894</v>
          </cell>
          <cell r="I27">
            <v>1.8899999856948853</v>
          </cell>
          <cell r="J27">
            <v>0</v>
          </cell>
          <cell r="K27">
            <v>0.18000000715255737</v>
          </cell>
          <cell r="L27">
            <v>1750.2069244384766</v>
          </cell>
          <cell r="M27">
            <v>0</v>
          </cell>
          <cell r="N27">
            <v>0.34902366277658275</v>
          </cell>
          <cell r="O27">
            <v>0.61000001430511475</v>
          </cell>
          <cell r="P27">
            <v>17.37127685546875</v>
          </cell>
          <cell r="Q27">
            <v>-4.8290252685546875E-2</v>
          </cell>
          <cell r="R27">
            <v>0.93359375</v>
          </cell>
          <cell r="T27">
            <v>0</v>
          </cell>
        </row>
        <row r="28">
          <cell r="E28">
            <v>38238.333333333336</v>
          </cell>
          <cell r="F28">
            <v>2.557171597604227E-3</v>
          </cell>
          <cell r="G28">
            <v>1.8413423539863691</v>
          </cell>
          <cell r="H28">
            <v>1701.8989864349364</v>
          </cell>
          <cell r="I28">
            <v>1.8899999856948853</v>
          </cell>
          <cell r="J28">
            <v>0</v>
          </cell>
          <cell r="K28">
            <v>0.11999999731779099</v>
          </cell>
          <cell r="L28">
            <v>1502.4684616088866</v>
          </cell>
          <cell r="M28">
            <v>0</v>
          </cell>
          <cell r="N28">
            <v>0.36150020462357335</v>
          </cell>
          <cell r="O28">
            <v>0.5899999737739563</v>
          </cell>
          <cell r="P28">
            <v>8.353515625</v>
          </cell>
          <cell r="Q28">
            <v>-1.1589736938476563</v>
          </cell>
          <cell r="R28">
            <v>3.36328125</v>
          </cell>
          <cell r="T28">
            <v>0</v>
          </cell>
        </row>
        <row r="29">
          <cell r="E29">
            <v>38238.666666666664</v>
          </cell>
          <cell r="F29">
            <v>6.7968338743336666E-3</v>
          </cell>
          <cell r="G29">
            <v>1.8426306138849922</v>
          </cell>
          <cell r="H29">
            <v>1712.6279266357421</v>
          </cell>
          <cell r="I29">
            <v>1.8300000429153442</v>
          </cell>
          <cell r="J29">
            <v>0</v>
          </cell>
          <cell r="K29">
            <v>0.12999999523162842</v>
          </cell>
          <cell r="L29">
            <v>1170.6762817382812</v>
          </cell>
          <cell r="M29">
            <v>0</v>
          </cell>
          <cell r="N29">
            <v>0.34973050817433332</v>
          </cell>
          <cell r="O29">
            <v>0.55000001192092896</v>
          </cell>
          <cell r="P29">
            <v>41.5771484375</v>
          </cell>
          <cell r="Q29">
            <v>2.3823356628417969</v>
          </cell>
          <cell r="R29">
            <v>-114.50390625</v>
          </cell>
          <cell r="T29">
            <v>0</v>
          </cell>
        </row>
        <row r="30">
          <cell r="E30">
            <v>38239</v>
          </cell>
          <cell r="F30">
            <v>4.8433943341034333E-3</v>
          </cell>
          <cell r="G30">
            <v>1.8377957366820838</v>
          </cell>
          <cell r="H30">
            <v>1704.2218893686929</v>
          </cell>
          <cell r="I30">
            <v>1.8999999761581421</v>
          </cell>
          <cell r="J30">
            <v>0</v>
          </cell>
          <cell r="K30">
            <v>0.14000000059604645</v>
          </cell>
          <cell r="L30">
            <v>1400.0020050048829</v>
          </cell>
          <cell r="M30">
            <v>0</v>
          </cell>
          <cell r="N30">
            <v>0.38146290861897997</v>
          </cell>
          <cell r="O30">
            <v>0.43000000715255737</v>
          </cell>
          <cell r="P30">
            <v>-174.5673828125</v>
          </cell>
          <cell r="Q30">
            <v>-2.3179473876953125</v>
          </cell>
          <cell r="R30">
            <v>-12.703125</v>
          </cell>
          <cell r="T30">
            <v>0</v>
          </cell>
        </row>
        <row r="31">
          <cell r="E31">
            <v>38239.333333333336</v>
          </cell>
          <cell r="F31">
            <v>3.0823140154931992E-3</v>
          </cell>
          <cell r="G31">
            <v>1.8411059747967455</v>
          </cell>
          <cell r="H31">
            <v>1696.0359648386636</v>
          </cell>
          <cell r="I31">
            <v>1.8700000047683716</v>
          </cell>
          <cell r="J31">
            <v>0</v>
          </cell>
          <cell r="K31">
            <v>0.11999999731779099</v>
          </cell>
          <cell r="L31">
            <v>1741.0719772338866</v>
          </cell>
          <cell r="M31">
            <v>0</v>
          </cell>
          <cell r="N31">
            <v>0.38684797580871316</v>
          </cell>
          <cell r="O31">
            <v>0.41999998688697815</v>
          </cell>
          <cell r="P31">
            <v>-13.479400634765625</v>
          </cell>
          <cell r="Q31">
            <v>-2.3662376403808594</v>
          </cell>
          <cell r="R31">
            <v>55.1044921875</v>
          </cell>
          <cell r="T31">
            <v>0</v>
          </cell>
        </row>
        <row r="32">
          <cell r="E32">
            <v>38239.666666666664</v>
          </cell>
          <cell r="F32">
            <v>8.9785622009685533E-3</v>
          </cell>
          <cell r="G32">
            <v>1.8409227571967575</v>
          </cell>
          <cell r="H32">
            <v>1680.7766203562419</v>
          </cell>
          <cell r="I32">
            <v>1.8700000047683716</v>
          </cell>
          <cell r="J32">
            <v>0</v>
          </cell>
          <cell r="K32">
            <v>9.0000003576278687E-2</v>
          </cell>
          <cell r="L32">
            <v>1698.2456695556641</v>
          </cell>
          <cell r="M32">
            <v>0</v>
          </cell>
          <cell r="N32">
            <v>0.38318299249642424</v>
          </cell>
          <cell r="O32">
            <v>0.56999999284744263</v>
          </cell>
          <cell r="P32">
            <v>-7.024444580078125</v>
          </cell>
          <cell r="Q32">
            <v>4.7485733032226563</v>
          </cell>
          <cell r="R32">
            <v>144.7646484375</v>
          </cell>
          <cell r="T32">
            <v>0</v>
          </cell>
        </row>
        <row r="33">
          <cell r="E33">
            <v>38240</v>
          </cell>
          <cell r="F33">
            <v>6.8081391250012129E-3</v>
          </cell>
          <cell r="G33">
            <v>1.839345982298255</v>
          </cell>
          <cell r="H33">
            <v>1612.8902866363526</v>
          </cell>
          <cell r="I33">
            <v>1.690000057220459</v>
          </cell>
          <cell r="J33">
            <v>0</v>
          </cell>
          <cell r="K33">
            <v>0.11999999731779099</v>
          </cell>
          <cell r="L33">
            <v>1677.0934616088866</v>
          </cell>
          <cell r="M33">
            <v>0</v>
          </cell>
          <cell r="N33">
            <v>0.28881351928123167</v>
          </cell>
          <cell r="O33">
            <v>0.40000000596046448</v>
          </cell>
          <cell r="P33">
            <v>-7.4041748046875</v>
          </cell>
          <cell r="Q33">
            <v>-2.3823356628417969</v>
          </cell>
          <cell r="R33">
            <v>730.7294921875</v>
          </cell>
          <cell r="T33">
            <v>0</v>
          </cell>
        </row>
        <row r="34">
          <cell r="E34">
            <v>38240.333333333336</v>
          </cell>
          <cell r="F34">
            <v>3.649241237746906E-3</v>
          </cell>
          <cell r="G34">
            <v>1.8386225175526407</v>
          </cell>
          <cell r="H34">
            <v>1705.4943154652913</v>
          </cell>
          <cell r="I34">
            <v>1.8899999856948853</v>
          </cell>
          <cell r="J34">
            <v>0</v>
          </cell>
          <cell r="K34">
            <v>0.10999999940395355</v>
          </cell>
          <cell r="L34">
            <v>1749.8066909790039</v>
          </cell>
          <cell r="M34">
            <v>0</v>
          </cell>
          <cell r="N34">
            <v>0.37863847303928599</v>
          </cell>
          <cell r="O34">
            <v>0.51999998092651367</v>
          </cell>
          <cell r="P34">
            <v>-12.05548095703125</v>
          </cell>
          <cell r="Q34">
            <v>-3.5735015869140625</v>
          </cell>
          <cell r="R34">
            <v>-20.5478515625</v>
          </cell>
          <cell r="T34">
            <v>0</v>
          </cell>
        </row>
        <row r="35">
          <cell r="E35">
            <v>38240.666666666664</v>
          </cell>
          <cell r="F35">
            <v>8.7993721696105042E-3</v>
          </cell>
          <cell r="G35">
            <v>1.8357847312258349</v>
          </cell>
          <cell r="H35">
            <v>1671.9868142445882</v>
          </cell>
          <cell r="I35">
            <v>1.7999999523162842</v>
          </cell>
          <cell r="J35">
            <v>0</v>
          </cell>
          <cell r="K35">
            <v>0.14000000059604645</v>
          </cell>
          <cell r="L35">
            <v>1749.7485458374024</v>
          </cell>
          <cell r="M35">
            <v>0</v>
          </cell>
          <cell r="N35">
            <v>0.38382723543586</v>
          </cell>
          <cell r="O35">
            <v>0.43000000715255737</v>
          </cell>
          <cell r="P35">
            <v>-7.49908447265625</v>
          </cell>
          <cell r="Q35">
            <v>5.891448974609375</v>
          </cell>
          <cell r="R35">
            <v>187.166015625</v>
          </cell>
          <cell r="T35">
            <v>0</v>
          </cell>
        </row>
        <row r="36">
          <cell r="E36">
            <v>38241</v>
          </cell>
          <cell r="F36">
            <v>6.2419452981986173E-3</v>
          </cell>
          <cell r="G36">
            <v>1.8384340080122152</v>
          </cell>
          <cell r="H36">
            <v>1679.8322575887044</v>
          </cell>
          <cell r="I36">
            <v>1.8200000524520874</v>
          </cell>
          <cell r="J36">
            <v>0</v>
          </cell>
          <cell r="K36">
            <v>0.14000000059604645</v>
          </cell>
          <cell r="L36">
            <v>1750.0509948730469</v>
          </cell>
          <cell r="M36">
            <v>0</v>
          </cell>
          <cell r="N36">
            <v>0.34297519185476832</v>
          </cell>
          <cell r="O36">
            <v>0.85000002384185791</v>
          </cell>
          <cell r="P36">
            <v>6.0751953125</v>
          </cell>
          <cell r="Q36">
            <v>-3.4769172668457031</v>
          </cell>
          <cell r="R36">
            <v>151.1142578125</v>
          </cell>
          <cell r="T36">
            <v>0</v>
          </cell>
        </row>
        <row r="37">
          <cell r="E37">
            <v>38241.333333333336</v>
          </cell>
          <cell r="F37">
            <v>3.4269049285731296E-3</v>
          </cell>
          <cell r="G37">
            <v>1.838433295653926</v>
          </cell>
          <cell r="H37">
            <v>1682.5908653259278</v>
          </cell>
          <cell r="I37">
            <v>1.7000000476837158</v>
          </cell>
          <cell r="J37">
            <v>0</v>
          </cell>
          <cell r="K37">
            <v>0.11999999731779099</v>
          </cell>
          <cell r="L37">
            <v>1749.7270721435548</v>
          </cell>
          <cell r="M37">
            <v>0</v>
          </cell>
          <cell r="N37">
            <v>0.34920734522683133</v>
          </cell>
          <cell r="O37">
            <v>0.52999997138977051</v>
          </cell>
          <cell r="P37">
            <v>-20.693695068359375</v>
          </cell>
          <cell r="Q37">
            <v>-2.3984298706054688</v>
          </cell>
          <cell r="R37">
            <v>117.8642578125</v>
          </cell>
          <cell r="T37">
            <v>0</v>
          </cell>
        </row>
        <row r="38">
          <cell r="E38">
            <v>38241.666666666664</v>
          </cell>
          <cell r="F38">
            <v>1.0938987456059089E-2</v>
          </cell>
          <cell r="G38">
            <v>1.8384498452974691</v>
          </cell>
          <cell r="H38">
            <v>1685.1920230865478</v>
          </cell>
          <cell r="I38">
            <v>1.7999999523162842</v>
          </cell>
          <cell r="J38">
            <v>0</v>
          </cell>
          <cell r="K38">
            <v>0.10999999940395355</v>
          </cell>
          <cell r="L38">
            <v>1750.0278030395507</v>
          </cell>
          <cell r="M38">
            <v>0</v>
          </cell>
          <cell r="N38">
            <v>0.36398880652462445</v>
          </cell>
          <cell r="O38">
            <v>0.43999999761581421</v>
          </cell>
          <cell r="P38">
            <v>0.949249267578125</v>
          </cell>
          <cell r="Q38">
            <v>7.0182228088378906</v>
          </cell>
          <cell r="R38">
            <v>116.3740234375</v>
          </cell>
          <cell r="T38">
            <v>0</v>
          </cell>
        </row>
        <row r="39">
          <cell r="E39">
            <v>38242</v>
          </cell>
          <cell r="F39">
            <v>7.9877858561909921E-3</v>
          </cell>
          <cell r="G39">
            <v>1.8387068397468991</v>
          </cell>
          <cell r="H39">
            <v>1688.0716007232666</v>
          </cell>
          <cell r="I39">
            <v>1.8300000429153442</v>
          </cell>
          <cell r="J39">
            <v>0</v>
          </cell>
          <cell r="K39">
            <v>0.15000000596046448</v>
          </cell>
          <cell r="L39">
            <v>1749.9373504638672</v>
          </cell>
          <cell r="M39">
            <v>0</v>
          </cell>
          <cell r="N39">
            <v>0.37673950989006294</v>
          </cell>
          <cell r="O39">
            <v>0.56999999284744263</v>
          </cell>
          <cell r="P39">
            <v>-6.929534912109375</v>
          </cell>
          <cell r="Q39">
            <v>-4.6197929382324219</v>
          </cell>
          <cell r="R39">
            <v>131.8740234375</v>
          </cell>
          <cell r="T39">
            <v>0</v>
          </cell>
        </row>
        <row r="40">
          <cell r="E40">
            <v>38242.333333333336</v>
          </cell>
          <cell r="F40">
            <v>6.8242257683272731E-3</v>
          </cell>
          <cell r="G40">
            <v>1.8385817327847083</v>
          </cell>
          <cell r="H40">
            <v>1691.6177143096925</v>
          </cell>
          <cell r="I40">
            <v>1.8200000524520874</v>
          </cell>
          <cell r="J40">
            <v>0</v>
          </cell>
          <cell r="K40">
            <v>0.10000000149011612</v>
          </cell>
          <cell r="L40">
            <v>1750.1023742675782</v>
          </cell>
          <cell r="M40">
            <v>0</v>
          </cell>
          <cell r="N40">
            <v>0.39568041292950512</v>
          </cell>
          <cell r="O40">
            <v>0.50999999046325684</v>
          </cell>
          <cell r="P40">
            <v>-21.548004150390625</v>
          </cell>
          <cell r="Q40">
            <v>-2.3501396179199219</v>
          </cell>
          <cell r="R40">
            <v>133.1826171875</v>
          </cell>
          <cell r="T40">
            <v>0</v>
          </cell>
        </row>
        <row r="41">
          <cell r="E41">
            <v>38242.666666666664</v>
          </cell>
          <cell r="F41">
            <v>1.5979639942007552E-2</v>
          </cell>
          <cell r="G41">
            <v>1.836837619004978</v>
          </cell>
          <cell r="H41">
            <v>1625.1697357177734</v>
          </cell>
          <cell r="I41">
            <v>1.7200000286102295</v>
          </cell>
          <cell r="J41">
            <v>0</v>
          </cell>
          <cell r="K41">
            <v>0.12999999523162842</v>
          </cell>
          <cell r="L41">
            <v>1749.8985244750977</v>
          </cell>
          <cell r="M41">
            <v>0</v>
          </cell>
          <cell r="N41">
            <v>0.33782906994844475</v>
          </cell>
          <cell r="O41">
            <v>0.54000002145767212</v>
          </cell>
          <cell r="P41">
            <v>8.163543701171875</v>
          </cell>
          <cell r="Q41">
            <v>4.6036949157714844</v>
          </cell>
          <cell r="R41">
            <v>660.0771484375</v>
          </cell>
          <cell r="T41">
            <v>0</v>
          </cell>
        </row>
        <row r="42">
          <cell r="E42">
            <v>38243</v>
          </cell>
          <cell r="F42">
            <v>1.4078107477042875E-2</v>
          </cell>
          <cell r="G42">
            <v>1.8371474356700976</v>
          </cell>
          <cell r="H42">
            <v>1630.1389474487305</v>
          </cell>
          <cell r="I42">
            <v>1.8200000524520874</v>
          </cell>
          <cell r="J42">
            <v>0</v>
          </cell>
          <cell r="K42">
            <v>0.11999999731779099</v>
          </cell>
          <cell r="L42">
            <v>1749.8645403967964</v>
          </cell>
          <cell r="M42">
            <v>0</v>
          </cell>
          <cell r="N42">
            <v>0.33766905536047287</v>
          </cell>
          <cell r="O42">
            <v>0.56999999284744263</v>
          </cell>
          <cell r="P42">
            <v>-6.73968505859375</v>
          </cell>
          <cell r="Q42">
            <v>-3.4608192443847656</v>
          </cell>
          <cell r="R42">
            <v>653.814453125</v>
          </cell>
          <cell r="T42">
            <v>0</v>
          </cell>
        </row>
        <row r="43">
          <cell r="E43">
            <v>38243.333333333336</v>
          </cell>
          <cell r="F43">
            <v>1.0419189718878544E-2</v>
          </cell>
          <cell r="G43">
            <v>1.836760734518369</v>
          </cell>
          <cell r="H43">
            <v>1656.7552190144856</v>
          </cell>
          <cell r="I43">
            <v>1.7699999809265137</v>
          </cell>
          <cell r="J43">
            <v>0</v>
          </cell>
          <cell r="K43">
            <v>0.11999999731779099</v>
          </cell>
          <cell r="L43">
            <v>1748.5937866210938</v>
          </cell>
          <cell r="M43">
            <v>0</v>
          </cell>
          <cell r="N43">
            <v>0.36298495155966115</v>
          </cell>
          <cell r="O43">
            <v>0.51999998092651367</v>
          </cell>
          <cell r="P43">
            <v>-25.724700927734375</v>
          </cell>
          <cell r="Q43">
            <v>-2.2535591125488281</v>
          </cell>
          <cell r="R43">
            <v>433.70703125</v>
          </cell>
          <cell r="T43">
            <v>0</v>
          </cell>
        </row>
        <row r="44">
          <cell r="E44">
            <v>38243.666666666664</v>
          </cell>
          <cell r="F44">
            <v>1.6487990642700526E-2</v>
          </cell>
          <cell r="G44">
            <v>1.8377391822636127</v>
          </cell>
          <cell r="H44">
            <v>1661.8713088989257</v>
          </cell>
          <cell r="I44">
            <v>1.7999999523162842</v>
          </cell>
          <cell r="J44">
            <v>0</v>
          </cell>
          <cell r="K44">
            <v>0.10000000149011612</v>
          </cell>
          <cell r="L44">
            <v>1750.3970275878905</v>
          </cell>
          <cell r="M44">
            <v>0</v>
          </cell>
          <cell r="N44">
            <v>0.3651566646579239</v>
          </cell>
          <cell r="O44">
            <v>0.51999998092651367</v>
          </cell>
          <cell r="P44">
            <v>9.01788330078125</v>
          </cell>
          <cell r="Q44">
            <v>-0.25754928588867188</v>
          </cell>
          <cell r="R44">
            <v>354.525390625</v>
          </cell>
          <cell r="T44">
            <v>0</v>
          </cell>
        </row>
        <row r="45">
          <cell r="E45">
            <v>38244</v>
          </cell>
          <cell r="F45">
            <v>1.3503376295961465E-2</v>
          </cell>
          <cell r="G45">
            <v>1.8337316629787286</v>
          </cell>
          <cell r="H45">
            <v>1685.8762500762939</v>
          </cell>
          <cell r="I45">
            <v>1.809999942779541</v>
          </cell>
          <cell r="J45">
            <v>0</v>
          </cell>
          <cell r="K45">
            <v>9.0000003576278687E-2</v>
          </cell>
          <cell r="L45">
            <v>1747.6220924377442</v>
          </cell>
          <cell r="M45">
            <v>0</v>
          </cell>
          <cell r="N45">
            <v>0.3916960993057324</v>
          </cell>
          <cell r="O45">
            <v>0.4699999988079071</v>
          </cell>
          <cell r="P45">
            <v>-8.353424072265625</v>
          </cell>
          <cell r="Q45">
            <v>4.8290252685546875E-2</v>
          </cell>
          <cell r="R45">
            <v>184.826171875</v>
          </cell>
          <cell r="T45">
            <v>0</v>
          </cell>
        </row>
        <row r="46">
          <cell r="E46">
            <v>38244.333333333336</v>
          </cell>
          <cell r="F46">
            <v>1.0039653861895204E-2</v>
          </cell>
          <cell r="G46">
            <v>1.8371473435312509</v>
          </cell>
          <cell r="H46">
            <v>1308.7672470092773</v>
          </cell>
          <cell r="I46">
            <v>1.7999999523162842</v>
          </cell>
          <cell r="J46">
            <v>0</v>
          </cell>
          <cell r="K46">
            <v>0.10999999940395355</v>
          </cell>
          <cell r="L46">
            <v>1746.656834411621</v>
          </cell>
          <cell r="M46">
            <v>0</v>
          </cell>
          <cell r="N46">
            <v>4.1538031123733769E-2</v>
          </cell>
          <cell r="O46">
            <v>0.25999999046325684</v>
          </cell>
          <cell r="P46">
            <v>-20.978485107421875</v>
          </cell>
          <cell r="Q46">
            <v>0.11267471313476563</v>
          </cell>
          <cell r="R46">
            <v>3328.123046875</v>
          </cell>
          <cell r="T46">
            <v>0</v>
          </cell>
        </row>
        <row r="47">
          <cell r="E47">
            <v>38244.666666666664</v>
          </cell>
          <cell r="F47">
            <v>1.6393387306743536E-2</v>
          </cell>
          <cell r="G47">
            <v>1.8363449291222624</v>
          </cell>
          <cell r="H47">
            <v>1485.9836165110271</v>
          </cell>
          <cell r="I47">
            <v>1.7999999523162842</v>
          </cell>
          <cell r="J47">
            <v>0</v>
          </cell>
          <cell r="K47">
            <v>0.10999999940395355</v>
          </cell>
          <cell r="L47">
            <v>1672.1761093139648</v>
          </cell>
          <cell r="M47">
            <v>0</v>
          </cell>
          <cell r="N47">
            <v>0</v>
          </cell>
          <cell r="O47">
            <v>0.25999999046325684</v>
          </cell>
          <cell r="P47">
            <v>8.733154296875</v>
          </cell>
          <cell r="Q47">
            <v>2613.2730026245117</v>
          </cell>
          <cell r="R47">
            <v>1001.240234375</v>
          </cell>
          <cell r="T47">
            <v>0</v>
          </cell>
        </row>
        <row r="48">
          <cell r="E48">
            <v>38245</v>
          </cell>
          <cell r="F48">
            <v>1.3189702036227876E-2</v>
          </cell>
          <cell r="G48">
            <v>1.8352024427304665</v>
          </cell>
          <cell r="H48">
            <v>1653.2106747945149</v>
          </cell>
          <cell r="I48">
            <v>1.8200000524520874</v>
          </cell>
          <cell r="J48">
            <v>0</v>
          </cell>
          <cell r="K48">
            <v>0.10000000149011612</v>
          </cell>
          <cell r="L48">
            <v>1632.7961700439453</v>
          </cell>
          <cell r="M48">
            <v>0</v>
          </cell>
          <cell r="N48">
            <v>0</v>
          </cell>
          <cell r="O48">
            <v>0.28999999165534973</v>
          </cell>
          <cell r="P48">
            <v>-0.7593994140625</v>
          </cell>
          <cell r="Q48">
            <v>4614.943359375</v>
          </cell>
          <cell r="R48">
            <v>-1200.125</v>
          </cell>
          <cell r="T48">
            <v>0</v>
          </cell>
        </row>
        <row r="49">
          <cell r="E49">
            <v>38245.333333333336</v>
          </cell>
          <cell r="F49">
            <v>9.9367640585923157E-3</v>
          </cell>
          <cell r="G49">
            <v>1.8367457383208805</v>
          </cell>
          <cell r="H49">
            <v>1637.8095530192056</v>
          </cell>
          <cell r="I49">
            <v>1.809999942779541</v>
          </cell>
          <cell r="J49">
            <v>0</v>
          </cell>
          <cell r="K49">
            <v>7.9999998211860657E-2</v>
          </cell>
          <cell r="L49">
            <v>1723.7803100585938</v>
          </cell>
          <cell r="M49">
            <v>0</v>
          </cell>
          <cell r="N49">
            <v>0</v>
          </cell>
          <cell r="O49">
            <v>0.27000001072883606</v>
          </cell>
          <cell r="P49">
            <v>-20.02923583984375</v>
          </cell>
          <cell r="Q49">
            <v>4312.68115234375</v>
          </cell>
          <cell r="R49">
            <v>-1098.09765625</v>
          </cell>
          <cell r="T49">
            <v>0</v>
          </cell>
        </row>
        <row r="50">
          <cell r="E50">
            <v>38245.666666666664</v>
          </cell>
          <cell r="F50">
            <v>1.6904253884503204E-2</v>
          </cell>
          <cell r="G50">
            <v>1.8384163745161559</v>
          </cell>
          <cell r="H50">
            <v>1198.432125447591</v>
          </cell>
          <cell r="I50">
            <v>1.7999999523162842</v>
          </cell>
          <cell r="J50">
            <v>0</v>
          </cell>
          <cell r="K50">
            <v>7.9999998211860657E-2</v>
          </cell>
          <cell r="L50">
            <v>1660.7165652804904</v>
          </cell>
          <cell r="M50">
            <v>0</v>
          </cell>
          <cell r="N50">
            <v>0</v>
          </cell>
          <cell r="O50">
            <v>0.15000000596046448</v>
          </cell>
          <cell r="P50">
            <v>9.490966796875E-2</v>
          </cell>
          <cell r="Q50">
            <v>116.5009765625</v>
          </cell>
          <cell r="R50">
            <v>2508.66796875</v>
          </cell>
          <cell r="T50">
            <v>0</v>
          </cell>
        </row>
        <row r="51">
          <cell r="E51">
            <v>38246</v>
          </cell>
          <cell r="F51">
            <v>1.3216660378061029E-2</v>
          </cell>
          <cell r="G51">
            <v>1.8356449978219138</v>
          </cell>
          <cell r="H51">
            <v>1226.5551124572753</v>
          </cell>
          <cell r="I51">
            <v>1.7999999523162842</v>
          </cell>
          <cell r="J51">
            <v>0</v>
          </cell>
          <cell r="K51">
            <v>0.10000000149011612</v>
          </cell>
          <cell r="L51">
            <v>1666.5384277343751</v>
          </cell>
          <cell r="M51">
            <v>0</v>
          </cell>
          <cell r="N51">
            <v>0.13080767286656839</v>
          </cell>
          <cell r="O51">
            <v>0.20999999344348907</v>
          </cell>
          <cell r="P51">
            <v>-7.593994140625</v>
          </cell>
          <cell r="Q51">
            <v>-722.5439453125</v>
          </cell>
          <cell r="R51">
            <v>2446.95703125</v>
          </cell>
          <cell r="T51">
            <v>0</v>
          </cell>
        </row>
        <row r="52">
          <cell r="E52">
            <v>38246.333333333336</v>
          </cell>
          <cell r="F52">
            <v>1.006068405072761E-2</v>
          </cell>
          <cell r="G52">
            <v>1.8323867789159218</v>
          </cell>
          <cell r="H52">
            <v>1497.1275660196941</v>
          </cell>
          <cell r="I52">
            <v>1.7999999523162842</v>
          </cell>
          <cell r="J52">
            <v>0</v>
          </cell>
          <cell r="K52">
            <v>0.10000000149011612</v>
          </cell>
          <cell r="L52">
            <v>1750.1143783569337</v>
          </cell>
          <cell r="M52">
            <v>0</v>
          </cell>
          <cell r="N52">
            <v>0.32359294571603336</v>
          </cell>
          <cell r="O52">
            <v>0.40999999642372131</v>
          </cell>
          <cell r="P52">
            <v>-15.472808837890625</v>
          </cell>
          <cell r="Q52">
            <v>151.76953125</v>
          </cell>
          <cell r="R52">
            <v>92.251953125</v>
          </cell>
          <cell r="T52">
            <v>0</v>
          </cell>
        </row>
        <row r="53">
          <cell r="E53">
            <v>38246.666666666664</v>
          </cell>
          <cell r="F53">
            <v>1.7415157821718215E-2</v>
          </cell>
          <cell r="G53">
            <v>1.8343638837337495</v>
          </cell>
          <cell r="H53">
            <v>1478.2271067301433</v>
          </cell>
          <cell r="I53">
            <v>1.8300000429153442</v>
          </cell>
          <cell r="J53">
            <v>0</v>
          </cell>
          <cell r="K53">
            <v>7.0000000298023224E-2</v>
          </cell>
          <cell r="L53">
            <v>1744.1023681640625</v>
          </cell>
          <cell r="M53">
            <v>0</v>
          </cell>
          <cell r="N53">
            <v>0.27581913871690633</v>
          </cell>
          <cell r="O53">
            <v>0.23999999463558197</v>
          </cell>
          <cell r="P53">
            <v>2.088348388671875</v>
          </cell>
          <cell r="Q53">
            <v>403.3369140625</v>
          </cell>
          <cell r="R53">
            <v>203.365234375</v>
          </cell>
          <cell r="T53">
            <v>0</v>
          </cell>
        </row>
        <row r="54">
          <cell r="E54">
            <v>38247</v>
          </cell>
          <cell r="F54">
            <v>1.3861504579350974E-2</v>
          </cell>
          <cell r="G54">
            <v>1.8320795063343314</v>
          </cell>
          <cell r="H54">
            <v>1455.2930273691813</v>
          </cell>
          <cell r="I54">
            <v>1.7999999523162842</v>
          </cell>
          <cell r="J54">
            <v>0</v>
          </cell>
          <cell r="K54">
            <v>7.9999998211860657E-2</v>
          </cell>
          <cell r="L54">
            <v>1749.5846160888673</v>
          </cell>
          <cell r="M54">
            <v>0</v>
          </cell>
          <cell r="N54">
            <v>0.53926156432264383</v>
          </cell>
          <cell r="O54">
            <v>0.56000000238418579</v>
          </cell>
          <cell r="P54">
            <v>-1.13909912109375</v>
          </cell>
          <cell r="Q54">
            <v>-2230.9228515625</v>
          </cell>
          <cell r="R54">
            <v>457.314453125</v>
          </cell>
          <cell r="T54">
            <v>0</v>
          </cell>
        </row>
        <row r="55">
          <cell r="E55">
            <v>38247.333333333336</v>
          </cell>
          <cell r="F55">
            <v>1.0822729949884686E-2</v>
          </cell>
          <cell r="G55">
            <v>1.8301365555988418</v>
          </cell>
          <cell r="H55">
            <v>1707.4851505279541</v>
          </cell>
          <cell r="I55">
            <v>1.75</v>
          </cell>
          <cell r="J55">
            <v>0</v>
          </cell>
          <cell r="K55">
            <v>0.10000000149011612</v>
          </cell>
          <cell r="L55">
            <v>1750.056591796875</v>
          </cell>
          <cell r="M55">
            <v>0</v>
          </cell>
          <cell r="N55">
            <v>0.54498358441309791</v>
          </cell>
          <cell r="O55">
            <v>0.62000000476837158</v>
          </cell>
          <cell r="P55">
            <v>-1.2340087890625</v>
          </cell>
          <cell r="Q55">
            <v>221.298828125</v>
          </cell>
          <cell r="R55">
            <v>-1658.912109375</v>
          </cell>
          <cell r="T55">
            <v>0</v>
          </cell>
        </row>
        <row r="56">
          <cell r="E56">
            <v>38247.666666666664</v>
          </cell>
          <cell r="F56">
            <v>1.4095069142705243E-2</v>
          </cell>
          <cell r="G56">
            <v>1.8309673306428724</v>
          </cell>
          <cell r="H56">
            <v>1605.5974952697754</v>
          </cell>
          <cell r="I56">
            <v>1.7300000190734863</v>
          </cell>
          <cell r="J56">
            <v>0</v>
          </cell>
          <cell r="K56">
            <v>0.10000000149011612</v>
          </cell>
          <cell r="L56">
            <v>1750.256883239746</v>
          </cell>
          <cell r="M56">
            <v>0</v>
          </cell>
          <cell r="N56">
            <v>0.55107340550877981</v>
          </cell>
          <cell r="O56">
            <v>0.5899999737739563</v>
          </cell>
          <cell r="P56">
            <v>88.94488525390625</v>
          </cell>
          <cell r="Q56">
            <v>-926.072265625</v>
          </cell>
          <cell r="R56">
            <v>-867.978515625</v>
          </cell>
          <cell r="T56">
            <v>0</v>
          </cell>
        </row>
        <row r="57">
          <cell r="E57">
            <v>38248</v>
          </cell>
          <cell r="F57">
            <v>1.079300808527882E-2</v>
          </cell>
          <cell r="G57">
            <v>1.8296854785333077</v>
          </cell>
          <cell r="H57">
            <v>1531.5038178761799</v>
          </cell>
          <cell r="I57">
            <v>1.7999999523162842</v>
          </cell>
          <cell r="J57">
            <v>0</v>
          </cell>
          <cell r="K57">
            <v>7.9999998211860657E-2</v>
          </cell>
          <cell r="L57">
            <v>1750.0909469604492</v>
          </cell>
          <cell r="M57">
            <v>0</v>
          </cell>
          <cell r="N57">
            <v>0.49500869454609026</v>
          </cell>
          <cell r="O57">
            <v>0.5899999737739563</v>
          </cell>
          <cell r="P57">
            <v>4.8411865234375</v>
          </cell>
          <cell r="Q57">
            <v>-808.42041015625</v>
          </cell>
          <cell r="R57">
            <v>-205.98828125</v>
          </cell>
          <cell r="T57">
            <v>0</v>
          </cell>
        </row>
        <row r="58">
          <cell r="E58">
            <v>38248.333333333336</v>
          </cell>
          <cell r="F58">
            <v>8.7429797284130466E-3</v>
          </cell>
          <cell r="G58">
            <v>1.8297363498972521</v>
          </cell>
          <cell r="H58">
            <v>1461.2339843750001</v>
          </cell>
          <cell r="I58">
            <v>1.7400000095367432</v>
          </cell>
          <cell r="J58">
            <v>0</v>
          </cell>
          <cell r="K58">
            <v>9.0000003576278687E-2</v>
          </cell>
          <cell r="L58">
            <v>1750.0349105834962</v>
          </cell>
          <cell r="M58">
            <v>0</v>
          </cell>
          <cell r="N58">
            <v>0.40312974382605815</v>
          </cell>
          <cell r="O58">
            <v>0.62000000476837158</v>
          </cell>
          <cell r="P58">
            <v>-15.0931396484375</v>
          </cell>
          <cell r="Q58">
            <v>-643.5322265625</v>
          </cell>
          <cell r="R58">
            <v>419.05078125</v>
          </cell>
          <cell r="T58">
            <v>0</v>
          </cell>
        </row>
        <row r="59">
          <cell r="E59">
            <v>38248.666666666664</v>
          </cell>
          <cell r="F59">
            <v>1.1255388202051917E-2</v>
          </cell>
          <cell r="G59">
            <v>1.8289790234631962</v>
          </cell>
          <cell r="H59">
            <v>1582.7150805155436</v>
          </cell>
          <cell r="I59">
            <v>1.7100000381469727</v>
          </cell>
          <cell r="J59">
            <v>0</v>
          </cell>
          <cell r="K59">
            <v>0.10999999940395355</v>
          </cell>
          <cell r="L59">
            <v>1750.0269973754882</v>
          </cell>
          <cell r="M59">
            <v>0</v>
          </cell>
          <cell r="N59">
            <v>0.52603739460723264</v>
          </cell>
          <cell r="O59">
            <v>0.62000000476837158</v>
          </cell>
          <cell r="P59">
            <v>-117.3275146484375</v>
          </cell>
          <cell r="Q59">
            <v>-591.767578125</v>
          </cell>
          <cell r="R59">
            <v>-709.42578125</v>
          </cell>
          <cell r="T59">
            <v>0</v>
          </cell>
        </row>
        <row r="60">
          <cell r="E60">
            <v>38249</v>
          </cell>
          <cell r="F60">
            <v>9.629002305559374E-3</v>
          </cell>
          <cell r="G60">
            <v>1.6730433010392718</v>
          </cell>
          <cell r="H60">
            <v>1536.321588092379</v>
          </cell>
          <cell r="I60">
            <v>1.7000000476837158</v>
          </cell>
          <cell r="J60">
            <v>0</v>
          </cell>
          <cell r="K60">
            <v>0.10000000149011612</v>
          </cell>
          <cell r="L60">
            <v>1573.885220336914</v>
          </cell>
          <cell r="M60">
            <v>0</v>
          </cell>
          <cell r="N60">
            <v>0.42153516631676918</v>
          </cell>
          <cell r="O60">
            <v>0.56000000238418579</v>
          </cell>
          <cell r="P60">
            <v>-8.63818359375</v>
          </cell>
          <cell r="Q60">
            <v>821.73828125</v>
          </cell>
          <cell r="R60">
            <v>-375.08984375</v>
          </cell>
          <cell r="T60">
            <v>0</v>
          </cell>
        </row>
        <row r="61">
          <cell r="E61">
            <v>38249.333333333336</v>
          </cell>
          <cell r="F61">
            <v>8.0709542980508149E-3</v>
          </cell>
          <cell r="G61">
            <v>1.8324876916491324</v>
          </cell>
          <cell r="H61">
            <v>1659.4865083058676</v>
          </cell>
          <cell r="I61">
            <v>1.7000000476837158</v>
          </cell>
          <cell r="J61">
            <v>0</v>
          </cell>
          <cell r="K61">
            <v>0.10999999940395355</v>
          </cell>
          <cell r="L61">
            <v>1750.0991912841796</v>
          </cell>
          <cell r="M61">
            <v>0</v>
          </cell>
          <cell r="N61">
            <v>0</v>
          </cell>
          <cell r="O61">
            <v>0.55000001192092896</v>
          </cell>
          <cell r="P61">
            <v>-0.284759521484375</v>
          </cell>
          <cell r="Q61">
            <v>-54.5908203125</v>
          </cell>
          <cell r="R61">
            <v>-1414.52734375</v>
          </cell>
          <cell r="T61">
            <v>0</v>
          </cell>
        </row>
        <row r="62">
          <cell r="E62">
            <v>38249.666666666664</v>
          </cell>
          <cell r="F62">
            <v>1.0258335237449501E-2</v>
          </cell>
          <cell r="G62">
            <v>1.834727576168047</v>
          </cell>
          <cell r="H62">
            <v>1589.0512213389079</v>
          </cell>
          <cell r="I62">
            <v>1.75</v>
          </cell>
          <cell r="J62">
            <v>0</v>
          </cell>
          <cell r="K62">
            <v>0.10999999940395355</v>
          </cell>
          <cell r="L62">
            <v>1731.9809494018555</v>
          </cell>
          <cell r="M62">
            <v>0</v>
          </cell>
          <cell r="N62">
            <v>0</v>
          </cell>
          <cell r="O62">
            <v>0.56000000238418579</v>
          </cell>
          <cell r="P62">
            <v>-20.219085693359375</v>
          </cell>
          <cell r="Q62">
            <v>-97.0224609375</v>
          </cell>
          <cell r="R62">
            <v>-1190.95703125</v>
          </cell>
          <cell r="T62">
            <v>0</v>
          </cell>
        </row>
        <row r="63">
          <cell r="E63">
            <v>38250</v>
          </cell>
          <cell r="F63">
            <v>1.0140250238732228E-2</v>
          </cell>
          <cell r="G63">
            <v>1.8358306530449124</v>
          </cell>
          <cell r="H63">
            <v>1265.1177724202473</v>
          </cell>
          <cell r="I63">
            <v>1.7000000476837158</v>
          </cell>
          <cell r="J63">
            <v>0</v>
          </cell>
          <cell r="K63">
            <v>0.10000000149011612</v>
          </cell>
          <cell r="L63">
            <v>1689.5845336914063</v>
          </cell>
          <cell r="M63">
            <v>0</v>
          </cell>
          <cell r="N63">
            <v>0</v>
          </cell>
          <cell r="O63">
            <v>0.56000000238418579</v>
          </cell>
          <cell r="P63">
            <v>7.688934326171875</v>
          </cell>
          <cell r="Q63">
            <v>-162.515625</v>
          </cell>
          <cell r="R63">
            <v>1704.392578125</v>
          </cell>
          <cell r="T63">
            <v>0</v>
          </cell>
        </row>
        <row r="64">
          <cell r="E64">
            <v>38250.333333333336</v>
          </cell>
          <cell r="F64">
            <v>8.9607088311620623E-3</v>
          </cell>
          <cell r="G64">
            <v>1.8336358856409789</v>
          </cell>
          <cell r="H64">
            <v>1593.1193436940512</v>
          </cell>
          <cell r="I64">
            <v>1.7400000095367432</v>
          </cell>
          <cell r="J64">
            <v>0</v>
          </cell>
          <cell r="K64">
            <v>0.10999999940395355</v>
          </cell>
          <cell r="L64">
            <v>1749.8673477172852</v>
          </cell>
          <cell r="M64">
            <v>0</v>
          </cell>
          <cell r="N64">
            <v>0</v>
          </cell>
          <cell r="O64">
            <v>0.94999998807907104</v>
          </cell>
          <cell r="P64">
            <v>-21.927703857421875</v>
          </cell>
          <cell r="Q64">
            <v>-1208.64111328125</v>
          </cell>
          <cell r="R64">
            <v>-938.7109375</v>
          </cell>
          <cell r="T64">
            <v>0</v>
          </cell>
        </row>
        <row r="65">
          <cell r="E65">
            <v>38250.666666666664</v>
          </cell>
          <cell r="F65">
            <v>1.3501386205542884E-2</v>
          </cell>
          <cell r="G65">
            <v>1.8421498101618554</v>
          </cell>
          <cell r="H65">
            <v>1181.0143163045248</v>
          </cell>
          <cell r="I65">
            <v>1.7400000095367432</v>
          </cell>
          <cell r="J65">
            <v>0</v>
          </cell>
          <cell r="K65">
            <v>0.10000000149011612</v>
          </cell>
          <cell r="L65">
            <v>1710.630303955078</v>
          </cell>
          <cell r="M65">
            <v>0</v>
          </cell>
          <cell r="N65">
            <v>0</v>
          </cell>
          <cell r="O65">
            <v>0.56000000238418579</v>
          </cell>
          <cell r="P65">
            <v>-11.29608154296875</v>
          </cell>
          <cell r="Q65">
            <v>-979.236328125</v>
          </cell>
          <cell r="R65">
            <v>2551.130859375</v>
          </cell>
          <cell r="T65">
            <v>0</v>
          </cell>
        </row>
        <row r="66">
          <cell r="E66">
            <v>38251</v>
          </cell>
          <cell r="F66">
            <v>9.9458001528142225E-3</v>
          </cell>
          <cell r="G66">
            <v>1.8321367683923906</v>
          </cell>
          <cell r="H66">
            <v>1692.9376913706462</v>
          </cell>
          <cell r="I66">
            <v>1.7200000286102295</v>
          </cell>
          <cell r="J66">
            <v>0</v>
          </cell>
          <cell r="K66">
            <v>7.9999998211860657E-2</v>
          </cell>
          <cell r="L66">
            <v>1749.9544143676758</v>
          </cell>
          <cell r="M66">
            <v>0</v>
          </cell>
          <cell r="N66">
            <v>0</v>
          </cell>
          <cell r="O66">
            <v>0.34999999403953552</v>
          </cell>
          <cell r="P66">
            <v>17.7509765625</v>
          </cell>
          <cell r="Q66">
            <v>739.34912109375</v>
          </cell>
          <cell r="R66">
            <v>-1504.044921875</v>
          </cell>
          <cell r="T66">
            <v>0</v>
          </cell>
        </row>
        <row r="67">
          <cell r="E67">
            <v>38251.333333333336</v>
          </cell>
          <cell r="F67">
            <v>5.8623851581387498E-3</v>
          </cell>
          <cell r="G67">
            <v>1.8319070931110117</v>
          </cell>
          <cell r="H67">
            <v>1764.6126505533855</v>
          </cell>
          <cell r="I67">
            <v>1.7400000095367432</v>
          </cell>
          <cell r="J67">
            <v>0</v>
          </cell>
          <cell r="K67">
            <v>0.10000000149011612</v>
          </cell>
          <cell r="L67">
            <v>1749.8613433837891</v>
          </cell>
          <cell r="M67">
            <v>0</v>
          </cell>
          <cell r="N67">
            <v>0</v>
          </cell>
          <cell r="O67">
            <v>0.56000000238418579</v>
          </cell>
          <cell r="P67">
            <v>-6.644744873046875</v>
          </cell>
          <cell r="Q67">
            <v>736.0869140625</v>
          </cell>
          <cell r="R67">
            <v>-2469.84375</v>
          </cell>
          <cell r="T67">
            <v>0</v>
          </cell>
        </row>
        <row r="68">
          <cell r="E68">
            <v>38251.666666666664</v>
          </cell>
          <cell r="F68">
            <v>1.0317479056417748E-2</v>
          </cell>
          <cell r="G68">
            <v>1.8449590623792675</v>
          </cell>
          <cell r="H68">
            <v>1391.0479035695394</v>
          </cell>
          <cell r="I68">
            <v>1.7400000095367432</v>
          </cell>
          <cell r="J68">
            <v>0</v>
          </cell>
          <cell r="K68">
            <v>9.0000003576278687E-2</v>
          </cell>
          <cell r="L68">
            <v>1750.0612030029297</v>
          </cell>
          <cell r="M68">
            <v>0</v>
          </cell>
          <cell r="N68">
            <v>0</v>
          </cell>
          <cell r="O68">
            <v>0.46000000834465027</v>
          </cell>
          <cell r="P68">
            <v>-18.035781860351563</v>
          </cell>
          <cell r="Q68">
            <v>521.87353515625</v>
          </cell>
          <cell r="R68">
            <v>709.265625</v>
          </cell>
          <cell r="T68">
            <v>0</v>
          </cell>
        </row>
        <row r="69">
          <cell r="E69">
            <v>38252</v>
          </cell>
          <cell r="F69">
            <v>8.2627462116458151E-3</v>
          </cell>
          <cell r="G69">
            <v>1.8102563619199725</v>
          </cell>
          <cell r="H69">
            <v>1435.571004740397</v>
          </cell>
          <cell r="I69">
            <v>1.7200000286102295</v>
          </cell>
          <cell r="J69">
            <v>0</v>
          </cell>
          <cell r="K69">
            <v>9.0000003576278687E-2</v>
          </cell>
          <cell r="L69">
            <v>1747.5203994750977</v>
          </cell>
          <cell r="M69">
            <v>0</v>
          </cell>
          <cell r="N69">
            <v>0</v>
          </cell>
          <cell r="O69">
            <v>0.56999999284744263</v>
          </cell>
          <cell r="P69">
            <v>6.0752105712890625</v>
          </cell>
          <cell r="Q69">
            <v>6.9423828125</v>
          </cell>
          <cell r="R69">
            <v>726.1875</v>
          </cell>
          <cell r="T69">
            <v>0</v>
          </cell>
        </row>
        <row r="70">
          <cell r="E70">
            <v>38252.333333333336</v>
          </cell>
          <cell r="F70">
            <v>4.969713134903608E-3</v>
          </cell>
          <cell r="G70">
            <v>1.814804165561994</v>
          </cell>
          <cell r="H70">
            <v>1584.6299677530924</v>
          </cell>
          <cell r="I70">
            <v>1.75</v>
          </cell>
          <cell r="J70">
            <v>0</v>
          </cell>
          <cell r="K70">
            <v>7.9999998211860657E-2</v>
          </cell>
          <cell r="L70">
            <v>1749.8608367919921</v>
          </cell>
          <cell r="M70">
            <v>0</v>
          </cell>
          <cell r="N70">
            <v>0</v>
          </cell>
          <cell r="O70">
            <v>0.5899999737739563</v>
          </cell>
          <cell r="P70">
            <v>-14.143844604492188</v>
          </cell>
          <cell r="Q70">
            <v>-482.88623046875</v>
          </cell>
          <cell r="R70">
            <v>-1087.28515625</v>
          </cell>
          <cell r="T70">
            <v>0</v>
          </cell>
        </row>
        <row r="71">
          <cell r="E71">
            <v>38252.666666666664</v>
          </cell>
          <cell r="F71">
            <v>1.3974697143738821E-2</v>
          </cell>
          <cell r="G71">
            <v>1.8137698786540164</v>
          </cell>
          <cell r="H71">
            <v>1516.9786722564697</v>
          </cell>
          <cell r="I71">
            <v>1.75</v>
          </cell>
          <cell r="J71">
            <v>0</v>
          </cell>
          <cell r="K71">
            <v>9.0000003576278687E-2</v>
          </cell>
          <cell r="L71">
            <v>1749.9311236063638</v>
          </cell>
          <cell r="M71">
            <v>0</v>
          </cell>
          <cell r="N71">
            <v>0</v>
          </cell>
          <cell r="O71">
            <v>0.54000002145767212</v>
          </cell>
          <cell r="P71">
            <v>-5.22088623046875</v>
          </cell>
          <cell r="Q71">
            <v>-671.85986328125</v>
          </cell>
          <cell r="R71">
            <v>-933.189453125</v>
          </cell>
          <cell r="T71">
            <v>0</v>
          </cell>
        </row>
        <row r="72">
          <cell r="E72">
            <v>38253</v>
          </cell>
          <cell r="F72">
            <v>1.0697639987322165E-2</v>
          </cell>
          <cell r="G72">
            <v>1.810211829551392</v>
          </cell>
          <cell r="H72">
            <v>1488.392242380778</v>
          </cell>
          <cell r="I72">
            <v>1.7599999904632568</v>
          </cell>
          <cell r="J72">
            <v>0</v>
          </cell>
          <cell r="K72">
            <v>7.0000000298023224E-2</v>
          </cell>
          <cell r="L72">
            <v>1749.9925281100802</v>
          </cell>
          <cell r="M72">
            <v>0</v>
          </cell>
          <cell r="N72">
            <v>0</v>
          </cell>
          <cell r="O72">
            <v>0.56000000238418579</v>
          </cell>
          <cell r="P72">
            <v>-1.42388916015625</v>
          </cell>
          <cell r="Q72">
            <v>-1092.904296875</v>
          </cell>
          <cell r="R72">
            <v>-732.572265625</v>
          </cell>
          <cell r="T72">
            <v>0</v>
          </cell>
        </row>
        <row r="73">
          <cell r="E73">
            <v>38253.333333333336</v>
          </cell>
          <cell r="F73">
            <v>8.3505016131514113E-3</v>
          </cell>
          <cell r="G73">
            <v>1.8125743334492048</v>
          </cell>
          <cell r="H73">
            <v>1494.5992733001708</v>
          </cell>
          <cell r="I73">
            <v>1.7000000476837158</v>
          </cell>
          <cell r="J73">
            <v>0</v>
          </cell>
          <cell r="K73">
            <v>9.0000003576278687E-2</v>
          </cell>
          <cell r="L73">
            <v>1746.181315612793</v>
          </cell>
          <cell r="M73">
            <v>0</v>
          </cell>
          <cell r="N73">
            <v>0</v>
          </cell>
          <cell r="O73">
            <v>0.4699999988079071</v>
          </cell>
          <cell r="P73">
            <v>-0.37969970703125</v>
          </cell>
          <cell r="Q73">
            <v>-716.2919921875</v>
          </cell>
          <cell r="R73">
            <v>-809.658203125</v>
          </cell>
          <cell r="T73">
            <v>0</v>
          </cell>
        </row>
        <row r="74">
          <cell r="E74">
            <v>38253.666666666664</v>
          </cell>
          <cell r="F74">
            <v>1.5855189154535765E-2</v>
          </cell>
          <cell r="G74">
            <v>1.8171062334130208</v>
          </cell>
          <cell r="H74">
            <v>1546.0798823038738</v>
          </cell>
          <cell r="I74">
            <v>1.7400000095367432</v>
          </cell>
          <cell r="J74">
            <v>0</v>
          </cell>
          <cell r="K74">
            <v>7.0000000298023224E-2</v>
          </cell>
          <cell r="L74">
            <v>1728.6576950073243</v>
          </cell>
          <cell r="M74">
            <v>0</v>
          </cell>
          <cell r="N74">
            <v>0</v>
          </cell>
          <cell r="O74">
            <v>0.49000000953674316</v>
          </cell>
          <cell r="P74">
            <v>-4.9361114501953125</v>
          </cell>
          <cell r="Q74">
            <v>-473.02001953125</v>
          </cell>
          <cell r="R74">
            <v>-1243.9072265625</v>
          </cell>
          <cell r="T74">
            <v>0</v>
          </cell>
        </row>
        <row r="75">
          <cell r="E75">
            <v>38254</v>
          </cell>
          <cell r="F75">
            <v>1.242253839995505E-2</v>
          </cell>
          <cell r="G75">
            <v>1.8339175760746003</v>
          </cell>
          <cell r="H75">
            <v>1495.3554673512776</v>
          </cell>
          <cell r="I75">
            <v>1.7300000190734863</v>
          </cell>
          <cell r="J75">
            <v>0</v>
          </cell>
          <cell r="K75">
            <v>5.000000074505806E-2</v>
          </cell>
          <cell r="L75">
            <v>1749.8669082641602</v>
          </cell>
          <cell r="M75">
            <v>0</v>
          </cell>
          <cell r="N75">
            <v>0</v>
          </cell>
          <cell r="O75">
            <v>0.5899999737739563</v>
          </cell>
          <cell r="P75">
            <v>5.22088623046875</v>
          </cell>
          <cell r="Q75">
            <v>-476.819580078125</v>
          </cell>
          <cell r="R75">
            <v>-676.5625</v>
          </cell>
          <cell r="T75">
            <v>0</v>
          </cell>
        </row>
        <row r="76">
          <cell r="E76">
            <v>38254.333333333336</v>
          </cell>
          <cell r="F76">
            <v>9.4220313689826682E-3</v>
          </cell>
          <cell r="G76">
            <v>1.8317865326586698</v>
          </cell>
          <cell r="H76">
            <v>1469.6824337005614</v>
          </cell>
          <cell r="I76">
            <v>1.6799999475479126</v>
          </cell>
          <cell r="J76">
            <v>0</v>
          </cell>
          <cell r="K76">
            <v>5.000000074505806E-2</v>
          </cell>
          <cell r="L76">
            <v>1748.8380493164063</v>
          </cell>
          <cell r="M76">
            <v>0</v>
          </cell>
          <cell r="N76">
            <v>0</v>
          </cell>
          <cell r="O76">
            <v>0.34000000357627869</v>
          </cell>
          <cell r="P76">
            <v>-15.567733764648438</v>
          </cell>
          <cell r="Q76">
            <v>-918.551513671875</v>
          </cell>
          <cell r="R76">
            <v>-474.2626953125</v>
          </cell>
          <cell r="T76">
            <v>0</v>
          </cell>
        </row>
        <row r="77">
          <cell r="E77">
            <v>38254.666666666664</v>
          </cell>
          <cell r="F77">
            <v>1.6196319581488042E-2</v>
          </cell>
          <cell r="G77">
            <v>1.8367197301238776</v>
          </cell>
          <cell r="H77">
            <v>1690.5113403320313</v>
          </cell>
          <cell r="I77">
            <v>1.7599999904632568</v>
          </cell>
          <cell r="J77">
            <v>0</v>
          </cell>
          <cell r="K77">
            <v>7.9999998211860657E-2</v>
          </cell>
          <cell r="L77">
            <v>1749.7089569091797</v>
          </cell>
          <cell r="M77">
            <v>0</v>
          </cell>
          <cell r="N77">
            <v>0</v>
          </cell>
          <cell r="O77">
            <v>0.56000000238418579</v>
          </cell>
          <cell r="P77">
            <v>4.3665618896484375</v>
          </cell>
          <cell r="Q77">
            <v>-22.8531494140625</v>
          </cell>
          <cell r="R77">
            <v>-803.7666015625</v>
          </cell>
          <cell r="T77">
            <v>0</v>
          </cell>
        </row>
        <row r="78">
          <cell r="E78">
            <v>38255</v>
          </cell>
          <cell r="F78">
            <v>1.3481089452883073E-2</v>
          </cell>
          <cell r="G78">
            <v>1.8102593890080849</v>
          </cell>
          <cell r="H78">
            <v>1750.5523076544869</v>
          </cell>
          <cell r="I78">
            <v>1.75</v>
          </cell>
          <cell r="J78">
            <v>0</v>
          </cell>
          <cell r="K78">
            <v>5.9999998658895493E-2</v>
          </cell>
          <cell r="L78">
            <v>1746.2294784545898</v>
          </cell>
          <cell r="M78">
            <v>0</v>
          </cell>
          <cell r="N78">
            <v>0.4557022985898786</v>
          </cell>
          <cell r="O78">
            <v>0.57999998331069946</v>
          </cell>
          <cell r="P78">
            <v>5.410736083984375</v>
          </cell>
          <cell r="Q78">
            <v>-808.0533447265625</v>
          </cell>
          <cell r="R78">
            <v>-536.0927734375</v>
          </cell>
          <cell r="T78">
            <v>0</v>
          </cell>
        </row>
        <row r="79">
          <cell r="E79">
            <v>38255.333333333336</v>
          </cell>
          <cell r="F79">
            <v>1.0104450313600763E-2</v>
          </cell>
          <cell r="G79">
            <v>1.8241248411436877</v>
          </cell>
          <cell r="H79">
            <v>1759.8289586385092</v>
          </cell>
          <cell r="I79">
            <v>1.7000000476837158</v>
          </cell>
          <cell r="J79">
            <v>0</v>
          </cell>
          <cell r="K79">
            <v>7.9999998211860657E-2</v>
          </cell>
          <cell r="L79">
            <v>1749.9491012573242</v>
          </cell>
          <cell r="M79">
            <v>0</v>
          </cell>
          <cell r="N79">
            <v>0.44531658467215796</v>
          </cell>
          <cell r="O79">
            <v>0.5</v>
          </cell>
          <cell r="P79">
            <v>-8.733123779296875</v>
          </cell>
          <cell r="Q79">
            <v>-603.29888916015625</v>
          </cell>
          <cell r="R79">
            <v>-640.8369140625</v>
          </cell>
          <cell r="T79">
            <v>0</v>
          </cell>
        </row>
        <row r="80">
          <cell r="E80">
            <v>38255.666666666664</v>
          </cell>
          <cell r="F80">
            <v>1.5947142462149108E-2</v>
          </cell>
          <cell r="G80">
            <v>1.824654633179307</v>
          </cell>
          <cell r="H80">
            <v>1635.1208813985188</v>
          </cell>
          <cell r="I80">
            <v>1.75</v>
          </cell>
          <cell r="J80">
            <v>0</v>
          </cell>
          <cell r="K80">
            <v>5.000000074505806E-2</v>
          </cell>
          <cell r="L80">
            <v>1750.2420150756836</v>
          </cell>
          <cell r="M80">
            <v>0</v>
          </cell>
          <cell r="N80">
            <v>0.31586110113809507</v>
          </cell>
          <cell r="O80">
            <v>0.34000000357627869</v>
          </cell>
          <cell r="P80">
            <v>-15.093093872070313</v>
          </cell>
          <cell r="Q80">
            <v>-406.80984497070313</v>
          </cell>
          <cell r="R80">
            <v>323.994140625</v>
          </cell>
          <cell r="T80">
            <v>0</v>
          </cell>
        </row>
        <row r="81">
          <cell r="E81">
            <v>38256</v>
          </cell>
          <cell r="F81">
            <v>1.2933474326564465E-2</v>
          </cell>
          <cell r="G81">
            <v>1.8253008657859431</v>
          </cell>
          <cell r="H81">
            <v>1667.6884775797525</v>
          </cell>
          <cell r="I81">
            <v>1.7300000190734863</v>
          </cell>
          <cell r="J81">
            <v>0</v>
          </cell>
          <cell r="K81">
            <v>7.0000000298023224E-2</v>
          </cell>
          <cell r="L81">
            <v>1750.1120223999023</v>
          </cell>
          <cell r="M81">
            <v>0</v>
          </cell>
          <cell r="N81">
            <v>0.33917195613547746</v>
          </cell>
          <cell r="O81">
            <v>0.40999999642372131</v>
          </cell>
          <cell r="P81">
            <v>3.70208740234375</v>
          </cell>
          <cell r="Q81">
            <v>-157.87979507446289</v>
          </cell>
          <cell r="R81">
            <v>125.8876953125</v>
          </cell>
          <cell r="T81">
            <v>0</v>
          </cell>
        </row>
        <row r="82">
          <cell r="E82">
            <v>38256.333333333336</v>
          </cell>
          <cell r="F82">
            <v>1.0125302187387004E-2</v>
          </cell>
          <cell r="G82">
            <v>1.8235893309116364</v>
          </cell>
          <cell r="H82">
            <v>1671.9827173868814</v>
          </cell>
          <cell r="I82">
            <v>1.7100000381469727</v>
          </cell>
          <cell r="J82">
            <v>0</v>
          </cell>
          <cell r="K82">
            <v>5.9999998658895493E-2</v>
          </cell>
          <cell r="L82">
            <v>1749.6970367431641</v>
          </cell>
          <cell r="M82">
            <v>0</v>
          </cell>
          <cell r="N82">
            <v>0.33589030602532954</v>
          </cell>
          <cell r="O82">
            <v>0.40999999642372131</v>
          </cell>
          <cell r="P82">
            <v>-2.752838134765625</v>
          </cell>
          <cell r="Q82">
            <v>-32.016624450683594</v>
          </cell>
          <cell r="R82">
            <v>138.09375</v>
          </cell>
          <cell r="T82">
            <v>0</v>
          </cell>
        </row>
        <row r="83">
          <cell r="E83">
            <v>38256.666666666664</v>
          </cell>
          <cell r="F83">
            <v>1.5025895355534481E-2</v>
          </cell>
          <cell r="G83">
            <v>1.8222177926037046</v>
          </cell>
          <cell r="H83">
            <v>1675.9107171376547</v>
          </cell>
          <cell r="I83">
            <v>1.7699999809265137</v>
          </cell>
          <cell r="J83">
            <v>0</v>
          </cell>
          <cell r="K83">
            <v>9.0000003576278687E-2</v>
          </cell>
          <cell r="L83">
            <v>1749.8782104492188</v>
          </cell>
          <cell r="M83">
            <v>0</v>
          </cell>
          <cell r="N83">
            <v>0.34725377037086419</v>
          </cell>
          <cell r="O83">
            <v>0.43999999761581421</v>
          </cell>
          <cell r="P83">
            <v>-7.7838592529296875</v>
          </cell>
          <cell r="Q83">
            <v>-4.5393104553222656</v>
          </cell>
          <cell r="R83">
            <v>106.2841796875</v>
          </cell>
          <cell r="T83">
            <v>0</v>
          </cell>
        </row>
        <row r="84">
          <cell r="E84">
            <v>38257</v>
          </cell>
          <cell r="F84">
            <v>1.2292580877450139E-2</v>
          </cell>
          <cell r="G84">
            <v>1.8215755121989383</v>
          </cell>
          <cell r="H84">
            <v>1679.3855238596598</v>
          </cell>
          <cell r="I84">
            <v>1.7799999713897705</v>
          </cell>
          <cell r="J84">
            <v>0</v>
          </cell>
          <cell r="K84">
            <v>9.0000003576278687E-2</v>
          </cell>
          <cell r="L84">
            <v>1750.1268539428711</v>
          </cell>
          <cell r="M84">
            <v>0</v>
          </cell>
          <cell r="N84">
            <v>0.35921172653842304</v>
          </cell>
          <cell r="O84">
            <v>0.5</v>
          </cell>
          <cell r="P84">
            <v>4.3665618896484375</v>
          </cell>
          <cell r="Q84">
            <v>-1.8028469085693359</v>
          </cell>
          <cell r="R84">
            <v>71.7275390625</v>
          </cell>
          <cell r="T84">
            <v>0</v>
          </cell>
        </row>
        <row r="85">
          <cell r="E85">
            <v>38257.333333333336</v>
          </cell>
          <cell r="F85">
            <v>8.0023529849616651E-3</v>
          </cell>
          <cell r="G85">
            <v>1.8209469032784302</v>
          </cell>
          <cell r="H85">
            <v>1704.4265392303466</v>
          </cell>
          <cell r="I85">
            <v>1.7699999809265137</v>
          </cell>
          <cell r="J85">
            <v>0</v>
          </cell>
          <cell r="K85">
            <v>9.0000003576278687E-2</v>
          </cell>
          <cell r="L85">
            <v>1750.0982604980468</v>
          </cell>
          <cell r="M85">
            <v>0</v>
          </cell>
          <cell r="N85">
            <v>0.38499535397729939</v>
          </cell>
          <cell r="O85">
            <v>0.56000000238418579</v>
          </cell>
          <cell r="P85">
            <v>-6.834625244140625</v>
          </cell>
          <cell r="Q85">
            <v>-4.0564041137695313</v>
          </cell>
          <cell r="R85">
            <v>-69.486328125</v>
          </cell>
          <cell r="T85">
            <v>0</v>
          </cell>
        </row>
        <row r="86">
          <cell r="E86">
            <v>38257.666666666664</v>
          </cell>
          <cell r="F86">
            <v>1.544296130628532E-2</v>
          </cell>
          <cell r="G86">
            <v>1.822369821369648</v>
          </cell>
          <cell r="H86">
            <v>1760.2193378448487</v>
          </cell>
          <cell r="I86">
            <v>1.7100000381469727</v>
          </cell>
          <cell r="J86">
            <v>0</v>
          </cell>
          <cell r="K86">
            <v>9.0000003576278687E-2</v>
          </cell>
          <cell r="L86">
            <v>1749.9912551879884</v>
          </cell>
          <cell r="M86">
            <v>0</v>
          </cell>
          <cell r="N86">
            <v>0.44533425556081863</v>
          </cell>
          <cell r="O86">
            <v>0.52999997138977051</v>
          </cell>
          <cell r="P86">
            <v>-12.814895629882813</v>
          </cell>
          <cell r="Q86">
            <v>-2.09259033203125</v>
          </cell>
          <cell r="R86">
            <v>-587.84765625</v>
          </cell>
          <cell r="T86">
            <v>0</v>
          </cell>
        </row>
        <row r="87">
          <cell r="E87">
            <v>38258</v>
          </cell>
          <cell r="F87">
            <v>1.24728771110919E-2</v>
          </cell>
          <cell r="G87">
            <v>1.8237532679405477</v>
          </cell>
          <cell r="H87">
            <v>1740.8597871144614</v>
          </cell>
          <cell r="I87">
            <v>1.7300000190734863</v>
          </cell>
          <cell r="J87">
            <v>0</v>
          </cell>
          <cell r="K87">
            <v>9.0000003576278687E-2</v>
          </cell>
          <cell r="L87">
            <v>1750.0639617919921</v>
          </cell>
          <cell r="M87">
            <v>0</v>
          </cell>
          <cell r="N87">
            <v>0.42993056884863312</v>
          </cell>
          <cell r="O87">
            <v>0.4699999988079071</v>
          </cell>
          <cell r="P87">
            <v>6.0752105712890625</v>
          </cell>
          <cell r="Q87">
            <v>-1.8511371612548828</v>
          </cell>
          <cell r="R87">
            <v>-397.8525390625</v>
          </cell>
          <cell r="T87">
            <v>0</v>
          </cell>
        </row>
        <row r="88">
          <cell r="E88">
            <v>38258.333333333336</v>
          </cell>
          <cell r="F88">
            <v>8.5626875283196565E-3</v>
          </cell>
          <cell r="G88">
            <v>1.8235447542121013</v>
          </cell>
          <cell r="H88">
            <v>1726.6731129964194</v>
          </cell>
          <cell r="I88">
            <v>1.75</v>
          </cell>
          <cell r="J88">
            <v>0</v>
          </cell>
          <cell r="K88">
            <v>9.0000003576278687E-2</v>
          </cell>
          <cell r="L88">
            <v>1749.9037933349609</v>
          </cell>
          <cell r="M88">
            <v>0</v>
          </cell>
          <cell r="N88">
            <v>0.41848781609700786</v>
          </cell>
          <cell r="O88">
            <v>0.54000002145767212</v>
          </cell>
          <cell r="P88">
            <v>-1.8985137939453125</v>
          </cell>
          <cell r="Q88">
            <v>-1.6579751968383789</v>
          </cell>
          <cell r="R88">
            <v>-273.9345703125</v>
          </cell>
          <cell r="T88">
            <v>0</v>
          </cell>
        </row>
        <row r="89">
          <cell r="E89">
            <v>38258.666666666664</v>
          </cell>
          <cell r="F89">
            <v>1.4897400573681807E-2</v>
          </cell>
          <cell r="G89">
            <v>1.8270566469679277</v>
          </cell>
          <cell r="H89">
            <v>1716.5915658315023</v>
          </cell>
          <cell r="I89">
            <v>1.7400000095367432</v>
          </cell>
          <cell r="J89">
            <v>0</v>
          </cell>
          <cell r="K89">
            <v>0.10999999940395355</v>
          </cell>
          <cell r="L89">
            <v>1749.9496124267578</v>
          </cell>
          <cell r="M89">
            <v>0</v>
          </cell>
          <cell r="N89">
            <v>0.40849664265082941</v>
          </cell>
          <cell r="O89">
            <v>0.5899999737739563</v>
          </cell>
          <cell r="P89">
            <v>-24.490676879882813</v>
          </cell>
          <cell r="Q89">
            <v>-3.4286284446716309</v>
          </cell>
          <cell r="R89">
            <v>-221.9052734375</v>
          </cell>
          <cell r="T89">
            <v>0</v>
          </cell>
        </row>
        <row r="90">
          <cell r="E90">
            <v>38259</v>
          </cell>
          <cell r="F90">
            <v>1.2641466949894998E-2</v>
          </cell>
          <cell r="G90">
            <v>1.8214138036800755</v>
          </cell>
          <cell r="H90">
            <v>1754.1398555755616</v>
          </cell>
          <cell r="I90">
            <v>1.7400000095367432</v>
          </cell>
          <cell r="J90">
            <v>0</v>
          </cell>
          <cell r="K90">
            <v>0.10000000149011612</v>
          </cell>
          <cell r="L90">
            <v>1749.8138946533204</v>
          </cell>
          <cell r="M90">
            <v>0</v>
          </cell>
          <cell r="N90">
            <v>0.43202396256642212</v>
          </cell>
          <cell r="O90">
            <v>0.5</v>
          </cell>
          <cell r="P90">
            <v>6.265045166015625</v>
          </cell>
          <cell r="Q90">
            <v>-6.4387321472167969E-2</v>
          </cell>
          <cell r="R90">
            <v>-504.044921875</v>
          </cell>
          <cell r="T90">
            <v>0</v>
          </cell>
        </row>
        <row r="91">
          <cell r="E91">
            <v>38259.333333333336</v>
          </cell>
          <cell r="F91">
            <v>1.017477780494826E-2</v>
          </cell>
          <cell r="G91">
            <v>1.819480018566052</v>
          </cell>
          <cell r="H91">
            <v>1735.4972199757894</v>
          </cell>
          <cell r="I91">
            <v>1.7400000095367432</v>
          </cell>
          <cell r="J91">
            <v>0</v>
          </cell>
          <cell r="K91">
            <v>0.12999999523162842</v>
          </cell>
          <cell r="L91">
            <v>1748.9444549560546</v>
          </cell>
          <cell r="M91">
            <v>0</v>
          </cell>
          <cell r="N91">
            <v>0.40536387426157794</v>
          </cell>
          <cell r="O91">
            <v>0.61000001430511475</v>
          </cell>
          <cell r="P91">
            <v>7.4041748046875</v>
          </cell>
          <cell r="Q91">
            <v>-2.2696547508239746</v>
          </cell>
          <cell r="R91">
            <v>-391.2890625</v>
          </cell>
          <cell r="T91">
            <v>0</v>
          </cell>
        </row>
        <row r="92">
          <cell r="E92">
            <v>38259.666666666664</v>
          </cell>
          <cell r="F92">
            <v>1.4375840182765387E-2</v>
          </cell>
          <cell r="G92">
            <v>1.5937563521166642</v>
          </cell>
          <cell r="H92">
            <v>1619.6813325246176</v>
          </cell>
          <cell r="I92">
            <v>1.6499999761581421</v>
          </cell>
          <cell r="J92">
            <v>0</v>
          </cell>
          <cell r="K92">
            <v>0.12999999523162842</v>
          </cell>
          <cell r="L92">
            <v>1750.002049255371</v>
          </cell>
          <cell r="M92">
            <v>0</v>
          </cell>
          <cell r="N92">
            <v>0.51344801213385327</v>
          </cell>
          <cell r="O92">
            <v>0.56999999284744263</v>
          </cell>
          <cell r="P92">
            <v>-20.788619995117188</v>
          </cell>
          <cell r="Q92">
            <v>-1.142876148223877</v>
          </cell>
          <cell r="R92">
            <v>577.2490234375</v>
          </cell>
          <cell r="T92">
            <v>0</v>
          </cell>
        </row>
        <row r="93">
          <cell r="E93">
            <v>38260</v>
          </cell>
          <cell r="F93">
            <v>1.0650371687936261E-2</v>
          </cell>
          <cell r="G93">
            <v>1.5339973580092192</v>
          </cell>
          <cell r="H93">
            <v>1455.3913659413656</v>
          </cell>
          <cell r="I93">
            <v>1.75</v>
          </cell>
          <cell r="J93">
            <v>0</v>
          </cell>
          <cell r="K93">
            <v>0.10000000149011612</v>
          </cell>
          <cell r="L93">
            <v>1749.9247772216797</v>
          </cell>
          <cell r="M93">
            <v>0</v>
          </cell>
          <cell r="N93">
            <v>0.39529687469411229</v>
          </cell>
          <cell r="O93">
            <v>0.25999999046325684</v>
          </cell>
          <cell r="P93">
            <v>13.384445190429688</v>
          </cell>
          <cell r="Q93">
            <v>-6.4387798309326172E-2</v>
          </cell>
          <cell r="R93">
            <v>1836.609375</v>
          </cell>
          <cell r="T93">
            <v>0</v>
          </cell>
        </row>
      </sheetData>
      <sheetData sheetId="11" refreshError="1">
        <row r="4">
          <cell r="E4" t="e">
            <v>#NAME?</v>
          </cell>
          <cell r="F4" t="str">
            <v>OPSEC1_SF</v>
          </cell>
          <cell r="G4" t="str">
            <v>OPSEC2_SF</v>
          </cell>
          <cell r="H4" t="str">
            <v>OPSEC3_SF</v>
          </cell>
          <cell r="I4" t="str">
            <v>OPSEC4_SF</v>
          </cell>
          <cell r="J4" t="str">
            <v>OPSEC5_SF</v>
          </cell>
          <cell r="K4" t="str">
            <v>OPSEC6_SF</v>
          </cell>
          <cell r="L4" t="str">
            <v>OPSEC7_SF</v>
          </cell>
          <cell r="M4" t="str">
            <v>OPSEC8_SF</v>
          </cell>
          <cell r="N4" t="str">
            <v>OPSEC9_SF</v>
          </cell>
          <cell r="O4" t="str">
            <v>OPSEC10_SF</v>
          </cell>
          <cell r="P4" t="str">
            <v>OPSEC11_SF</v>
          </cell>
          <cell r="Q4" t="str">
            <v>OPSEC12_SF</v>
          </cell>
          <cell r="U4" t="e">
            <v>#NAME?</v>
          </cell>
          <cell r="V4" t="str">
            <v>OPSEC13_SF</v>
          </cell>
          <cell r="W4" t="str">
            <v>OPSEC14_SF</v>
          </cell>
          <cell r="X4" t="str">
            <v>OPSEC15_SF</v>
          </cell>
          <cell r="Y4" t="str">
            <v>OPSEC16_SF</v>
          </cell>
          <cell r="Z4" t="str">
            <v>OPSEC17_SF</v>
          </cell>
          <cell r="AD4" t="e">
            <v>#NAME?</v>
          </cell>
          <cell r="AE4" t="str">
            <v>OPSEC1_SF3200</v>
          </cell>
          <cell r="AF4" t="str">
            <v>OPSEC2_SF3200</v>
          </cell>
          <cell r="AG4" t="str">
            <v>OPSEC3_SF3200</v>
          </cell>
          <cell r="AK4" t="e">
            <v>#NAME?</v>
          </cell>
          <cell r="AL4" t="str">
            <v>OPSEC4_SF3200</v>
          </cell>
          <cell r="AM4" t="str">
            <v>OPSEC5_SF3200</v>
          </cell>
          <cell r="AN4" t="str">
            <v>OPSEC6_SF3200</v>
          </cell>
          <cell r="AO4" t="str">
            <v>OPSEC7_SF3200</v>
          </cell>
          <cell r="AS4" t="e">
            <v>#NAME?</v>
          </cell>
          <cell r="AT4" t="str">
            <v>Q_RIEGO_SF</v>
          </cell>
          <cell r="AW4" t="e">
            <v>#NAME?</v>
          </cell>
          <cell r="AX4" t="str">
            <v>OPSEC8_SF3200</v>
          </cell>
          <cell r="AY4" t="str">
            <v>OPSEC9_SF3200</v>
          </cell>
          <cell r="AZ4" t="str">
            <v>OPSEC10_SF3200</v>
          </cell>
          <cell r="BD4" t="e">
            <v>#NAME?</v>
          </cell>
          <cell r="BE4" t="str">
            <v>OPSEC11_SF3200</v>
          </cell>
          <cell r="BF4" t="str">
            <v>OPSEC12_SF3200</v>
          </cell>
          <cell r="BJ4" t="e">
            <v>#NAME?</v>
          </cell>
          <cell r="BK4" t="str">
            <v>OPSEC18_SF</v>
          </cell>
          <cell r="BL4" t="str">
            <v>OPSEC19_SF</v>
          </cell>
        </row>
        <row r="5">
          <cell r="E5" t="str">
            <v>Timestamp</v>
          </cell>
          <cell r="F5" t="str">
            <v>OPSEC1_SF - SnapShot</v>
          </cell>
          <cell r="G5" t="str">
            <v>OPSEC2_SF - SnapShot</v>
          </cell>
          <cell r="H5" t="str">
            <v>OPSEC3_SF - SnapShot</v>
          </cell>
          <cell r="I5" t="str">
            <v>OPSEC4_SF - SnapShot</v>
          </cell>
          <cell r="J5" t="str">
            <v>OPSEC5_SF - SnapShot</v>
          </cell>
          <cell r="K5" t="str">
            <v>OPSEC6_SF - SnapShot</v>
          </cell>
          <cell r="L5" t="str">
            <v>OPSEC7_SF - SnapShot</v>
          </cell>
          <cell r="M5" t="str">
            <v>OPSEC8_SF - SnapShot</v>
          </cell>
          <cell r="N5" t="str">
            <v>OPSEC9_SF - SnapShot</v>
          </cell>
          <cell r="O5" t="str">
            <v>OPSEC10_SF - SnapShot</v>
          </cell>
          <cell r="P5" t="str">
            <v>OPSEC11_SF - SnapShot</v>
          </cell>
          <cell r="Q5" t="str">
            <v>OPSEC12_SF - SnapShot</v>
          </cell>
          <cell r="U5" t="str">
            <v>Timestamp</v>
          </cell>
          <cell r="V5" t="str">
            <v>OPSEC13_SF - SnapShot</v>
          </cell>
          <cell r="W5" t="str">
            <v>OPSEC14_SF - SnapShot</v>
          </cell>
          <cell r="X5" t="str">
            <v>OPSEC15_SF - SnapShot</v>
          </cell>
          <cell r="Y5" t="str">
            <v>OPSEC16_SF - SnapShot</v>
          </cell>
          <cell r="Z5" t="str">
            <v>OPSEC17_SF - SnapShot</v>
          </cell>
          <cell r="AD5" t="str">
            <v>Timestamp</v>
          </cell>
          <cell r="AE5" t="str">
            <v>OPSEC1_SF3200 - SnapShot</v>
          </cell>
          <cell r="AF5" t="str">
            <v>OPSEC2_SF3200 - SnapShot</v>
          </cell>
          <cell r="AG5" t="str">
            <v>OPSEC3_SF3200 - SnapShot</v>
          </cell>
          <cell r="AK5" t="str">
            <v>Timestamp</v>
          </cell>
          <cell r="AL5" t="str">
            <v>OPSEC4_SF3200 - SnapShot</v>
          </cell>
          <cell r="AM5" t="str">
            <v>OPSEC5_SF3200 - SnapShot</v>
          </cell>
          <cell r="AN5" t="str">
            <v>OPSEC6_SF3200 - SnapShot</v>
          </cell>
          <cell r="AO5" t="str">
            <v>OPSEC7_SF3200 - SnapShot</v>
          </cell>
          <cell r="AS5" t="str">
            <v>Timestamp</v>
          </cell>
          <cell r="AT5" t="str">
            <v>Q_RIEGO_SF - Average</v>
          </cell>
          <cell r="AW5" t="str">
            <v>Timestamp</v>
          </cell>
          <cell r="AX5" t="str">
            <v>OPSEC8_SF3200 - SnapShot</v>
          </cell>
          <cell r="AY5" t="str">
            <v>OPSEC9_SF3200 - SnapShot</v>
          </cell>
          <cell r="AZ5" t="str">
            <v>OPSEC10_SF3200 - SnapShot</v>
          </cell>
          <cell r="BD5" t="str">
            <v>Timestamp</v>
          </cell>
          <cell r="BE5" t="str">
            <v>OPSEC11_SF3200 - SnapShot</v>
          </cell>
          <cell r="BF5" t="str">
            <v>OPSEC12_SF3200 - SnapShot</v>
          </cell>
          <cell r="BJ5" t="str">
            <v>Timestamp</v>
          </cell>
          <cell r="BK5" t="str">
            <v>OPSEC18_SF - SnapShot</v>
          </cell>
          <cell r="BL5" t="str">
            <v>OPSEC19_SF - SnapShot</v>
          </cell>
        </row>
        <row r="6">
          <cell r="E6">
            <v>38231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1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1</v>
          </cell>
          <cell r="P6">
            <v>1</v>
          </cell>
          <cell r="Q6">
            <v>0</v>
          </cell>
          <cell r="U6">
            <v>38231</v>
          </cell>
          <cell r="V6">
            <v>0</v>
          </cell>
          <cell r="W6">
            <v>0</v>
          </cell>
          <cell r="X6">
            <v>1</v>
          </cell>
          <cell r="Y6">
            <v>1</v>
          </cell>
          <cell r="Z6">
            <v>0</v>
          </cell>
          <cell r="AD6">
            <v>38231</v>
          </cell>
          <cell r="AE6">
            <v>0</v>
          </cell>
          <cell r="AF6">
            <v>0</v>
          </cell>
          <cell r="AG6">
            <v>1</v>
          </cell>
          <cell r="AK6">
            <v>38231</v>
          </cell>
          <cell r="AL6">
            <v>0</v>
          </cell>
          <cell r="AM6">
            <v>1</v>
          </cell>
          <cell r="AN6">
            <v>0</v>
          </cell>
          <cell r="AO6">
            <v>0</v>
          </cell>
          <cell r="AS6">
            <v>38231</v>
          </cell>
          <cell r="AT6">
            <v>1.8442508795195156</v>
          </cell>
          <cell r="AW6">
            <v>38231</v>
          </cell>
          <cell r="AX6">
            <v>1</v>
          </cell>
          <cell r="AY6">
            <v>1</v>
          </cell>
          <cell r="AZ6">
            <v>1</v>
          </cell>
          <cell r="BD6">
            <v>38231</v>
          </cell>
          <cell r="BE6">
            <v>1</v>
          </cell>
          <cell r="BF6">
            <v>1</v>
          </cell>
          <cell r="BJ6">
            <v>38231</v>
          </cell>
          <cell r="BK6">
            <v>1</v>
          </cell>
          <cell r="BL6">
            <v>1</v>
          </cell>
        </row>
        <row r="7">
          <cell r="E7">
            <v>38231.333333333336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0</v>
          </cell>
          <cell r="U7">
            <v>38231.333333333336</v>
          </cell>
          <cell r="V7">
            <v>0</v>
          </cell>
          <cell r="W7">
            <v>0</v>
          </cell>
          <cell r="X7">
            <v>1</v>
          </cell>
          <cell r="Y7">
            <v>1</v>
          </cell>
          <cell r="Z7">
            <v>0</v>
          </cell>
          <cell r="AD7">
            <v>38231.333333333336</v>
          </cell>
          <cell r="AE7">
            <v>0</v>
          </cell>
          <cell r="AF7">
            <v>0</v>
          </cell>
          <cell r="AG7">
            <v>1</v>
          </cell>
          <cell r="AK7">
            <v>38231.333333333336</v>
          </cell>
          <cell r="AL7">
            <v>0</v>
          </cell>
          <cell r="AM7">
            <v>1</v>
          </cell>
          <cell r="AN7">
            <v>0</v>
          </cell>
          <cell r="AO7">
            <v>0</v>
          </cell>
          <cell r="AS7">
            <v>38231.333333333336</v>
          </cell>
          <cell r="AT7">
            <v>1.8472166876412099</v>
          </cell>
          <cell r="AW7">
            <v>38231.333333333336</v>
          </cell>
          <cell r="AX7">
            <v>1</v>
          </cell>
          <cell r="AY7">
            <v>1</v>
          </cell>
          <cell r="AZ7">
            <v>1</v>
          </cell>
          <cell r="BD7">
            <v>38231.333333333336</v>
          </cell>
          <cell r="BE7">
            <v>1</v>
          </cell>
          <cell r="BF7">
            <v>1</v>
          </cell>
          <cell r="BJ7">
            <v>38231.333333333336</v>
          </cell>
          <cell r="BK7">
            <v>1</v>
          </cell>
          <cell r="BL7">
            <v>1</v>
          </cell>
        </row>
        <row r="8">
          <cell r="E8">
            <v>38231.666666666664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0</v>
          </cell>
          <cell r="U8">
            <v>38231.666666666664</v>
          </cell>
          <cell r="V8">
            <v>0</v>
          </cell>
          <cell r="W8">
            <v>0</v>
          </cell>
          <cell r="X8">
            <v>1</v>
          </cell>
          <cell r="Y8">
            <v>1</v>
          </cell>
          <cell r="Z8">
            <v>0</v>
          </cell>
          <cell r="AD8">
            <v>38231.666666666664</v>
          </cell>
          <cell r="AE8">
            <v>0</v>
          </cell>
          <cell r="AF8">
            <v>0</v>
          </cell>
          <cell r="AG8">
            <v>1</v>
          </cell>
          <cell r="AK8">
            <v>38231.666666666664</v>
          </cell>
          <cell r="AL8">
            <v>0</v>
          </cell>
          <cell r="AM8">
            <v>1</v>
          </cell>
          <cell r="AN8">
            <v>0</v>
          </cell>
          <cell r="AO8">
            <v>0</v>
          </cell>
          <cell r="AS8">
            <v>38231.666666666664</v>
          </cell>
          <cell r="AT8">
            <v>1.8451309973167049</v>
          </cell>
          <cell r="AW8">
            <v>38231.666666666664</v>
          </cell>
          <cell r="AX8">
            <v>1</v>
          </cell>
          <cell r="AY8">
            <v>1</v>
          </cell>
          <cell r="AZ8">
            <v>1</v>
          </cell>
          <cell r="BD8">
            <v>38231.666666666664</v>
          </cell>
          <cell r="BE8">
            <v>1</v>
          </cell>
          <cell r="BF8">
            <v>1</v>
          </cell>
          <cell r="BJ8">
            <v>38231.666666666664</v>
          </cell>
          <cell r="BK8">
            <v>1</v>
          </cell>
          <cell r="BL8">
            <v>1</v>
          </cell>
        </row>
        <row r="9">
          <cell r="E9">
            <v>38232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0</v>
          </cell>
          <cell r="U9">
            <v>38232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0</v>
          </cell>
          <cell r="AD9">
            <v>38232</v>
          </cell>
          <cell r="AE9">
            <v>0</v>
          </cell>
          <cell r="AF9">
            <v>0</v>
          </cell>
          <cell r="AG9">
            <v>1</v>
          </cell>
          <cell r="AK9">
            <v>38232</v>
          </cell>
          <cell r="AL9">
            <v>0</v>
          </cell>
          <cell r="AM9">
            <v>1</v>
          </cell>
          <cell r="AN9">
            <v>0</v>
          </cell>
          <cell r="AO9">
            <v>0</v>
          </cell>
          <cell r="AS9">
            <v>38232</v>
          </cell>
          <cell r="AT9">
            <v>1.8457864799433283</v>
          </cell>
          <cell r="AW9">
            <v>38232</v>
          </cell>
          <cell r="AX9">
            <v>1</v>
          </cell>
          <cell r="AY9">
            <v>1</v>
          </cell>
          <cell r="AZ9">
            <v>1</v>
          </cell>
          <cell r="BD9">
            <v>38232</v>
          </cell>
          <cell r="BE9">
            <v>1</v>
          </cell>
          <cell r="BF9">
            <v>1</v>
          </cell>
          <cell r="BJ9">
            <v>38232</v>
          </cell>
          <cell r="BK9">
            <v>1</v>
          </cell>
          <cell r="BL9">
            <v>1</v>
          </cell>
        </row>
        <row r="10">
          <cell r="E10">
            <v>38232.333333333336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1</v>
          </cell>
          <cell r="Q10">
            <v>0</v>
          </cell>
          <cell r="U10">
            <v>38232.333333333336</v>
          </cell>
          <cell r="V10">
            <v>0</v>
          </cell>
          <cell r="W10">
            <v>0</v>
          </cell>
          <cell r="X10">
            <v>1</v>
          </cell>
          <cell r="Y10">
            <v>1</v>
          </cell>
          <cell r="Z10">
            <v>0</v>
          </cell>
          <cell r="AD10">
            <v>38232.333333333336</v>
          </cell>
          <cell r="AE10">
            <v>0</v>
          </cell>
          <cell r="AF10">
            <v>0</v>
          </cell>
          <cell r="AG10">
            <v>1</v>
          </cell>
          <cell r="AK10">
            <v>38232.333333333336</v>
          </cell>
          <cell r="AL10">
            <v>0</v>
          </cell>
          <cell r="AM10">
            <v>1</v>
          </cell>
          <cell r="AN10">
            <v>0</v>
          </cell>
          <cell r="AO10">
            <v>0</v>
          </cell>
          <cell r="AS10">
            <v>38232.333333333336</v>
          </cell>
          <cell r="AT10">
            <v>1.8453053638339043</v>
          </cell>
          <cell r="AW10">
            <v>38232.333333333336</v>
          </cell>
          <cell r="AX10">
            <v>1</v>
          </cell>
          <cell r="AY10">
            <v>1</v>
          </cell>
          <cell r="AZ10">
            <v>1</v>
          </cell>
          <cell r="BD10">
            <v>38232.333333333336</v>
          </cell>
          <cell r="BE10">
            <v>1</v>
          </cell>
          <cell r="BF10">
            <v>1</v>
          </cell>
          <cell r="BJ10">
            <v>38232.333333333336</v>
          </cell>
          <cell r="BK10">
            <v>1</v>
          </cell>
          <cell r="BL10">
            <v>1</v>
          </cell>
        </row>
        <row r="11">
          <cell r="E11">
            <v>38232.666666666664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U11">
            <v>38232.666666666664</v>
          </cell>
          <cell r="V11">
            <v>0</v>
          </cell>
          <cell r="W11">
            <v>0</v>
          </cell>
          <cell r="X11">
            <v>1</v>
          </cell>
          <cell r="Y11">
            <v>1</v>
          </cell>
          <cell r="Z11">
            <v>0</v>
          </cell>
          <cell r="AD11">
            <v>38232.666666666664</v>
          </cell>
          <cell r="AE11">
            <v>0</v>
          </cell>
          <cell r="AF11">
            <v>0</v>
          </cell>
          <cell r="AG11">
            <v>1</v>
          </cell>
          <cell r="AK11">
            <v>38232.666666666664</v>
          </cell>
          <cell r="AL11">
            <v>0</v>
          </cell>
          <cell r="AM11">
            <v>1</v>
          </cell>
          <cell r="AN11">
            <v>0</v>
          </cell>
          <cell r="AO11">
            <v>0</v>
          </cell>
          <cell r="AS11">
            <v>38232.666666666664</v>
          </cell>
          <cell r="AT11">
            <v>1.8362854753517441</v>
          </cell>
          <cell r="AW11">
            <v>38232.666666666664</v>
          </cell>
          <cell r="AX11">
            <v>1</v>
          </cell>
          <cell r="AY11">
            <v>1</v>
          </cell>
          <cell r="AZ11">
            <v>1</v>
          </cell>
          <cell r="BD11">
            <v>38232.666666666664</v>
          </cell>
          <cell r="BE11">
            <v>1</v>
          </cell>
          <cell r="BF11">
            <v>1</v>
          </cell>
          <cell r="BJ11">
            <v>38232.666666666664</v>
          </cell>
          <cell r="BK11">
            <v>1</v>
          </cell>
          <cell r="BL11">
            <v>1</v>
          </cell>
        </row>
        <row r="12">
          <cell r="E12">
            <v>38233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0</v>
          </cell>
          <cell r="U12">
            <v>38233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0</v>
          </cell>
          <cell r="AD12">
            <v>38233</v>
          </cell>
          <cell r="AE12">
            <v>0</v>
          </cell>
          <cell r="AF12">
            <v>0</v>
          </cell>
          <cell r="AG12">
            <v>1</v>
          </cell>
          <cell r="AK12">
            <v>38233</v>
          </cell>
          <cell r="AL12">
            <v>0</v>
          </cell>
          <cell r="AM12">
            <v>1</v>
          </cell>
          <cell r="AN12">
            <v>0</v>
          </cell>
          <cell r="AO12">
            <v>0</v>
          </cell>
          <cell r="AS12">
            <v>38233</v>
          </cell>
          <cell r="AT12">
            <v>1.7680956537524859</v>
          </cell>
          <cell r="AW12">
            <v>38233</v>
          </cell>
          <cell r="AX12">
            <v>1</v>
          </cell>
          <cell r="AY12">
            <v>1</v>
          </cell>
          <cell r="AZ12">
            <v>1</v>
          </cell>
          <cell r="BD12">
            <v>38233</v>
          </cell>
          <cell r="BE12">
            <v>1</v>
          </cell>
          <cell r="BF12">
            <v>1</v>
          </cell>
          <cell r="BJ12">
            <v>38233</v>
          </cell>
          <cell r="BK12">
            <v>1</v>
          </cell>
          <cell r="BL12">
            <v>1</v>
          </cell>
        </row>
        <row r="13">
          <cell r="E13">
            <v>38233.333333333336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1</v>
          </cell>
          <cell r="Q13">
            <v>0</v>
          </cell>
          <cell r="U13">
            <v>38233.333333333336</v>
          </cell>
          <cell r="V13">
            <v>0</v>
          </cell>
          <cell r="W13">
            <v>0</v>
          </cell>
          <cell r="X13">
            <v>1</v>
          </cell>
          <cell r="Y13">
            <v>1</v>
          </cell>
          <cell r="Z13">
            <v>0</v>
          </cell>
          <cell r="AD13">
            <v>38233.333333333336</v>
          </cell>
          <cell r="AE13">
            <v>0</v>
          </cell>
          <cell r="AF13">
            <v>0</v>
          </cell>
          <cell r="AG13">
            <v>1</v>
          </cell>
          <cell r="AK13">
            <v>38233.333333333336</v>
          </cell>
          <cell r="AL13">
            <v>0</v>
          </cell>
          <cell r="AM13">
            <v>1</v>
          </cell>
          <cell r="AN13">
            <v>0</v>
          </cell>
          <cell r="AO13">
            <v>0</v>
          </cell>
          <cell r="AS13">
            <v>38233.333333333336</v>
          </cell>
          <cell r="AT13">
            <v>1.8234318956318829</v>
          </cell>
          <cell r="AW13">
            <v>38233.333333333336</v>
          </cell>
          <cell r="AX13">
            <v>1</v>
          </cell>
          <cell r="AY13">
            <v>1</v>
          </cell>
          <cell r="AZ13">
            <v>1</v>
          </cell>
          <cell r="BD13">
            <v>38233.333333333336</v>
          </cell>
          <cell r="BE13">
            <v>1</v>
          </cell>
          <cell r="BF13">
            <v>1</v>
          </cell>
          <cell r="BJ13">
            <v>38233.333333333336</v>
          </cell>
          <cell r="BK13">
            <v>1</v>
          </cell>
          <cell r="BL13">
            <v>1</v>
          </cell>
        </row>
        <row r="14">
          <cell r="E14">
            <v>38233.666666666664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U14">
            <v>38233.666666666664</v>
          </cell>
          <cell r="V14">
            <v>0</v>
          </cell>
          <cell r="W14">
            <v>0</v>
          </cell>
          <cell r="X14">
            <v>1</v>
          </cell>
          <cell r="Y14">
            <v>1</v>
          </cell>
          <cell r="Z14">
            <v>0</v>
          </cell>
          <cell r="AD14">
            <v>38233.666666666664</v>
          </cell>
          <cell r="AE14">
            <v>0</v>
          </cell>
          <cell r="AF14">
            <v>0</v>
          </cell>
          <cell r="AG14">
            <v>1</v>
          </cell>
          <cell r="AK14">
            <v>38233.666666666664</v>
          </cell>
          <cell r="AL14">
            <v>0</v>
          </cell>
          <cell r="AM14">
            <v>1</v>
          </cell>
          <cell r="AN14">
            <v>0</v>
          </cell>
          <cell r="AO14">
            <v>0</v>
          </cell>
          <cell r="AS14">
            <v>38233.666666666664</v>
          </cell>
          <cell r="AT14">
            <v>1.8428018444942103</v>
          </cell>
          <cell r="AW14">
            <v>38233.666666666664</v>
          </cell>
          <cell r="AX14">
            <v>1</v>
          </cell>
          <cell r="AY14">
            <v>1</v>
          </cell>
          <cell r="AZ14">
            <v>1</v>
          </cell>
          <cell r="BD14">
            <v>38233.666666666664</v>
          </cell>
          <cell r="BE14">
            <v>1</v>
          </cell>
          <cell r="BF14">
            <v>1</v>
          </cell>
          <cell r="BJ14">
            <v>38233.666666666664</v>
          </cell>
          <cell r="BK14">
            <v>1</v>
          </cell>
          <cell r="BL14">
            <v>1</v>
          </cell>
        </row>
        <row r="15">
          <cell r="E15">
            <v>38234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U15">
            <v>38234</v>
          </cell>
          <cell r="V15">
            <v>0</v>
          </cell>
          <cell r="W15">
            <v>0</v>
          </cell>
          <cell r="X15">
            <v>1</v>
          </cell>
          <cell r="Y15">
            <v>1</v>
          </cell>
          <cell r="Z15">
            <v>0</v>
          </cell>
          <cell r="AD15">
            <v>38234</v>
          </cell>
          <cell r="AE15">
            <v>0</v>
          </cell>
          <cell r="AF15">
            <v>0</v>
          </cell>
          <cell r="AG15">
            <v>1</v>
          </cell>
          <cell r="AK15">
            <v>38234</v>
          </cell>
          <cell r="AL15">
            <v>0</v>
          </cell>
          <cell r="AM15">
            <v>1</v>
          </cell>
          <cell r="AN15">
            <v>0</v>
          </cell>
          <cell r="AO15">
            <v>0</v>
          </cell>
          <cell r="AS15">
            <v>38234</v>
          </cell>
          <cell r="AT15">
            <v>1.8401804413646459</v>
          </cell>
          <cell r="AW15">
            <v>38234</v>
          </cell>
          <cell r="AX15">
            <v>1</v>
          </cell>
          <cell r="AY15">
            <v>1</v>
          </cell>
          <cell r="AZ15">
            <v>1</v>
          </cell>
          <cell r="BD15">
            <v>38234</v>
          </cell>
          <cell r="BE15">
            <v>1</v>
          </cell>
          <cell r="BF15">
            <v>1</v>
          </cell>
          <cell r="BJ15">
            <v>38234</v>
          </cell>
          <cell r="BK15">
            <v>1</v>
          </cell>
          <cell r="BL15">
            <v>1</v>
          </cell>
        </row>
        <row r="16">
          <cell r="E16">
            <v>38234.333333333336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1</v>
          </cell>
          <cell r="P16">
            <v>1</v>
          </cell>
          <cell r="Q16">
            <v>0</v>
          </cell>
          <cell r="U16">
            <v>38234.333333333336</v>
          </cell>
          <cell r="V16">
            <v>0</v>
          </cell>
          <cell r="W16">
            <v>0</v>
          </cell>
          <cell r="X16">
            <v>1</v>
          </cell>
          <cell r="Y16">
            <v>1</v>
          </cell>
          <cell r="Z16">
            <v>0</v>
          </cell>
          <cell r="AD16">
            <v>38234.333333333336</v>
          </cell>
          <cell r="AE16">
            <v>0</v>
          </cell>
          <cell r="AF16">
            <v>0</v>
          </cell>
          <cell r="AG16">
            <v>1</v>
          </cell>
          <cell r="AK16">
            <v>38234.333333333336</v>
          </cell>
          <cell r="AL16">
            <v>0</v>
          </cell>
          <cell r="AM16">
            <v>1</v>
          </cell>
          <cell r="AN16">
            <v>0</v>
          </cell>
          <cell r="AO16">
            <v>0</v>
          </cell>
          <cell r="AS16">
            <v>38234.333333333336</v>
          </cell>
          <cell r="AT16">
            <v>1.8395243340482315</v>
          </cell>
          <cell r="AW16">
            <v>38234.333333333336</v>
          </cell>
          <cell r="AX16">
            <v>1</v>
          </cell>
          <cell r="AY16">
            <v>1</v>
          </cell>
          <cell r="AZ16">
            <v>1</v>
          </cell>
          <cell r="BD16">
            <v>38234.333333333336</v>
          </cell>
          <cell r="BE16">
            <v>1</v>
          </cell>
          <cell r="BF16">
            <v>1</v>
          </cell>
          <cell r="BJ16">
            <v>38234.333333333336</v>
          </cell>
          <cell r="BK16">
            <v>1</v>
          </cell>
          <cell r="BL16">
            <v>1</v>
          </cell>
        </row>
        <row r="17">
          <cell r="E17">
            <v>38234.666666666664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1</v>
          </cell>
          <cell r="Q17">
            <v>0</v>
          </cell>
          <cell r="U17">
            <v>38234.666666666664</v>
          </cell>
          <cell r="V17">
            <v>0</v>
          </cell>
          <cell r="W17">
            <v>0</v>
          </cell>
          <cell r="X17">
            <v>1</v>
          </cell>
          <cell r="Y17">
            <v>1</v>
          </cell>
          <cell r="Z17">
            <v>0</v>
          </cell>
          <cell r="AD17">
            <v>38234.666666666664</v>
          </cell>
          <cell r="AE17">
            <v>0</v>
          </cell>
          <cell r="AF17">
            <v>0</v>
          </cell>
          <cell r="AG17">
            <v>1</v>
          </cell>
          <cell r="AK17">
            <v>38234.666666666664</v>
          </cell>
          <cell r="AL17">
            <v>0</v>
          </cell>
          <cell r="AM17">
            <v>1</v>
          </cell>
          <cell r="AN17">
            <v>0</v>
          </cell>
          <cell r="AO17">
            <v>0</v>
          </cell>
          <cell r="AS17">
            <v>38234.666666666664</v>
          </cell>
          <cell r="AT17">
            <v>1.838810804569059</v>
          </cell>
          <cell r="AW17">
            <v>38234.666666666664</v>
          </cell>
          <cell r="AX17">
            <v>1</v>
          </cell>
          <cell r="AY17">
            <v>1</v>
          </cell>
          <cell r="AZ17">
            <v>1</v>
          </cell>
          <cell r="BD17">
            <v>38234.666666666664</v>
          </cell>
          <cell r="BE17">
            <v>1</v>
          </cell>
          <cell r="BF17">
            <v>1</v>
          </cell>
          <cell r="BJ17">
            <v>38234.666666666664</v>
          </cell>
          <cell r="BK17">
            <v>1</v>
          </cell>
          <cell r="BL17">
            <v>1</v>
          </cell>
        </row>
        <row r="18">
          <cell r="E18">
            <v>38235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</v>
          </cell>
          <cell r="P18">
            <v>1</v>
          </cell>
          <cell r="Q18">
            <v>0</v>
          </cell>
          <cell r="U18">
            <v>38235</v>
          </cell>
          <cell r="V18">
            <v>0</v>
          </cell>
          <cell r="W18">
            <v>0</v>
          </cell>
          <cell r="X18">
            <v>1</v>
          </cell>
          <cell r="Y18">
            <v>1</v>
          </cell>
          <cell r="Z18">
            <v>0</v>
          </cell>
          <cell r="AD18">
            <v>38235</v>
          </cell>
          <cell r="AE18">
            <v>0</v>
          </cell>
          <cell r="AF18">
            <v>0</v>
          </cell>
          <cell r="AG18">
            <v>1</v>
          </cell>
          <cell r="AK18">
            <v>38235</v>
          </cell>
          <cell r="AL18">
            <v>0</v>
          </cell>
          <cell r="AM18">
            <v>1</v>
          </cell>
          <cell r="AN18">
            <v>0</v>
          </cell>
          <cell r="AO18">
            <v>0</v>
          </cell>
          <cell r="AS18">
            <v>38235</v>
          </cell>
          <cell r="AT18">
            <v>1.8399704084214237</v>
          </cell>
          <cell r="AW18">
            <v>38235</v>
          </cell>
          <cell r="AX18">
            <v>1</v>
          </cell>
          <cell r="AY18">
            <v>1</v>
          </cell>
          <cell r="AZ18">
            <v>1</v>
          </cell>
          <cell r="BD18">
            <v>38235</v>
          </cell>
          <cell r="BE18">
            <v>1</v>
          </cell>
          <cell r="BF18">
            <v>1</v>
          </cell>
          <cell r="BJ18">
            <v>38235</v>
          </cell>
          <cell r="BK18">
            <v>1</v>
          </cell>
          <cell r="BL18">
            <v>1</v>
          </cell>
        </row>
        <row r="19">
          <cell r="E19">
            <v>38235.333333333336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1</v>
          </cell>
          <cell r="Q19">
            <v>0</v>
          </cell>
          <cell r="U19">
            <v>38235.333333333336</v>
          </cell>
          <cell r="V19">
            <v>0</v>
          </cell>
          <cell r="W19">
            <v>0</v>
          </cell>
          <cell r="X19">
            <v>1</v>
          </cell>
          <cell r="Y19">
            <v>1</v>
          </cell>
          <cell r="Z19">
            <v>0</v>
          </cell>
          <cell r="AD19">
            <v>38235.333333333336</v>
          </cell>
          <cell r="AE19">
            <v>0</v>
          </cell>
          <cell r="AF19">
            <v>0</v>
          </cell>
          <cell r="AG19">
            <v>1</v>
          </cell>
          <cell r="AK19">
            <v>38235.333333333336</v>
          </cell>
          <cell r="AL19">
            <v>0</v>
          </cell>
          <cell r="AM19">
            <v>1</v>
          </cell>
          <cell r="AN19">
            <v>0</v>
          </cell>
          <cell r="AO19">
            <v>0</v>
          </cell>
          <cell r="AS19">
            <v>38235.333333333336</v>
          </cell>
          <cell r="AT19">
            <v>1.840861054427094</v>
          </cell>
          <cell r="AW19">
            <v>38235.333333333336</v>
          </cell>
          <cell r="AX19">
            <v>1</v>
          </cell>
          <cell r="AY19">
            <v>1</v>
          </cell>
          <cell r="AZ19">
            <v>1</v>
          </cell>
          <cell r="BD19">
            <v>38235.333333333336</v>
          </cell>
          <cell r="BE19">
            <v>1</v>
          </cell>
          <cell r="BF19">
            <v>1</v>
          </cell>
          <cell r="BJ19">
            <v>38235.333333333336</v>
          </cell>
          <cell r="BK19">
            <v>1</v>
          </cell>
          <cell r="BL19">
            <v>1</v>
          </cell>
        </row>
        <row r="20">
          <cell r="E20">
            <v>38235.666666666664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1</v>
          </cell>
          <cell r="Q20">
            <v>0</v>
          </cell>
          <cell r="U20">
            <v>38235.666666666664</v>
          </cell>
          <cell r="V20">
            <v>0</v>
          </cell>
          <cell r="W20">
            <v>0</v>
          </cell>
          <cell r="X20">
            <v>1</v>
          </cell>
          <cell r="Y20">
            <v>1</v>
          </cell>
          <cell r="Z20">
            <v>0</v>
          </cell>
          <cell r="AD20">
            <v>38235.666666666664</v>
          </cell>
          <cell r="AE20">
            <v>0</v>
          </cell>
          <cell r="AF20">
            <v>0</v>
          </cell>
          <cell r="AG20">
            <v>1</v>
          </cell>
          <cell r="AK20">
            <v>38235.666666666664</v>
          </cell>
          <cell r="AL20">
            <v>0</v>
          </cell>
          <cell r="AM20">
            <v>1</v>
          </cell>
          <cell r="AN20">
            <v>0</v>
          </cell>
          <cell r="AO20">
            <v>0</v>
          </cell>
          <cell r="AS20">
            <v>38235.666666666664</v>
          </cell>
          <cell r="AT20">
            <v>1.8365646638390092</v>
          </cell>
          <cell r="AW20">
            <v>38235.666666666664</v>
          </cell>
          <cell r="AX20">
            <v>1</v>
          </cell>
          <cell r="AY20">
            <v>1</v>
          </cell>
          <cell r="AZ20">
            <v>1</v>
          </cell>
          <cell r="BD20">
            <v>38235.666666666664</v>
          </cell>
          <cell r="BE20">
            <v>1</v>
          </cell>
          <cell r="BF20">
            <v>1</v>
          </cell>
          <cell r="BJ20">
            <v>38235.666666666664</v>
          </cell>
          <cell r="BK20">
            <v>1</v>
          </cell>
          <cell r="BL20">
            <v>1</v>
          </cell>
        </row>
        <row r="21">
          <cell r="E21">
            <v>38236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0</v>
          </cell>
          <cell r="U21">
            <v>38236</v>
          </cell>
          <cell r="V21">
            <v>1</v>
          </cell>
          <cell r="W21">
            <v>1</v>
          </cell>
          <cell r="X21">
            <v>0</v>
          </cell>
          <cell r="Y21">
            <v>0</v>
          </cell>
          <cell r="Z21">
            <v>0</v>
          </cell>
          <cell r="AD21">
            <v>38236</v>
          </cell>
          <cell r="AE21">
            <v>0</v>
          </cell>
          <cell r="AF21">
            <v>0</v>
          </cell>
          <cell r="AG21">
            <v>1</v>
          </cell>
          <cell r="AK21">
            <v>38236</v>
          </cell>
          <cell r="AL21">
            <v>0</v>
          </cell>
          <cell r="AM21">
            <v>1</v>
          </cell>
          <cell r="AN21">
            <v>1</v>
          </cell>
          <cell r="AO21">
            <v>1</v>
          </cell>
          <cell r="AS21">
            <v>38236</v>
          </cell>
          <cell r="AT21">
            <v>1.8357914074841473</v>
          </cell>
          <cell r="AW21">
            <v>38236</v>
          </cell>
          <cell r="AX21">
            <v>0</v>
          </cell>
          <cell r="AY21">
            <v>0</v>
          </cell>
          <cell r="AZ21">
            <v>1</v>
          </cell>
          <cell r="BD21">
            <v>38236</v>
          </cell>
          <cell r="BE21">
            <v>1</v>
          </cell>
          <cell r="BF21">
            <v>1</v>
          </cell>
          <cell r="BJ21">
            <v>38236</v>
          </cell>
          <cell r="BK21">
            <v>1</v>
          </cell>
          <cell r="BL21">
            <v>1</v>
          </cell>
        </row>
        <row r="22">
          <cell r="E22">
            <v>38236.333333333336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1</v>
          </cell>
          <cell r="P22">
            <v>1</v>
          </cell>
          <cell r="Q22">
            <v>0</v>
          </cell>
          <cell r="U22">
            <v>38236.333333333336</v>
          </cell>
          <cell r="V22">
            <v>1</v>
          </cell>
          <cell r="W22">
            <v>1</v>
          </cell>
          <cell r="X22">
            <v>0</v>
          </cell>
          <cell r="Y22">
            <v>0</v>
          </cell>
          <cell r="Z22">
            <v>0</v>
          </cell>
          <cell r="AD22">
            <v>38236.333333333336</v>
          </cell>
          <cell r="AE22">
            <v>0</v>
          </cell>
          <cell r="AF22">
            <v>0</v>
          </cell>
          <cell r="AG22">
            <v>1</v>
          </cell>
          <cell r="AK22">
            <v>38236.333333333336</v>
          </cell>
          <cell r="AL22">
            <v>0</v>
          </cell>
          <cell r="AM22">
            <v>1</v>
          </cell>
          <cell r="AN22">
            <v>1</v>
          </cell>
          <cell r="AO22">
            <v>1</v>
          </cell>
          <cell r="AS22">
            <v>38236.333333333336</v>
          </cell>
          <cell r="AT22">
            <v>1.8364333854367336</v>
          </cell>
          <cell r="AW22">
            <v>38236.333333333336</v>
          </cell>
          <cell r="AX22">
            <v>0</v>
          </cell>
          <cell r="AY22">
            <v>0</v>
          </cell>
          <cell r="AZ22">
            <v>1</v>
          </cell>
          <cell r="BD22">
            <v>38236.333333333336</v>
          </cell>
          <cell r="BE22">
            <v>1</v>
          </cell>
          <cell r="BF22">
            <v>1</v>
          </cell>
          <cell r="BJ22">
            <v>38236.333333333336</v>
          </cell>
          <cell r="BK22">
            <v>1</v>
          </cell>
          <cell r="BL22">
            <v>1</v>
          </cell>
        </row>
        <row r="23">
          <cell r="E23">
            <v>38236.666666666664</v>
          </cell>
          <cell r="F23">
            <v>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</v>
          </cell>
          <cell r="P23">
            <v>1</v>
          </cell>
          <cell r="Q23">
            <v>0</v>
          </cell>
          <cell r="U23">
            <v>38236.666666666664</v>
          </cell>
          <cell r="V23">
            <v>1</v>
          </cell>
          <cell r="W23">
            <v>1</v>
          </cell>
          <cell r="X23">
            <v>0</v>
          </cell>
          <cell r="Y23">
            <v>0</v>
          </cell>
          <cell r="Z23">
            <v>0</v>
          </cell>
          <cell r="AD23">
            <v>38236.666666666664</v>
          </cell>
          <cell r="AE23">
            <v>0</v>
          </cell>
          <cell r="AF23">
            <v>0</v>
          </cell>
          <cell r="AG23">
            <v>1</v>
          </cell>
          <cell r="AK23">
            <v>38236.666666666664</v>
          </cell>
          <cell r="AL23">
            <v>0</v>
          </cell>
          <cell r="AM23">
            <v>1</v>
          </cell>
          <cell r="AN23">
            <v>1</v>
          </cell>
          <cell r="AO23">
            <v>1</v>
          </cell>
          <cell r="AS23">
            <v>38236.666666666664</v>
          </cell>
          <cell r="AT23">
            <v>1.8388343668646283</v>
          </cell>
          <cell r="AW23">
            <v>38236.666666666664</v>
          </cell>
          <cell r="AX23">
            <v>0</v>
          </cell>
          <cell r="AY23">
            <v>0</v>
          </cell>
          <cell r="AZ23">
            <v>1</v>
          </cell>
          <cell r="BD23">
            <v>38236.666666666664</v>
          </cell>
          <cell r="BE23">
            <v>1</v>
          </cell>
          <cell r="BF23">
            <v>1</v>
          </cell>
          <cell r="BJ23">
            <v>38236.666666666664</v>
          </cell>
          <cell r="BK23">
            <v>1</v>
          </cell>
          <cell r="BL23">
            <v>1</v>
          </cell>
        </row>
        <row r="24">
          <cell r="E24">
            <v>38237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1</v>
          </cell>
          <cell r="P24">
            <v>1</v>
          </cell>
          <cell r="Q24">
            <v>0</v>
          </cell>
          <cell r="U24">
            <v>38237</v>
          </cell>
          <cell r="V24">
            <v>1</v>
          </cell>
          <cell r="W24">
            <v>1</v>
          </cell>
          <cell r="X24">
            <v>0</v>
          </cell>
          <cell r="Y24">
            <v>0</v>
          </cell>
          <cell r="Z24">
            <v>0</v>
          </cell>
          <cell r="AD24">
            <v>38237</v>
          </cell>
          <cell r="AE24">
            <v>0</v>
          </cell>
          <cell r="AF24">
            <v>0</v>
          </cell>
          <cell r="AG24">
            <v>1</v>
          </cell>
          <cell r="AK24">
            <v>38237</v>
          </cell>
          <cell r="AL24">
            <v>0</v>
          </cell>
          <cell r="AM24">
            <v>1</v>
          </cell>
          <cell r="AN24">
            <v>1</v>
          </cell>
          <cell r="AO24">
            <v>1</v>
          </cell>
          <cell r="AS24">
            <v>38237</v>
          </cell>
          <cell r="AT24">
            <v>1.8382478889077902</v>
          </cell>
          <cell r="AW24">
            <v>38237</v>
          </cell>
          <cell r="AX24">
            <v>0</v>
          </cell>
          <cell r="AY24">
            <v>0</v>
          </cell>
          <cell r="AZ24">
            <v>1</v>
          </cell>
          <cell r="BD24">
            <v>38237</v>
          </cell>
          <cell r="BE24">
            <v>1</v>
          </cell>
          <cell r="BF24">
            <v>1</v>
          </cell>
          <cell r="BJ24">
            <v>38237</v>
          </cell>
          <cell r="BK24">
            <v>1</v>
          </cell>
          <cell r="BL24">
            <v>1</v>
          </cell>
        </row>
        <row r="25">
          <cell r="E25">
            <v>38237.333333333336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1</v>
          </cell>
          <cell r="P25">
            <v>1</v>
          </cell>
          <cell r="Q25">
            <v>0</v>
          </cell>
          <cell r="U25">
            <v>38237.333333333336</v>
          </cell>
          <cell r="V25">
            <v>1</v>
          </cell>
          <cell r="W25">
            <v>1</v>
          </cell>
          <cell r="X25">
            <v>0</v>
          </cell>
          <cell r="Y25">
            <v>0</v>
          </cell>
          <cell r="Z25">
            <v>0</v>
          </cell>
          <cell r="AD25">
            <v>38237.333333333336</v>
          </cell>
          <cell r="AE25">
            <v>0</v>
          </cell>
          <cell r="AF25">
            <v>0</v>
          </cell>
          <cell r="AG25">
            <v>1</v>
          </cell>
          <cell r="AK25">
            <v>38237.333333333336</v>
          </cell>
          <cell r="AL25">
            <v>0</v>
          </cell>
          <cell r="AM25">
            <v>1</v>
          </cell>
          <cell r="AN25">
            <v>1</v>
          </cell>
          <cell r="AO25">
            <v>1</v>
          </cell>
          <cell r="AS25">
            <v>38237.333333333336</v>
          </cell>
          <cell r="AT25">
            <v>1.8401701505399413</v>
          </cell>
          <cell r="AW25">
            <v>38237.333333333336</v>
          </cell>
          <cell r="AX25">
            <v>0</v>
          </cell>
          <cell r="AY25">
            <v>0</v>
          </cell>
          <cell r="AZ25">
            <v>1</v>
          </cell>
          <cell r="BD25">
            <v>38237.333333333336</v>
          </cell>
          <cell r="BE25">
            <v>1</v>
          </cell>
          <cell r="BF25">
            <v>1</v>
          </cell>
          <cell r="BJ25">
            <v>38237.333333333336</v>
          </cell>
          <cell r="BK25">
            <v>1</v>
          </cell>
          <cell r="BL25">
            <v>1</v>
          </cell>
        </row>
        <row r="26">
          <cell r="E26">
            <v>38237.666666666664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1</v>
          </cell>
          <cell r="P26">
            <v>1</v>
          </cell>
          <cell r="Q26">
            <v>0</v>
          </cell>
          <cell r="U26">
            <v>38237.666666666664</v>
          </cell>
          <cell r="V26">
            <v>1</v>
          </cell>
          <cell r="W26">
            <v>1</v>
          </cell>
          <cell r="X26">
            <v>0</v>
          </cell>
          <cell r="Y26">
            <v>0</v>
          </cell>
          <cell r="Z26">
            <v>0</v>
          </cell>
          <cell r="AD26">
            <v>38237.666666666664</v>
          </cell>
          <cell r="AE26">
            <v>0</v>
          </cell>
          <cell r="AF26">
            <v>0</v>
          </cell>
          <cell r="AG26">
            <v>1</v>
          </cell>
          <cell r="AK26">
            <v>38237.666666666664</v>
          </cell>
          <cell r="AL26">
            <v>0</v>
          </cell>
          <cell r="AM26">
            <v>1</v>
          </cell>
          <cell r="AN26">
            <v>1</v>
          </cell>
          <cell r="AO26">
            <v>1</v>
          </cell>
          <cell r="AS26">
            <v>38237.666666666664</v>
          </cell>
          <cell r="AT26">
            <v>1.8388687070045207</v>
          </cell>
          <cell r="AW26">
            <v>38237.666666666664</v>
          </cell>
          <cell r="AX26">
            <v>0</v>
          </cell>
          <cell r="AY26">
            <v>0</v>
          </cell>
          <cell r="AZ26">
            <v>1</v>
          </cell>
          <cell r="BD26">
            <v>38237.666666666664</v>
          </cell>
          <cell r="BE26">
            <v>1</v>
          </cell>
          <cell r="BF26">
            <v>1</v>
          </cell>
          <cell r="BJ26">
            <v>38237.666666666664</v>
          </cell>
          <cell r="BK26">
            <v>1</v>
          </cell>
          <cell r="BL26">
            <v>1</v>
          </cell>
        </row>
        <row r="27">
          <cell r="E27">
            <v>38238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1</v>
          </cell>
          <cell r="P27">
            <v>1</v>
          </cell>
          <cell r="Q27">
            <v>0</v>
          </cell>
          <cell r="U27">
            <v>38238</v>
          </cell>
          <cell r="V27">
            <v>1</v>
          </cell>
          <cell r="W27">
            <v>1</v>
          </cell>
          <cell r="X27">
            <v>0</v>
          </cell>
          <cell r="Y27">
            <v>0</v>
          </cell>
          <cell r="Z27">
            <v>0</v>
          </cell>
          <cell r="AD27">
            <v>38238</v>
          </cell>
          <cell r="AE27">
            <v>0</v>
          </cell>
          <cell r="AF27">
            <v>0</v>
          </cell>
          <cell r="AG27">
            <v>1</v>
          </cell>
          <cell r="AK27">
            <v>38238</v>
          </cell>
          <cell r="AL27">
            <v>0</v>
          </cell>
          <cell r="AM27">
            <v>1</v>
          </cell>
          <cell r="AN27">
            <v>1</v>
          </cell>
          <cell r="AO27">
            <v>1</v>
          </cell>
          <cell r="AS27">
            <v>38238</v>
          </cell>
          <cell r="AT27">
            <v>1.840265422190229</v>
          </cell>
          <cell r="AW27">
            <v>38238</v>
          </cell>
          <cell r="AX27">
            <v>0</v>
          </cell>
          <cell r="AY27">
            <v>0</v>
          </cell>
          <cell r="AZ27">
            <v>1</v>
          </cell>
          <cell r="BD27">
            <v>38238</v>
          </cell>
          <cell r="BE27">
            <v>1</v>
          </cell>
          <cell r="BF27">
            <v>1</v>
          </cell>
          <cell r="BJ27">
            <v>38238</v>
          </cell>
          <cell r="BK27">
            <v>1</v>
          </cell>
          <cell r="BL27">
            <v>1</v>
          </cell>
        </row>
        <row r="28">
          <cell r="E28">
            <v>38238.333333333336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0</v>
          </cell>
          <cell r="U28">
            <v>38238.333333333336</v>
          </cell>
          <cell r="V28">
            <v>1</v>
          </cell>
          <cell r="W28">
            <v>1</v>
          </cell>
          <cell r="X28">
            <v>0</v>
          </cell>
          <cell r="Y28">
            <v>0</v>
          </cell>
          <cell r="Z28">
            <v>0</v>
          </cell>
          <cell r="AD28">
            <v>38238.333333333336</v>
          </cell>
          <cell r="AE28">
            <v>0</v>
          </cell>
          <cell r="AF28">
            <v>0</v>
          </cell>
          <cell r="AG28">
            <v>1</v>
          </cell>
          <cell r="AK28">
            <v>38238.333333333336</v>
          </cell>
          <cell r="AL28">
            <v>0</v>
          </cell>
          <cell r="AM28">
            <v>1</v>
          </cell>
          <cell r="AN28">
            <v>1</v>
          </cell>
          <cell r="AO28">
            <v>1</v>
          </cell>
          <cell r="AS28">
            <v>38238.333333333336</v>
          </cell>
          <cell r="AT28">
            <v>1.8413423539863691</v>
          </cell>
          <cell r="AW28">
            <v>38238.333333333336</v>
          </cell>
          <cell r="AX28">
            <v>0</v>
          </cell>
          <cell r="AY28">
            <v>0</v>
          </cell>
          <cell r="AZ28">
            <v>1</v>
          </cell>
          <cell r="BD28">
            <v>38238.333333333336</v>
          </cell>
          <cell r="BE28">
            <v>1</v>
          </cell>
          <cell r="BF28">
            <v>1</v>
          </cell>
          <cell r="BJ28">
            <v>38238.333333333336</v>
          </cell>
          <cell r="BK28">
            <v>1</v>
          </cell>
          <cell r="BL28">
            <v>1</v>
          </cell>
        </row>
        <row r="29">
          <cell r="E29">
            <v>38238.666666666664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1</v>
          </cell>
          <cell r="P29">
            <v>1</v>
          </cell>
          <cell r="Q29">
            <v>0</v>
          </cell>
          <cell r="U29">
            <v>38238.666666666664</v>
          </cell>
          <cell r="V29">
            <v>1</v>
          </cell>
          <cell r="W29">
            <v>1</v>
          </cell>
          <cell r="X29">
            <v>0</v>
          </cell>
          <cell r="Y29">
            <v>0</v>
          </cell>
          <cell r="Z29">
            <v>0</v>
          </cell>
          <cell r="AD29">
            <v>38238.666666666664</v>
          </cell>
          <cell r="AE29">
            <v>0</v>
          </cell>
          <cell r="AF29">
            <v>0</v>
          </cell>
          <cell r="AG29">
            <v>1</v>
          </cell>
          <cell r="AK29">
            <v>38238.666666666664</v>
          </cell>
          <cell r="AL29">
            <v>0</v>
          </cell>
          <cell r="AM29">
            <v>1</v>
          </cell>
          <cell r="AN29">
            <v>1</v>
          </cell>
          <cell r="AO29">
            <v>1</v>
          </cell>
          <cell r="AS29">
            <v>38238.666666666664</v>
          </cell>
          <cell r="AT29">
            <v>1.8426306138849922</v>
          </cell>
          <cell r="AW29">
            <v>38238.666666666664</v>
          </cell>
          <cell r="AX29">
            <v>0</v>
          </cell>
          <cell r="AY29">
            <v>0</v>
          </cell>
          <cell r="AZ29">
            <v>1</v>
          </cell>
          <cell r="BD29">
            <v>38238.666666666664</v>
          </cell>
          <cell r="BE29">
            <v>1</v>
          </cell>
          <cell r="BF29">
            <v>1</v>
          </cell>
          <cell r="BJ29">
            <v>38238.666666666664</v>
          </cell>
          <cell r="BK29">
            <v>1</v>
          </cell>
          <cell r="BL29">
            <v>1</v>
          </cell>
        </row>
        <row r="30">
          <cell r="E30">
            <v>38239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</v>
          </cell>
          <cell r="P30">
            <v>1</v>
          </cell>
          <cell r="Q30">
            <v>0</v>
          </cell>
          <cell r="U30">
            <v>38239</v>
          </cell>
          <cell r="V30">
            <v>1</v>
          </cell>
          <cell r="W30">
            <v>1</v>
          </cell>
          <cell r="X30">
            <v>0</v>
          </cell>
          <cell r="Y30">
            <v>0</v>
          </cell>
          <cell r="Z30">
            <v>0</v>
          </cell>
          <cell r="AD30">
            <v>38239</v>
          </cell>
          <cell r="AE30">
            <v>0</v>
          </cell>
          <cell r="AF30">
            <v>0</v>
          </cell>
          <cell r="AG30">
            <v>1</v>
          </cell>
          <cell r="AK30">
            <v>38239</v>
          </cell>
          <cell r="AL30">
            <v>0</v>
          </cell>
          <cell r="AM30">
            <v>1</v>
          </cell>
          <cell r="AN30">
            <v>1</v>
          </cell>
          <cell r="AO30">
            <v>1</v>
          </cell>
          <cell r="AS30">
            <v>38239</v>
          </cell>
          <cell r="AT30">
            <v>1.8377957366820838</v>
          </cell>
          <cell r="AW30">
            <v>38239</v>
          </cell>
          <cell r="AX30">
            <v>0</v>
          </cell>
          <cell r="AY30">
            <v>0</v>
          </cell>
          <cell r="AZ30">
            <v>1</v>
          </cell>
          <cell r="BD30">
            <v>38239</v>
          </cell>
          <cell r="BE30">
            <v>1</v>
          </cell>
          <cell r="BF30">
            <v>1</v>
          </cell>
          <cell r="BJ30">
            <v>38239</v>
          </cell>
          <cell r="BK30">
            <v>1</v>
          </cell>
          <cell r="BL30">
            <v>1</v>
          </cell>
        </row>
        <row r="31">
          <cell r="E31">
            <v>38239.333333333336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1</v>
          </cell>
          <cell r="P31">
            <v>1</v>
          </cell>
          <cell r="Q31">
            <v>0</v>
          </cell>
          <cell r="U31">
            <v>38239.333333333336</v>
          </cell>
          <cell r="V31">
            <v>1</v>
          </cell>
          <cell r="W31">
            <v>1</v>
          </cell>
          <cell r="X31">
            <v>0</v>
          </cell>
          <cell r="Y31">
            <v>0</v>
          </cell>
          <cell r="Z31">
            <v>0</v>
          </cell>
          <cell r="AD31">
            <v>38239.333333333336</v>
          </cell>
          <cell r="AE31">
            <v>0</v>
          </cell>
          <cell r="AF31">
            <v>0</v>
          </cell>
          <cell r="AG31">
            <v>1</v>
          </cell>
          <cell r="AK31">
            <v>38239.333333333336</v>
          </cell>
          <cell r="AL31">
            <v>0</v>
          </cell>
          <cell r="AM31">
            <v>1</v>
          </cell>
          <cell r="AN31">
            <v>1</v>
          </cell>
          <cell r="AO31">
            <v>1</v>
          </cell>
          <cell r="AS31">
            <v>38239.333333333336</v>
          </cell>
          <cell r="AT31">
            <v>1.8411059747967455</v>
          </cell>
          <cell r="AW31">
            <v>38239.333333333336</v>
          </cell>
          <cell r="AX31">
            <v>0</v>
          </cell>
          <cell r="AY31">
            <v>0</v>
          </cell>
          <cell r="AZ31">
            <v>1</v>
          </cell>
          <cell r="BD31">
            <v>38239.333333333336</v>
          </cell>
          <cell r="BE31">
            <v>1</v>
          </cell>
          <cell r="BF31">
            <v>1</v>
          </cell>
          <cell r="BJ31">
            <v>38239.333333333336</v>
          </cell>
          <cell r="BK31">
            <v>1</v>
          </cell>
          <cell r="BL31">
            <v>1</v>
          </cell>
        </row>
        <row r="32">
          <cell r="E32">
            <v>38239.666666666664</v>
          </cell>
          <cell r="F32">
            <v>1</v>
          </cell>
          <cell r="G32">
            <v>1</v>
          </cell>
          <cell r="H32">
            <v>1</v>
          </cell>
          <cell r="I32">
            <v>1</v>
          </cell>
          <cell r="J32">
            <v>1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1</v>
          </cell>
          <cell r="Q32">
            <v>0</v>
          </cell>
          <cell r="U32">
            <v>38239.666666666664</v>
          </cell>
          <cell r="V32">
            <v>1</v>
          </cell>
          <cell r="W32">
            <v>1</v>
          </cell>
          <cell r="X32">
            <v>0</v>
          </cell>
          <cell r="Y32">
            <v>0</v>
          </cell>
          <cell r="Z32">
            <v>0</v>
          </cell>
          <cell r="AD32">
            <v>38239.666666666664</v>
          </cell>
          <cell r="AE32">
            <v>0</v>
          </cell>
          <cell r="AF32">
            <v>0</v>
          </cell>
          <cell r="AG32">
            <v>1</v>
          </cell>
          <cell r="AK32">
            <v>38239.666666666664</v>
          </cell>
          <cell r="AL32">
            <v>0</v>
          </cell>
          <cell r="AM32">
            <v>1</v>
          </cell>
          <cell r="AN32">
            <v>1</v>
          </cell>
          <cell r="AO32">
            <v>1</v>
          </cell>
          <cell r="AS32">
            <v>38239.666666666664</v>
          </cell>
          <cell r="AT32">
            <v>1.8409227571967575</v>
          </cell>
          <cell r="AW32">
            <v>38239.666666666664</v>
          </cell>
          <cell r="AX32">
            <v>0</v>
          </cell>
          <cell r="AY32">
            <v>0</v>
          </cell>
          <cell r="AZ32">
            <v>1</v>
          </cell>
          <cell r="BD32">
            <v>38239.666666666664</v>
          </cell>
          <cell r="BE32">
            <v>1</v>
          </cell>
          <cell r="BF32">
            <v>1</v>
          </cell>
          <cell r="BJ32">
            <v>38239.666666666664</v>
          </cell>
          <cell r="BK32">
            <v>1</v>
          </cell>
          <cell r="BL32">
            <v>1</v>
          </cell>
        </row>
        <row r="33">
          <cell r="E33">
            <v>38240</v>
          </cell>
          <cell r="F33">
            <v>1</v>
          </cell>
          <cell r="G33">
            <v>1</v>
          </cell>
          <cell r="H33">
            <v>1</v>
          </cell>
          <cell r="I33">
            <v>1</v>
          </cell>
          <cell r="J33">
            <v>1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1</v>
          </cell>
          <cell r="P33">
            <v>1</v>
          </cell>
          <cell r="Q33">
            <v>0</v>
          </cell>
          <cell r="U33">
            <v>38240</v>
          </cell>
          <cell r="V33">
            <v>1</v>
          </cell>
          <cell r="W33">
            <v>1</v>
          </cell>
          <cell r="X33">
            <v>0</v>
          </cell>
          <cell r="Y33">
            <v>0</v>
          </cell>
          <cell r="Z33">
            <v>0</v>
          </cell>
          <cell r="AD33">
            <v>38240</v>
          </cell>
          <cell r="AE33">
            <v>0</v>
          </cell>
          <cell r="AF33">
            <v>0</v>
          </cell>
          <cell r="AG33">
            <v>1</v>
          </cell>
          <cell r="AK33">
            <v>38240</v>
          </cell>
          <cell r="AL33">
            <v>0</v>
          </cell>
          <cell r="AM33">
            <v>1</v>
          </cell>
          <cell r="AN33">
            <v>1</v>
          </cell>
          <cell r="AO33">
            <v>1</v>
          </cell>
          <cell r="AS33">
            <v>38240</v>
          </cell>
          <cell r="AT33">
            <v>1.839345982298255</v>
          </cell>
          <cell r="AW33">
            <v>38240</v>
          </cell>
          <cell r="AX33">
            <v>0</v>
          </cell>
          <cell r="AY33">
            <v>0</v>
          </cell>
          <cell r="AZ33">
            <v>1</v>
          </cell>
          <cell r="BD33">
            <v>38240</v>
          </cell>
          <cell r="BE33">
            <v>1</v>
          </cell>
          <cell r="BF33">
            <v>1</v>
          </cell>
          <cell r="BJ33">
            <v>38240</v>
          </cell>
          <cell r="BK33">
            <v>1</v>
          </cell>
          <cell r="BL33">
            <v>1</v>
          </cell>
        </row>
        <row r="34">
          <cell r="E34">
            <v>38240.333333333336</v>
          </cell>
          <cell r="F34">
            <v>1</v>
          </cell>
          <cell r="G34">
            <v>1</v>
          </cell>
          <cell r="H34">
            <v>1</v>
          </cell>
          <cell r="I34">
            <v>1</v>
          </cell>
          <cell r="J34">
            <v>1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1</v>
          </cell>
          <cell r="P34">
            <v>1</v>
          </cell>
          <cell r="Q34">
            <v>0</v>
          </cell>
          <cell r="U34">
            <v>38240.333333333336</v>
          </cell>
          <cell r="V34">
            <v>1</v>
          </cell>
          <cell r="W34">
            <v>1</v>
          </cell>
          <cell r="X34">
            <v>0</v>
          </cell>
          <cell r="Y34">
            <v>0</v>
          </cell>
          <cell r="Z34">
            <v>0</v>
          </cell>
          <cell r="AD34">
            <v>38240.333333333336</v>
          </cell>
          <cell r="AE34">
            <v>0</v>
          </cell>
          <cell r="AF34">
            <v>0</v>
          </cell>
          <cell r="AG34">
            <v>1</v>
          </cell>
          <cell r="AK34">
            <v>38240.333333333336</v>
          </cell>
          <cell r="AL34">
            <v>0</v>
          </cell>
          <cell r="AM34">
            <v>1</v>
          </cell>
          <cell r="AN34">
            <v>1</v>
          </cell>
          <cell r="AO34">
            <v>1</v>
          </cell>
          <cell r="AS34">
            <v>38240.333333333336</v>
          </cell>
          <cell r="AT34">
            <v>1.8386225175526407</v>
          </cell>
          <cell r="AW34">
            <v>38240.333333333336</v>
          </cell>
          <cell r="AX34">
            <v>0</v>
          </cell>
          <cell r="AY34">
            <v>0</v>
          </cell>
          <cell r="AZ34">
            <v>1</v>
          </cell>
          <cell r="BD34">
            <v>38240.333333333336</v>
          </cell>
          <cell r="BE34">
            <v>1</v>
          </cell>
          <cell r="BF34">
            <v>1</v>
          </cell>
          <cell r="BJ34">
            <v>38240.333333333336</v>
          </cell>
          <cell r="BK34">
            <v>1</v>
          </cell>
          <cell r="BL34">
            <v>1</v>
          </cell>
        </row>
        <row r="35">
          <cell r="E35">
            <v>38240.666666666664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1</v>
          </cell>
          <cell r="P35">
            <v>1</v>
          </cell>
          <cell r="Q35">
            <v>0</v>
          </cell>
          <cell r="U35">
            <v>38240.666666666664</v>
          </cell>
          <cell r="V35">
            <v>1</v>
          </cell>
          <cell r="W35">
            <v>1</v>
          </cell>
          <cell r="X35">
            <v>0</v>
          </cell>
          <cell r="Y35">
            <v>0</v>
          </cell>
          <cell r="Z35">
            <v>0</v>
          </cell>
          <cell r="AD35">
            <v>38240.666666666664</v>
          </cell>
          <cell r="AE35">
            <v>0</v>
          </cell>
          <cell r="AF35">
            <v>0</v>
          </cell>
          <cell r="AG35">
            <v>1</v>
          </cell>
          <cell r="AK35">
            <v>38240.666666666664</v>
          </cell>
          <cell r="AL35">
            <v>0</v>
          </cell>
          <cell r="AM35">
            <v>1</v>
          </cell>
          <cell r="AN35">
            <v>1</v>
          </cell>
          <cell r="AO35">
            <v>1</v>
          </cell>
          <cell r="AS35">
            <v>38240.666666666664</v>
          </cell>
          <cell r="AT35">
            <v>1.8357847312258349</v>
          </cell>
          <cell r="AW35">
            <v>38240.666666666664</v>
          </cell>
          <cell r="AX35">
            <v>0</v>
          </cell>
          <cell r="AY35">
            <v>0</v>
          </cell>
          <cell r="AZ35">
            <v>1</v>
          </cell>
          <cell r="BD35">
            <v>38240.666666666664</v>
          </cell>
          <cell r="BE35">
            <v>1</v>
          </cell>
          <cell r="BF35">
            <v>1</v>
          </cell>
          <cell r="BJ35">
            <v>38240.666666666664</v>
          </cell>
          <cell r="BK35">
            <v>1</v>
          </cell>
          <cell r="BL35">
            <v>1</v>
          </cell>
        </row>
        <row r="36">
          <cell r="E36">
            <v>38241</v>
          </cell>
          <cell r="F36">
            <v>1</v>
          </cell>
          <cell r="G36">
            <v>1</v>
          </cell>
          <cell r="H36">
            <v>1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1</v>
          </cell>
          <cell r="Q36">
            <v>0</v>
          </cell>
          <cell r="U36">
            <v>38241</v>
          </cell>
          <cell r="V36">
            <v>1</v>
          </cell>
          <cell r="W36">
            <v>1</v>
          </cell>
          <cell r="X36">
            <v>0</v>
          </cell>
          <cell r="Y36">
            <v>0</v>
          </cell>
          <cell r="Z36">
            <v>0</v>
          </cell>
          <cell r="AD36">
            <v>38241</v>
          </cell>
          <cell r="AE36">
            <v>0</v>
          </cell>
          <cell r="AF36">
            <v>0</v>
          </cell>
          <cell r="AG36">
            <v>1</v>
          </cell>
          <cell r="AK36">
            <v>38241</v>
          </cell>
          <cell r="AL36">
            <v>0</v>
          </cell>
          <cell r="AM36">
            <v>1</v>
          </cell>
          <cell r="AN36">
            <v>1</v>
          </cell>
          <cell r="AO36">
            <v>1</v>
          </cell>
          <cell r="AS36">
            <v>38241</v>
          </cell>
          <cell r="AT36">
            <v>1.8384340080122152</v>
          </cell>
          <cell r="AW36">
            <v>38241</v>
          </cell>
          <cell r="AX36">
            <v>0</v>
          </cell>
          <cell r="AY36">
            <v>0</v>
          </cell>
          <cell r="AZ36">
            <v>1</v>
          </cell>
          <cell r="BD36">
            <v>38241</v>
          </cell>
          <cell r="BE36">
            <v>1</v>
          </cell>
          <cell r="BF36">
            <v>1</v>
          </cell>
          <cell r="BJ36">
            <v>38241</v>
          </cell>
          <cell r="BK36">
            <v>1</v>
          </cell>
          <cell r="BL36">
            <v>1</v>
          </cell>
        </row>
        <row r="37">
          <cell r="E37">
            <v>38241.333333333336</v>
          </cell>
          <cell r="F37">
            <v>1</v>
          </cell>
          <cell r="G37">
            <v>1</v>
          </cell>
          <cell r="H37">
            <v>1</v>
          </cell>
          <cell r="I37">
            <v>1</v>
          </cell>
          <cell r="J37">
            <v>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1</v>
          </cell>
          <cell r="P37">
            <v>1</v>
          </cell>
          <cell r="Q37">
            <v>0</v>
          </cell>
          <cell r="U37">
            <v>38241.333333333336</v>
          </cell>
          <cell r="V37">
            <v>1</v>
          </cell>
          <cell r="W37">
            <v>1</v>
          </cell>
          <cell r="X37">
            <v>0</v>
          </cell>
          <cell r="Y37">
            <v>0</v>
          </cell>
          <cell r="Z37">
            <v>0</v>
          </cell>
          <cell r="AD37">
            <v>38241.333333333336</v>
          </cell>
          <cell r="AE37">
            <v>0</v>
          </cell>
          <cell r="AF37">
            <v>0</v>
          </cell>
          <cell r="AG37">
            <v>1</v>
          </cell>
          <cell r="AK37">
            <v>38241.333333333336</v>
          </cell>
          <cell r="AL37">
            <v>0</v>
          </cell>
          <cell r="AM37">
            <v>1</v>
          </cell>
          <cell r="AN37">
            <v>1</v>
          </cell>
          <cell r="AO37">
            <v>1</v>
          </cell>
          <cell r="AS37">
            <v>38241.333333333336</v>
          </cell>
          <cell r="AT37">
            <v>1.838433295653926</v>
          </cell>
          <cell r="AW37">
            <v>38241.333333333336</v>
          </cell>
          <cell r="AX37">
            <v>0</v>
          </cell>
          <cell r="AY37">
            <v>0</v>
          </cell>
          <cell r="AZ37">
            <v>1</v>
          </cell>
          <cell r="BD37">
            <v>38241.333333333336</v>
          </cell>
          <cell r="BE37">
            <v>1</v>
          </cell>
          <cell r="BF37">
            <v>1</v>
          </cell>
          <cell r="BJ37">
            <v>38241.333333333336</v>
          </cell>
          <cell r="BK37">
            <v>1</v>
          </cell>
          <cell r="BL37">
            <v>1</v>
          </cell>
        </row>
        <row r="38">
          <cell r="E38">
            <v>38241.666666666664</v>
          </cell>
          <cell r="F38">
            <v>1</v>
          </cell>
          <cell r="G38">
            <v>1</v>
          </cell>
          <cell r="H38">
            <v>1</v>
          </cell>
          <cell r="I38">
            <v>1</v>
          </cell>
          <cell r="J38">
            <v>1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1</v>
          </cell>
          <cell r="P38">
            <v>1</v>
          </cell>
          <cell r="Q38">
            <v>0</v>
          </cell>
          <cell r="U38">
            <v>38241.666666666664</v>
          </cell>
          <cell r="V38">
            <v>1</v>
          </cell>
          <cell r="W38">
            <v>1</v>
          </cell>
          <cell r="X38">
            <v>0</v>
          </cell>
          <cell r="Y38">
            <v>0</v>
          </cell>
          <cell r="Z38">
            <v>0</v>
          </cell>
          <cell r="AD38">
            <v>38241.666666666664</v>
          </cell>
          <cell r="AE38">
            <v>0</v>
          </cell>
          <cell r="AF38">
            <v>0</v>
          </cell>
          <cell r="AG38">
            <v>1</v>
          </cell>
          <cell r="AK38">
            <v>38241.666666666664</v>
          </cell>
          <cell r="AL38">
            <v>0</v>
          </cell>
          <cell r="AM38">
            <v>1</v>
          </cell>
          <cell r="AN38">
            <v>1</v>
          </cell>
          <cell r="AO38">
            <v>1</v>
          </cell>
          <cell r="AS38">
            <v>38241.666666666664</v>
          </cell>
          <cell r="AT38">
            <v>1.8384498452974691</v>
          </cell>
          <cell r="AW38">
            <v>38241.666666666664</v>
          </cell>
          <cell r="AX38">
            <v>0</v>
          </cell>
          <cell r="AY38">
            <v>0</v>
          </cell>
          <cell r="AZ38">
            <v>1</v>
          </cell>
          <cell r="BD38">
            <v>38241.666666666664</v>
          </cell>
          <cell r="BE38">
            <v>1</v>
          </cell>
          <cell r="BF38">
            <v>1</v>
          </cell>
          <cell r="BJ38">
            <v>38241.666666666664</v>
          </cell>
          <cell r="BK38">
            <v>1</v>
          </cell>
          <cell r="BL38">
            <v>1</v>
          </cell>
        </row>
        <row r="39">
          <cell r="E39">
            <v>38242</v>
          </cell>
          <cell r="F39">
            <v>1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</v>
          </cell>
          <cell r="P39">
            <v>1</v>
          </cell>
          <cell r="Q39">
            <v>0</v>
          </cell>
          <cell r="U39">
            <v>38242</v>
          </cell>
          <cell r="V39">
            <v>1</v>
          </cell>
          <cell r="W39">
            <v>1</v>
          </cell>
          <cell r="X39">
            <v>0</v>
          </cell>
          <cell r="Y39">
            <v>0</v>
          </cell>
          <cell r="Z39">
            <v>0</v>
          </cell>
          <cell r="AD39">
            <v>38242</v>
          </cell>
          <cell r="AE39">
            <v>0</v>
          </cell>
          <cell r="AF39">
            <v>0</v>
          </cell>
          <cell r="AG39">
            <v>1</v>
          </cell>
          <cell r="AK39">
            <v>38242</v>
          </cell>
          <cell r="AL39">
            <v>0</v>
          </cell>
          <cell r="AM39">
            <v>1</v>
          </cell>
          <cell r="AN39">
            <v>1</v>
          </cell>
          <cell r="AO39">
            <v>1</v>
          </cell>
          <cell r="AS39">
            <v>38242</v>
          </cell>
          <cell r="AT39">
            <v>1.8387068397468991</v>
          </cell>
          <cell r="AW39">
            <v>38242</v>
          </cell>
          <cell r="AX39">
            <v>0</v>
          </cell>
          <cell r="AY39">
            <v>0</v>
          </cell>
          <cell r="AZ39">
            <v>1</v>
          </cell>
          <cell r="BD39">
            <v>38242</v>
          </cell>
          <cell r="BE39">
            <v>1</v>
          </cell>
          <cell r="BF39">
            <v>1</v>
          </cell>
          <cell r="BJ39">
            <v>38242</v>
          </cell>
          <cell r="BK39">
            <v>1</v>
          </cell>
          <cell r="BL39">
            <v>1</v>
          </cell>
        </row>
        <row r="40">
          <cell r="E40">
            <v>38242.333333333336</v>
          </cell>
          <cell r="F40">
            <v>1</v>
          </cell>
          <cell r="G40">
            <v>1</v>
          </cell>
          <cell r="H40">
            <v>1</v>
          </cell>
          <cell r="I40">
            <v>1</v>
          </cell>
          <cell r="J40">
            <v>1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1</v>
          </cell>
          <cell r="P40">
            <v>1</v>
          </cell>
          <cell r="Q40">
            <v>0</v>
          </cell>
          <cell r="U40">
            <v>38242.333333333336</v>
          </cell>
          <cell r="V40">
            <v>1</v>
          </cell>
          <cell r="W40">
            <v>1</v>
          </cell>
          <cell r="X40">
            <v>0</v>
          </cell>
          <cell r="Y40">
            <v>0</v>
          </cell>
          <cell r="Z40">
            <v>0</v>
          </cell>
          <cell r="AD40">
            <v>38242.333333333336</v>
          </cell>
          <cell r="AE40">
            <v>0</v>
          </cell>
          <cell r="AF40">
            <v>0</v>
          </cell>
          <cell r="AG40">
            <v>1</v>
          </cell>
          <cell r="AK40">
            <v>38242.333333333336</v>
          </cell>
          <cell r="AL40">
            <v>0</v>
          </cell>
          <cell r="AM40">
            <v>1</v>
          </cell>
          <cell r="AN40">
            <v>1</v>
          </cell>
          <cell r="AO40">
            <v>1</v>
          </cell>
          <cell r="AS40">
            <v>38242.333333333336</v>
          </cell>
          <cell r="AT40">
            <v>1.8385817327847083</v>
          </cell>
          <cell r="AW40">
            <v>38242.333333333336</v>
          </cell>
          <cell r="AX40">
            <v>0</v>
          </cell>
          <cell r="AY40">
            <v>0</v>
          </cell>
          <cell r="AZ40">
            <v>1</v>
          </cell>
          <cell r="BD40">
            <v>38242.333333333336</v>
          </cell>
          <cell r="BE40">
            <v>1</v>
          </cell>
          <cell r="BF40">
            <v>1</v>
          </cell>
          <cell r="BJ40">
            <v>38242.333333333336</v>
          </cell>
          <cell r="BK40">
            <v>1</v>
          </cell>
          <cell r="BL40">
            <v>1</v>
          </cell>
        </row>
        <row r="41">
          <cell r="E41">
            <v>38242.666666666664</v>
          </cell>
          <cell r="F41">
            <v>1</v>
          </cell>
          <cell r="G41">
            <v>1</v>
          </cell>
          <cell r="H41">
            <v>1</v>
          </cell>
          <cell r="I41">
            <v>1</v>
          </cell>
          <cell r="J41">
            <v>1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1</v>
          </cell>
          <cell r="P41">
            <v>1</v>
          </cell>
          <cell r="Q41">
            <v>0</v>
          </cell>
          <cell r="U41">
            <v>38242.666666666664</v>
          </cell>
          <cell r="V41">
            <v>1</v>
          </cell>
          <cell r="W41">
            <v>1</v>
          </cell>
          <cell r="X41">
            <v>0</v>
          </cell>
          <cell r="Y41">
            <v>0</v>
          </cell>
          <cell r="Z41">
            <v>0</v>
          </cell>
          <cell r="AD41">
            <v>38242.666666666664</v>
          </cell>
          <cell r="AE41">
            <v>0</v>
          </cell>
          <cell r="AF41">
            <v>0</v>
          </cell>
          <cell r="AG41">
            <v>1</v>
          </cell>
          <cell r="AK41">
            <v>38242.666666666664</v>
          </cell>
          <cell r="AL41">
            <v>0</v>
          </cell>
          <cell r="AM41">
            <v>1</v>
          </cell>
          <cell r="AN41">
            <v>1</v>
          </cell>
          <cell r="AO41">
            <v>1</v>
          </cell>
          <cell r="AS41">
            <v>38242.666666666664</v>
          </cell>
          <cell r="AT41">
            <v>1.836837619004978</v>
          </cell>
          <cell r="AW41">
            <v>38242.666666666664</v>
          </cell>
          <cell r="AX41">
            <v>0</v>
          </cell>
          <cell r="AY41">
            <v>0</v>
          </cell>
          <cell r="AZ41">
            <v>1</v>
          </cell>
          <cell r="BD41">
            <v>38242.666666666664</v>
          </cell>
          <cell r="BE41">
            <v>1</v>
          </cell>
          <cell r="BF41">
            <v>1</v>
          </cell>
          <cell r="BJ41">
            <v>38242.666666666664</v>
          </cell>
          <cell r="BK41">
            <v>1</v>
          </cell>
          <cell r="BL41">
            <v>1</v>
          </cell>
        </row>
        <row r="42">
          <cell r="E42">
            <v>38243</v>
          </cell>
          <cell r="F42">
            <v>1</v>
          </cell>
          <cell r="G42">
            <v>1</v>
          </cell>
          <cell r="H42">
            <v>1</v>
          </cell>
          <cell r="I42">
            <v>1</v>
          </cell>
          <cell r="J42">
            <v>1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1</v>
          </cell>
          <cell r="P42">
            <v>1</v>
          </cell>
          <cell r="Q42">
            <v>0</v>
          </cell>
          <cell r="U42">
            <v>38243</v>
          </cell>
          <cell r="V42">
            <v>1</v>
          </cell>
          <cell r="W42">
            <v>1</v>
          </cell>
          <cell r="X42">
            <v>0</v>
          </cell>
          <cell r="Y42">
            <v>0</v>
          </cell>
          <cell r="Z42">
            <v>0</v>
          </cell>
          <cell r="AD42">
            <v>38243</v>
          </cell>
          <cell r="AE42">
            <v>0</v>
          </cell>
          <cell r="AF42">
            <v>0</v>
          </cell>
          <cell r="AG42">
            <v>1</v>
          </cell>
          <cell r="AK42">
            <v>38243</v>
          </cell>
          <cell r="AL42">
            <v>0</v>
          </cell>
          <cell r="AM42">
            <v>1</v>
          </cell>
          <cell r="AN42">
            <v>1</v>
          </cell>
          <cell r="AO42">
            <v>1</v>
          </cell>
          <cell r="AS42">
            <v>38243</v>
          </cell>
          <cell r="AT42">
            <v>1.8371474356700976</v>
          </cell>
          <cell r="AW42">
            <v>38243</v>
          </cell>
          <cell r="AX42">
            <v>0</v>
          </cell>
          <cell r="AY42">
            <v>0</v>
          </cell>
          <cell r="AZ42">
            <v>1</v>
          </cell>
          <cell r="BD42">
            <v>38243</v>
          </cell>
          <cell r="BE42">
            <v>1</v>
          </cell>
          <cell r="BF42">
            <v>1</v>
          </cell>
          <cell r="BJ42">
            <v>38243</v>
          </cell>
          <cell r="BK42">
            <v>1</v>
          </cell>
          <cell r="BL42">
            <v>1</v>
          </cell>
        </row>
        <row r="43">
          <cell r="E43">
            <v>38243.333333333336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1</v>
          </cell>
          <cell r="P43">
            <v>1</v>
          </cell>
          <cell r="Q43">
            <v>0</v>
          </cell>
          <cell r="U43">
            <v>38243.333333333336</v>
          </cell>
          <cell r="V43">
            <v>0</v>
          </cell>
          <cell r="W43">
            <v>0</v>
          </cell>
          <cell r="X43">
            <v>1</v>
          </cell>
          <cell r="Y43">
            <v>1</v>
          </cell>
          <cell r="Z43">
            <v>0</v>
          </cell>
          <cell r="AD43">
            <v>38243.333333333336</v>
          </cell>
          <cell r="AE43">
            <v>0</v>
          </cell>
          <cell r="AF43">
            <v>1</v>
          </cell>
          <cell r="AG43">
            <v>0</v>
          </cell>
          <cell r="AK43">
            <v>38243.333333333336</v>
          </cell>
          <cell r="AL43">
            <v>0</v>
          </cell>
          <cell r="AM43">
            <v>1</v>
          </cell>
          <cell r="AN43">
            <v>1</v>
          </cell>
          <cell r="AO43">
            <v>1</v>
          </cell>
          <cell r="AS43">
            <v>38243.333333333336</v>
          </cell>
          <cell r="AT43">
            <v>1.836760734518369</v>
          </cell>
          <cell r="AW43">
            <v>38243.333333333336</v>
          </cell>
          <cell r="AX43">
            <v>1</v>
          </cell>
          <cell r="AY43">
            <v>1</v>
          </cell>
          <cell r="AZ43">
            <v>0</v>
          </cell>
          <cell r="BD43">
            <v>38243.333333333336</v>
          </cell>
          <cell r="BE43">
            <v>0</v>
          </cell>
          <cell r="BF43">
            <v>1</v>
          </cell>
          <cell r="BJ43">
            <v>38243.333333333336</v>
          </cell>
          <cell r="BK43">
            <v>1</v>
          </cell>
          <cell r="BL43">
            <v>1</v>
          </cell>
        </row>
        <row r="44">
          <cell r="E44">
            <v>38243.666666666664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  <cell r="P44">
            <v>1</v>
          </cell>
          <cell r="Q44">
            <v>0</v>
          </cell>
          <cell r="U44">
            <v>38243.666666666664</v>
          </cell>
          <cell r="V44">
            <v>0</v>
          </cell>
          <cell r="W44">
            <v>0</v>
          </cell>
          <cell r="X44">
            <v>1</v>
          </cell>
          <cell r="Y44">
            <v>1</v>
          </cell>
          <cell r="Z44">
            <v>0</v>
          </cell>
          <cell r="AD44">
            <v>38243.666666666664</v>
          </cell>
          <cell r="AE44">
            <v>0</v>
          </cell>
          <cell r="AF44">
            <v>1</v>
          </cell>
          <cell r="AG44">
            <v>0</v>
          </cell>
          <cell r="AK44">
            <v>38243.666666666664</v>
          </cell>
          <cell r="AL44">
            <v>0</v>
          </cell>
          <cell r="AM44">
            <v>1</v>
          </cell>
          <cell r="AN44">
            <v>1</v>
          </cell>
          <cell r="AO44">
            <v>1</v>
          </cell>
          <cell r="AS44">
            <v>38243.666666666664</v>
          </cell>
          <cell r="AT44">
            <v>1.8377391822636127</v>
          </cell>
          <cell r="AW44">
            <v>38243.666666666664</v>
          </cell>
          <cell r="AX44">
            <v>1</v>
          </cell>
          <cell r="AY44">
            <v>1</v>
          </cell>
          <cell r="AZ44">
            <v>0</v>
          </cell>
          <cell r="BD44">
            <v>38243.666666666664</v>
          </cell>
          <cell r="BE44">
            <v>0</v>
          </cell>
          <cell r="BF44">
            <v>1</v>
          </cell>
          <cell r="BJ44">
            <v>38243.666666666664</v>
          </cell>
          <cell r="BK44">
            <v>1</v>
          </cell>
          <cell r="BL44">
            <v>1</v>
          </cell>
        </row>
        <row r="45">
          <cell r="E45">
            <v>38244</v>
          </cell>
          <cell r="F45">
            <v>1</v>
          </cell>
          <cell r="G45">
            <v>1</v>
          </cell>
          <cell r="H45">
            <v>1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1</v>
          </cell>
          <cell r="P45">
            <v>1</v>
          </cell>
          <cell r="Q45">
            <v>0</v>
          </cell>
          <cell r="U45">
            <v>38244</v>
          </cell>
          <cell r="V45">
            <v>0</v>
          </cell>
          <cell r="W45">
            <v>0</v>
          </cell>
          <cell r="X45">
            <v>1</v>
          </cell>
          <cell r="Y45">
            <v>1</v>
          </cell>
          <cell r="Z45">
            <v>0</v>
          </cell>
          <cell r="AD45">
            <v>38244</v>
          </cell>
          <cell r="AE45">
            <v>0</v>
          </cell>
          <cell r="AF45">
            <v>1</v>
          </cell>
          <cell r="AG45">
            <v>0</v>
          </cell>
          <cell r="AK45">
            <v>38244</v>
          </cell>
          <cell r="AL45">
            <v>0</v>
          </cell>
          <cell r="AM45">
            <v>1</v>
          </cell>
          <cell r="AN45">
            <v>1</v>
          </cell>
          <cell r="AO45">
            <v>1</v>
          </cell>
          <cell r="AS45">
            <v>38244</v>
          </cell>
          <cell r="AT45">
            <v>1.8337316629787286</v>
          </cell>
          <cell r="AW45">
            <v>38244</v>
          </cell>
          <cell r="AX45">
            <v>1</v>
          </cell>
          <cell r="AY45">
            <v>1</v>
          </cell>
          <cell r="AZ45">
            <v>0</v>
          </cell>
          <cell r="BD45">
            <v>38244</v>
          </cell>
          <cell r="BE45">
            <v>0</v>
          </cell>
          <cell r="BF45">
            <v>1</v>
          </cell>
          <cell r="BJ45">
            <v>38244</v>
          </cell>
          <cell r="BK45">
            <v>1</v>
          </cell>
          <cell r="BL45">
            <v>1</v>
          </cell>
        </row>
        <row r="46">
          <cell r="E46">
            <v>38244.333333333336</v>
          </cell>
          <cell r="F46">
            <v>1</v>
          </cell>
          <cell r="G46">
            <v>1</v>
          </cell>
          <cell r="H46">
            <v>1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  <cell r="P46">
            <v>1</v>
          </cell>
          <cell r="Q46">
            <v>0</v>
          </cell>
          <cell r="U46">
            <v>38244.333333333336</v>
          </cell>
          <cell r="V46">
            <v>0</v>
          </cell>
          <cell r="W46">
            <v>0</v>
          </cell>
          <cell r="X46">
            <v>1</v>
          </cell>
          <cell r="Y46">
            <v>1</v>
          </cell>
          <cell r="Z46">
            <v>0</v>
          </cell>
          <cell r="AD46">
            <v>38244.333333333336</v>
          </cell>
          <cell r="AE46">
            <v>0</v>
          </cell>
          <cell r="AF46">
            <v>1</v>
          </cell>
          <cell r="AG46">
            <v>0</v>
          </cell>
          <cell r="AK46">
            <v>38244.333333333336</v>
          </cell>
          <cell r="AL46">
            <v>0</v>
          </cell>
          <cell r="AM46">
            <v>1</v>
          </cell>
          <cell r="AN46">
            <v>1</v>
          </cell>
          <cell r="AO46">
            <v>1</v>
          </cell>
          <cell r="AS46">
            <v>38244.333333333336</v>
          </cell>
          <cell r="AT46">
            <v>1.8371473435312509</v>
          </cell>
          <cell r="AW46">
            <v>38244.333333333336</v>
          </cell>
          <cell r="AX46">
            <v>1</v>
          </cell>
          <cell r="AY46">
            <v>1</v>
          </cell>
          <cell r="AZ46">
            <v>0</v>
          </cell>
          <cell r="BD46">
            <v>38244.333333333336</v>
          </cell>
          <cell r="BE46">
            <v>0</v>
          </cell>
          <cell r="BF46">
            <v>1</v>
          </cell>
          <cell r="BJ46">
            <v>38244.333333333336</v>
          </cell>
          <cell r="BK46">
            <v>1</v>
          </cell>
          <cell r="BL46">
            <v>1</v>
          </cell>
        </row>
        <row r="47">
          <cell r="E47">
            <v>38244.666666666664</v>
          </cell>
          <cell r="F47">
            <v>1</v>
          </cell>
          <cell r="G47">
            <v>1</v>
          </cell>
          <cell r="H47">
            <v>1</v>
          </cell>
          <cell r="I47">
            <v>1</v>
          </cell>
          <cell r="J47">
            <v>1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  <cell r="P47">
            <v>1</v>
          </cell>
          <cell r="Q47">
            <v>0</v>
          </cell>
          <cell r="U47">
            <v>38244.666666666664</v>
          </cell>
          <cell r="V47">
            <v>0</v>
          </cell>
          <cell r="W47">
            <v>0</v>
          </cell>
          <cell r="X47">
            <v>1</v>
          </cell>
          <cell r="Y47">
            <v>1</v>
          </cell>
          <cell r="Z47">
            <v>0</v>
          </cell>
          <cell r="AD47">
            <v>38244.666666666664</v>
          </cell>
          <cell r="AE47">
            <v>0</v>
          </cell>
          <cell r="AF47">
            <v>1</v>
          </cell>
          <cell r="AG47">
            <v>0</v>
          </cell>
          <cell r="AK47">
            <v>38244.666666666664</v>
          </cell>
          <cell r="AL47">
            <v>0</v>
          </cell>
          <cell r="AM47">
            <v>1</v>
          </cell>
          <cell r="AN47">
            <v>1</v>
          </cell>
          <cell r="AO47">
            <v>1</v>
          </cell>
          <cell r="AS47">
            <v>38244.666666666664</v>
          </cell>
          <cell r="AT47">
            <v>1.8363449291222624</v>
          </cell>
          <cell r="AW47">
            <v>38244.666666666664</v>
          </cell>
          <cell r="AX47">
            <v>1</v>
          </cell>
          <cell r="AY47">
            <v>1</v>
          </cell>
          <cell r="AZ47">
            <v>0</v>
          </cell>
          <cell r="BD47">
            <v>38244.666666666664</v>
          </cell>
          <cell r="BE47">
            <v>0</v>
          </cell>
          <cell r="BF47">
            <v>1</v>
          </cell>
          <cell r="BJ47">
            <v>38244.666666666664</v>
          </cell>
          <cell r="BK47">
            <v>1</v>
          </cell>
          <cell r="BL47">
            <v>1</v>
          </cell>
        </row>
        <row r="48">
          <cell r="E48">
            <v>38245</v>
          </cell>
          <cell r="F48">
            <v>1</v>
          </cell>
          <cell r="G48">
            <v>1</v>
          </cell>
          <cell r="H48">
            <v>1</v>
          </cell>
          <cell r="I48">
            <v>1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1</v>
          </cell>
          <cell r="P48">
            <v>1</v>
          </cell>
          <cell r="Q48">
            <v>0</v>
          </cell>
          <cell r="U48">
            <v>38245</v>
          </cell>
          <cell r="V48">
            <v>0</v>
          </cell>
          <cell r="W48">
            <v>0</v>
          </cell>
          <cell r="X48">
            <v>1</v>
          </cell>
          <cell r="Y48">
            <v>1</v>
          </cell>
          <cell r="Z48">
            <v>0</v>
          </cell>
          <cell r="AD48">
            <v>38245</v>
          </cell>
          <cell r="AE48">
            <v>0</v>
          </cell>
          <cell r="AF48">
            <v>1</v>
          </cell>
          <cell r="AG48">
            <v>0</v>
          </cell>
          <cell r="AK48">
            <v>38245</v>
          </cell>
          <cell r="AL48">
            <v>0</v>
          </cell>
          <cell r="AM48">
            <v>1</v>
          </cell>
          <cell r="AN48">
            <v>1</v>
          </cell>
          <cell r="AO48">
            <v>1</v>
          </cell>
          <cell r="AS48">
            <v>38245</v>
          </cell>
          <cell r="AT48">
            <v>1.8352024427304665</v>
          </cell>
          <cell r="AW48">
            <v>38245</v>
          </cell>
          <cell r="AX48">
            <v>1</v>
          </cell>
          <cell r="AY48">
            <v>1</v>
          </cell>
          <cell r="AZ48">
            <v>0</v>
          </cell>
          <cell r="BD48">
            <v>38245</v>
          </cell>
          <cell r="BE48">
            <v>0</v>
          </cell>
          <cell r="BF48">
            <v>1</v>
          </cell>
          <cell r="BJ48">
            <v>38245</v>
          </cell>
          <cell r="BK48">
            <v>1</v>
          </cell>
          <cell r="BL48">
            <v>1</v>
          </cell>
        </row>
        <row r="49">
          <cell r="E49">
            <v>38245.333333333336</v>
          </cell>
          <cell r="F49">
            <v>1</v>
          </cell>
          <cell r="G49">
            <v>1</v>
          </cell>
          <cell r="H49">
            <v>1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</v>
          </cell>
          <cell r="P49">
            <v>1</v>
          </cell>
          <cell r="Q49">
            <v>0</v>
          </cell>
          <cell r="U49">
            <v>38245.333333333336</v>
          </cell>
          <cell r="V49">
            <v>0</v>
          </cell>
          <cell r="W49">
            <v>0</v>
          </cell>
          <cell r="X49">
            <v>1</v>
          </cell>
          <cell r="Y49">
            <v>1</v>
          </cell>
          <cell r="Z49">
            <v>0</v>
          </cell>
          <cell r="AD49">
            <v>38245.333333333336</v>
          </cell>
          <cell r="AE49">
            <v>0</v>
          </cell>
          <cell r="AF49">
            <v>1</v>
          </cell>
          <cell r="AG49">
            <v>0</v>
          </cell>
          <cell r="AK49">
            <v>38245.333333333336</v>
          </cell>
          <cell r="AL49">
            <v>0</v>
          </cell>
          <cell r="AM49">
            <v>1</v>
          </cell>
          <cell r="AN49">
            <v>1</v>
          </cell>
          <cell r="AO49">
            <v>1</v>
          </cell>
          <cell r="AS49">
            <v>38245.333333333336</v>
          </cell>
          <cell r="AT49">
            <v>1.8367457383208805</v>
          </cell>
          <cell r="AW49">
            <v>38245.333333333336</v>
          </cell>
          <cell r="AX49">
            <v>1</v>
          </cell>
          <cell r="AY49">
            <v>1</v>
          </cell>
          <cell r="AZ49">
            <v>0</v>
          </cell>
          <cell r="BD49">
            <v>38245.333333333336</v>
          </cell>
          <cell r="BE49">
            <v>0</v>
          </cell>
          <cell r="BF49">
            <v>1</v>
          </cell>
          <cell r="BJ49">
            <v>38245.333333333336</v>
          </cell>
          <cell r="BK49">
            <v>1</v>
          </cell>
          <cell r="BL49">
            <v>1</v>
          </cell>
        </row>
        <row r="50">
          <cell r="E50">
            <v>38245.666666666664</v>
          </cell>
          <cell r="F50">
            <v>1</v>
          </cell>
          <cell r="G50">
            <v>1</v>
          </cell>
          <cell r="H50">
            <v>1</v>
          </cell>
          <cell r="I50">
            <v>1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1</v>
          </cell>
          <cell r="P50">
            <v>1</v>
          </cell>
          <cell r="Q50">
            <v>0</v>
          </cell>
          <cell r="U50">
            <v>38245.666666666664</v>
          </cell>
          <cell r="V50">
            <v>0</v>
          </cell>
          <cell r="W50">
            <v>0</v>
          </cell>
          <cell r="X50">
            <v>1</v>
          </cell>
          <cell r="Y50">
            <v>1</v>
          </cell>
          <cell r="Z50">
            <v>0</v>
          </cell>
          <cell r="AD50">
            <v>38245.666666666664</v>
          </cell>
          <cell r="AE50">
            <v>0</v>
          </cell>
          <cell r="AF50">
            <v>1</v>
          </cell>
          <cell r="AG50">
            <v>0</v>
          </cell>
          <cell r="AK50">
            <v>38245.666666666664</v>
          </cell>
          <cell r="AL50">
            <v>0</v>
          </cell>
          <cell r="AM50">
            <v>1</v>
          </cell>
          <cell r="AN50">
            <v>1</v>
          </cell>
          <cell r="AO50">
            <v>1</v>
          </cell>
          <cell r="AS50">
            <v>38245.666666666664</v>
          </cell>
          <cell r="AT50">
            <v>1.8384163745161559</v>
          </cell>
          <cell r="AW50">
            <v>38245.666666666664</v>
          </cell>
          <cell r="AX50">
            <v>1</v>
          </cell>
          <cell r="AY50">
            <v>1</v>
          </cell>
          <cell r="AZ50">
            <v>0</v>
          </cell>
          <cell r="BD50">
            <v>38245.666666666664</v>
          </cell>
          <cell r="BE50">
            <v>0</v>
          </cell>
          <cell r="BF50">
            <v>1</v>
          </cell>
          <cell r="BJ50">
            <v>38245.666666666664</v>
          </cell>
          <cell r="BK50">
            <v>1</v>
          </cell>
          <cell r="BL50">
            <v>1</v>
          </cell>
        </row>
        <row r="51">
          <cell r="E51">
            <v>38246</v>
          </cell>
          <cell r="F51">
            <v>1</v>
          </cell>
          <cell r="G51">
            <v>1</v>
          </cell>
          <cell r="H51">
            <v>1</v>
          </cell>
          <cell r="I51">
            <v>1</v>
          </cell>
          <cell r="J51">
            <v>1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1</v>
          </cell>
          <cell r="P51">
            <v>1</v>
          </cell>
          <cell r="Q51">
            <v>0</v>
          </cell>
          <cell r="U51">
            <v>38246</v>
          </cell>
          <cell r="V51">
            <v>0</v>
          </cell>
          <cell r="W51">
            <v>0</v>
          </cell>
          <cell r="X51">
            <v>1</v>
          </cell>
          <cell r="Y51">
            <v>1</v>
          </cell>
          <cell r="Z51">
            <v>0</v>
          </cell>
          <cell r="AD51">
            <v>38246</v>
          </cell>
          <cell r="AE51">
            <v>0</v>
          </cell>
          <cell r="AF51">
            <v>1</v>
          </cell>
          <cell r="AG51">
            <v>0</v>
          </cell>
          <cell r="AK51">
            <v>38246</v>
          </cell>
          <cell r="AL51">
            <v>0</v>
          </cell>
          <cell r="AM51">
            <v>1</v>
          </cell>
          <cell r="AN51">
            <v>1</v>
          </cell>
          <cell r="AO51">
            <v>1</v>
          </cell>
          <cell r="AS51">
            <v>38246</v>
          </cell>
          <cell r="AT51">
            <v>1.8356449978219138</v>
          </cell>
          <cell r="AW51">
            <v>38246</v>
          </cell>
          <cell r="AX51">
            <v>1</v>
          </cell>
          <cell r="AY51">
            <v>1</v>
          </cell>
          <cell r="AZ51">
            <v>0</v>
          </cell>
          <cell r="BD51">
            <v>38246</v>
          </cell>
          <cell r="BE51">
            <v>0</v>
          </cell>
          <cell r="BF51">
            <v>1</v>
          </cell>
          <cell r="BJ51">
            <v>38246</v>
          </cell>
          <cell r="BK51">
            <v>1</v>
          </cell>
          <cell r="BL51">
            <v>1</v>
          </cell>
        </row>
        <row r="52">
          <cell r="E52">
            <v>38246.333333333336</v>
          </cell>
          <cell r="F52">
            <v>1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1</v>
          </cell>
          <cell r="P52">
            <v>1</v>
          </cell>
          <cell r="Q52">
            <v>0</v>
          </cell>
          <cell r="U52">
            <v>38246.333333333336</v>
          </cell>
          <cell r="V52">
            <v>0</v>
          </cell>
          <cell r="W52">
            <v>0</v>
          </cell>
          <cell r="X52">
            <v>1</v>
          </cell>
          <cell r="Y52">
            <v>1</v>
          </cell>
          <cell r="Z52">
            <v>0</v>
          </cell>
          <cell r="AD52">
            <v>38246.333333333336</v>
          </cell>
          <cell r="AE52">
            <v>0</v>
          </cell>
          <cell r="AF52">
            <v>1</v>
          </cell>
          <cell r="AG52">
            <v>0</v>
          </cell>
          <cell r="AK52">
            <v>38246.333333333336</v>
          </cell>
          <cell r="AL52">
            <v>0</v>
          </cell>
          <cell r="AM52">
            <v>1</v>
          </cell>
          <cell r="AN52">
            <v>1</v>
          </cell>
          <cell r="AO52">
            <v>1</v>
          </cell>
          <cell r="AS52">
            <v>38246.333333333336</v>
          </cell>
          <cell r="AT52">
            <v>1.8323867789159218</v>
          </cell>
          <cell r="AW52">
            <v>38246.333333333336</v>
          </cell>
          <cell r="AX52">
            <v>1</v>
          </cell>
          <cell r="AY52">
            <v>1</v>
          </cell>
          <cell r="AZ52">
            <v>0</v>
          </cell>
          <cell r="BD52">
            <v>38246.333333333336</v>
          </cell>
          <cell r="BE52">
            <v>0</v>
          </cell>
          <cell r="BF52">
            <v>1</v>
          </cell>
          <cell r="BJ52">
            <v>38246.333333333336</v>
          </cell>
          <cell r="BK52">
            <v>1</v>
          </cell>
          <cell r="BL52">
            <v>1</v>
          </cell>
        </row>
        <row r="53">
          <cell r="E53">
            <v>38246.666666666664</v>
          </cell>
          <cell r="F53">
            <v>1</v>
          </cell>
          <cell r="G53">
            <v>1</v>
          </cell>
          <cell r="H53">
            <v>1</v>
          </cell>
          <cell r="I53">
            <v>1</v>
          </cell>
          <cell r="J53">
            <v>1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1</v>
          </cell>
          <cell r="P53">
            <v>1</v>
          </cell>
          <cell r="Q53">
            <v>0</v>
          </cell>
          <cell r="U53">
            <v>38246.666666666664</v>
          </cell>
          <cell r="V53">
            <v>0</v>
          </cell>
          <cell r="W53">
            <v>0</v>
          </cell>
          <cell r="X53">
            <v>1</v>
          </cell>
          <cell r="Y53">
            <v>1</v>
          </cell>
          <cell r="Z53">
            <v>0</v>
          </cell>
          <cell r="AD53">
            <v>38246.666666666664</v>
          </cell>
          <cell r="AE53">
            <v>0</v>
          </cell>
          <cell r="AF53">
            <v>1</v>
          </cell>
          <cell r="AG53">
            <v>0</v>
          </cell>
          <cell r="AK53">
            <v>38246.666666666664</v>
          </cell>
          <cell r="AL53">
            <v>0</v>
          </cell>
          <cell r="AM53">
            <v>1</v>
          </cell>
          <cell r="AN53">
            <v>1</v>
          </cell>
          <cell r="AO53">
            <v>1</v>
          </cell>
          <cell r="AS53">
            <v>38246.666666666664</v>
          </cell>
          <cell r="AT53">
            <v>1.8343638837337495</v>
          </cell>
          <cell r="AW53">
            <v>38246.666666666664</v>
          </cell>
          <cell r="AX53">
            <v>1</v>
          </cell>
          <cell r="AY53">
            <v>1</v>
          </cell>
          <cell r="AZ53">
            <v>0</v>
          </cell>
          <cell r="BD53">
            <v>38246.666666666664</v>
          </cell>
          <cell r="BE53">
            <v>0</v>
          </cell>
          <cell r="BF53">
            <v>1</v>
          </cell>
          <cell r="BJ53">
            <v>38246.666666666664</v>
          </cell>
          <cell r="BK53">
            <v>1</v>
          </cell>
          <cell r="BL53">
            <v>1</v>
          </cell>
        </row>
        <row r="54">
          <cell r="E54">
            <v>38247</v>
          </cell>
          <cell r="F54">
            <v>1</v>
          </cell>
          <cell r="G54">
            <v>1</v>
          </cell>
          <cell r="H54">
            <v>1</v>
          </cell>
          <cell r="I54">
            <v>1</v>
          </cell>
          <cell r="J54">
            <v>1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1</v>
          </cell>
          <cell r="P54">
            <v>1</v>
          </cell>
          <cell r="Q54">
            <v>0</v>
          </cell>
          <cell r="U54">
            <v>38247</v>
          </cell>
          <cell r="V54">
            <v>0</v>
          </cell>
          <cell r="W54">
            <v>0</v>
          </cell>
          <cell r="X54">
            <v>1</v>
          </cell>
          <cell r="Y54">
            <v>1</v>
          </cell>
          <cell r="Z54">
            <v>0</v>
          </cell>
          <cell r="AD54">
            <v>38247</v>
          </cell>
          <cell r="AE54">
            <v>0</v>
          </cell>
          <cell r="AF54">
            <v>1</v>
          </cell>
          <cell r="AG54">
            <v>0</v>
          </cell>
          <cell r="AK54">
            <v>38247</v>
          </cell>
          <cell r="AL54">
            <v>0</v>
          </cell>
          <cell r="AM54">
            <v>1</v>
          </cell>
          <cell r="AN54">
            <v>1</v>
          </cell>
          <cell r="AO54">
            <v>1</v>
          </cell>
          <cell r="AS54">
            <v>38247</v>
          </cell>
          <cell r="AT54">
            <v>1.8320795063343314</v>
          </cell>
          <cell r="AW54">
            <v>38247</v>
          </cell>
          <cell r="AX54">
            <v>1</v>
          </cell>
          <cell r="AY54">
            <v>1</v>
          </cell>
          <cell r="AZ54">
            <v>0</v>
          </cell>
          <cell r="BD54">
            <v>38247</v>
          </cell>
          <cell r="BE54">
            <v>0</v>
          </cell>
          <cell r="BF54">
            <v>1</v>
          </cell>
          <cell r="BJ54">
            <v>38247</v>
          </cell>
          <cell r="BK54">
            <v>1</v>
          </cell>
          <cell r="BL54">
            <v>1</v>
          </cell>
        </row>
        <row r="55">
          <cell r="E55">
            <v>38247.333333333336</v>
          </cell>
          <cell r="F55">
            <v>1</v>
          </cell>
          <cell r="G55">
            <v>1</v>
          </cell>
          <cell r="H55">
            <v>1</v>
          </cell>
          <cell r="I55">
            <v>1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1</v>
          </cell>
          <cell r="P55">
            <v>1</v>
          </cell>
          <cell r="Q55">
            <v>0</v>
          </cell>
          <cell r="U55">
            <v>38247.333333333336</v>
          </cell>
          <cell r="V55">
            <v>0</v>
          </cell>
          <cell r="W55">
            <v>0</v>
          </cell>
          <cell r="X55">
            <v>1</v>
          </cell>
          <cell r="Y55">
            <v>1</v>
          </cell>
          <cell r="Z55">
            <v>0</v>
          </cell>
          <cell r="AD55">
            <v>38247.333333333336</v>
          </cell>
          <cell r="AE55">
            <v>0</v>
          </cell>
          <cell r="AF55">
            <v>1</v>
          </cell>
          <cell r="AG55">
            <v>0</v>
          </cell>
          <cell r="AK55">
            <v>38247.333333333336</v>
          </cell>
          <cell r="AL55">
            <v>0</v>
          </cell>
          <cell r="AM55">
            <v>1</v>
          </cell>
          <cell r="AN55">
            <v>1</v>
          </cell>
          <cell r="AO55">
            <v>1</v>
          </cell>
          <cell r="AS55">
            <v>38247.333333333336</v>
          </cell>
          <cell r="AT55">
            <v>1.8301365555988418</v>
          </cell>
          <cell r="AW55">
            <v>38247.333333333336</v>
          </cell>
          <cell r="AX55">
            <v>1</v>
          </cell>
          <cell r="AY55">
            <v>1</v>
          </cell>
          <cell r="AZ55">
            <v>0</v>
          </cell>
          <cell r="BD55">
            <v>38247.333333333336</v>
          </cell>
          <cell r="BE55">
            <v>0</v>
          </cell>
          <cell r="BF55">
            <v>1</v>
          </cell>
          <cell r="BJ55">
            <v>38247.333333333336</v>
          </cell>
          <cell r="BK55">
            <v>1</v>
          </cell>
          <cell r="BL55">
            <v>1</v>
          </cell>
        </row>
        <row r="56">
          <cell r="E56">
            <v>38247.666666666664</v>
          </cell>
          <cell r="F56">
            <v>1</v>
          </cell>
          <cell r="G56">
            <v>1</v>
          </cell>
          <cell r="H56">
            <v>1</v>
          </cell>
          <cell r="I56">
            <v>1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1</v>
          </cell>
          <cell r="P56">
            <v>1</v>
          </cell>
          <cell r="Q56">
            <v>0</v>
          </cell>
          <cell r="U56">
            <v>38247.666666666664</v>
          </cell>
          <cell r="V56">
            <v>0</v>
          </cell>
          <cell r="W56">
            <v>0</v>
          </cell>
          <cell r="X56">
            <v>1</v>
          </cell>
          <cell r="Y56">
            <v>1</v>
          </cell>
          <cell r="Z56">
            <v>0</v>
          </cell>
          <cell r="AD56">
            <v>38247.666666666664</v>
          </cell>
          <cell r="AE56">
            <v>0</v>
          </cell>
          <cell r="AF56">
            <v>1</v>
          </cell>
          <cell r="AG56">
            <v>0</v>
          </cell>
          <cell r="AK56">
            <v>38247.666666666664</v>
          </cell>
          <cell r="AL56">
            <v>0</v>
          </cell>
          <cell r="AM56">
            <v>1</v>
          </cell>
          <cell r="AN56">
            <v>1</v>
          </cell>
          <cell r="AO56">
            <v>1</v>
          </cell>
          <cell r="AS56">
            <v>38247.666666666664</v>
          </cell>
          <cell r="AT56">
            <v>1.8309673306428724</v>
          </cell>
          <cell r="AW56">
            <v>38247.666666666664</v>
          </cell>
          <cell r="AX56">
            <v>1</v>
          </cell>
          <cell r="AY56">
            <v>1</v>
          </cell>
          <cell r="AZ56">
            <v>0</v>
          </cell>
          <cell r="BD56">
            <v>38247.666666666664</v>
          </cell>
          <cell r="BE56">
            <v>0</v>
          </cell>
          <cell r="BF56">
            <v>1</v>
          </cell>
          <cell r="BJ56">
            <v>38247.666666666664</v>
          </cell>
          <cell r="BK56">
            <v>1</v>
          </cell>
          <cell r="BL56">
            <v>1</v>
          </cell>
        </row>
        <row r="57">
          <cell r="E57">
            <v>38248</v>
          </cell>
          <cell r="F57">
            <v>1</v>
          </cell>
          <cell r="G57">
            <v>1</v>
          </cell>
          <cell r="H57">
            <v>1</v>
          </cell>
          <cell r="I57">
            <v>1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1</v>
          </cell>
          <cell r="P57">
            <v>1</v>
          </cell>
          <cell r="Q57">
            <v>0</v>
          </cell>
          <cell r="U57">
            <v>38248</v>
          </cell>
          <cell r="V57">
            <v>0</v>
          </cell>
          <cell r="W57">
            <v>0</v>
          </cell>
          <cell r="X57">
            <v>1</v>
          </cell>
          <cell r="Y57">
            <v>1</v>
          </cell>
          <cell r="Z57">
            <v>0</v>
          </cell>
          <cell r="AD57">
            <v>38248</v>
          </cell>
          <cell r="AE57">
            <v>0</v>
          </cell>
          <cell r="AF57">
            <v>1</v>
          </cell>
          <cell r="AG57">
            <v>0</v>
          </cell>
          <cell r="AK57">
            <v>38248</v>
          </cell>
          <cell r="AL57">
            <v>0</v>
          </cell>
          <cell r="AM57">
            <v>1</v>
          </cell>
          <cell r="AN57">
            <v>1</v>
          </cell>
          <cell r="AO57">
            <v>1</v>
          </cell>
          <cell r="AS57">
            <v>38248</v>
          </cell>
          <cell r="AT57">
            <v>1.8296854785333077</v>
          </cell>
          <cell r="AW57">
            <v>38248</v>
          </cell>
          <cell r="AX57">
            <v>1</v>
          </cell>
          <cell r="AY57">
            <v>1</v>
          </cell>
          <cell r="AZ57">
            <v>0</v>
          </cell>
          <cell r="BD57">
            <v>38248</v>
          </cell>
          <cell r="BE57">
            <v>0</v>
          </cell>
          <cell r="BF57">
            <v>1</v>
          </cell>
          <cell r="BJ57">
            <v>38248</v>
          </cell>
          <cell r="BK57">
            <v>1</v>
          </cell>
          <cell r="BL57">
            <v>1</v>
          </cell>
        </row>
        <row r="58">
          <cell r="E58">
            <v>38248.333333333336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  <cell r="J58">
            <v>1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1</v>
          </cell>
          <cell r="P58">
            <v>1</v>
          </cell>
          <cell r="Q58">
            <v>0</v>
          </cell>
          <cell r="U58">
            <v>38248.333333333336</v>
          </cell>
          <cell r="V58">
            <v>0</v>
          </cell>
          <cell r="W58">
            <v>0</v>
          </cell>
          <cell r="X58">
            <v>1</v>
          </cell>
          <cell r="Y58">
            <v>1</v>
          </cell>
          <cell r="Z58">
            <v>0</v>
          </cell>
          <cell r="AD58">
            <v>38248.333333333336</v>
          </cell>
          <cell r="AE58">
            <v>0</v>
          </cell>
          <cell r="AF58">
            <v>1</v>
          </cell>
          <cell r="AG58">
            <v>0</v>
          </cell>
          <cell r="AK58">
            <v>38248.333333333336</v>
          </cell>
          <cell r="AL58">
            <v>0</v>
          </cell>
          <cell r="AM58">
            <v>1</v>
          </cell>
          <cell r="AN58">
            <v>1</v>
          </cell>
          <cell r="AO58">
            <v>1</v>
          </cell>
          <cell r="AS58">
            <v>38248.333333333336</v>
          </cell>
          <cell r="AT58">
            <v>1.8297363498972521</v>
          </cell>
          <cell r="AW58">
            <v>38248.333333333336</v>
          </cell>
          <cell r="AX58">
            <v>1</v>
          </cell>
          <cell r="AY58">
            <v>1</v>
          </cell>
          <cell r="AZ58">
            <v>0</v>
          </cell>
          <cell r="BD58">
            <v>38248.333333333336</v>
          </cell>
          <cell r="BE58">
            <v>0</v>
          </cell>
          <cell r="BF58">
            <v>1</v>
          </cell>
          <cell r="BJ58">
            <v>38248.333333333336</v>
          </cell>
          <cell r="BK58">
            <v>1</v>
          </cell>
          <cell r="BL58">
            <v>1</v>
          </cell>
        </row>
        <row r="59">
          <cell r="E59">
            <v>38248.666666666664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1</v>
          </cell>
          <cell r="P59">
            <v>1</v>
          </cell>
          <cell r="Q59">
            <v>0</v>
          </cell>
          <cell r="U59">
            <v>38248.666666666664</v>
          </cell>
          <cell r="V59">
            <v>0</v>
          </cell>
          <cell r="W59">
            <v>0</v>
          </cell>
          <cell r="X59">
            <v>1</v>
          </cell>
          <cell r="Y59">
            <v>1</v>
          </cell>
          <cell r="Z59">
            <v>0</v>
          </cell>
          <cell r="AD59">
            <v>38248.666666666664</v>
          </cell>
          <cell r="AE59">
            <v>0</v>
          </cell>
          <cell r="AF59">
            <v>1</v>
          </cell>
          <cell r="AG59">
            <v>0</v>
          </cell>
          <cell r="AK59">
            <v>38248.666666666664</v>
          </cell>
          <cell r="AL59">
            <v>0</v>
          </cell>
          <cell r="AM59">
            <v>1</v>
          </cell>
          <cell r="AN59">
            <v>1</v>
          </cell>
          <cell r="AO59">
            <v>1</v>
          </cell>
          <cell r="AS59">
            <v>38248.666666666664</v>
          </cell>
          <cell r="AT59">
            <v>1.8289790234631962</v>
          </cell>
          <cell r="AW59">
            <v>38248.666666666664</v>
          </cell>
          <cell r="AX59">
            <v>1</v>
          </cell>
          <cell r="AY59">
            <v>1</v>
          </cell>
          <cell r="AZ59">
            <v>0</v>
          </cell>
          <cell r="BD59">
            <v>38248.666666666664</v>
          </cell>
          <cell r="BE59">
            <v>0</v>
          </cell>
          <cell r="BF59">
            <v>1</v>
          </cell>
          <cell r="BJ59">
            <v>38248.666666666664</v>
          </cell>
          <cell r="BK59">
            <v>1</v>
          </cell>
          <cell r="BL59">
            <v>1</v>
          </cell>
        </row>
        <row r="60">
          <cell r="E60">
            <v>38249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</v>
          </cell>
          <cell r="Q60">
            <v>0</v>
          </cell>
          <cell r="U60">
            <v>38249</v>
          </cell>
          <cell r="V60">
            <v>0</v>
          </cell>
          <cell r="W60">
            <v>0</v>
          </cell>
          <cell r="X60">
            <v>1</v>
          </cell>
          <cell r="Y60">
            <v>1</v>
          </cell>
          <cell r="Z60">
            <v>0</v>
          </cell>
          <cell r="AD60">
            <v>38249</v>
          </cell>
          <cell r="AE60">
            <v>0</v>
          </cell>
          <cell r="AF60">
            <v>1</v>
          </cell>
          <cell r="AG60">
            <v>0</v>
          </cell>
          <cell r="AK60">
            <v>38249</v>
          </cell>
          <cell r="AL60">
            <v>0</v>
          </cell>
          <cell r="AM60">
            <v>1</v>
          </cell>
          <cell r="AN60">
            <v>1</v>
          </cell>
          <cell r="AO60">
            <v>1</v>
          </cell>
          <cell r="AS60">
            <v>38249</v>
          </cell>
          <cell r="AT60">
            <v>1.6730433010392718</v>
          </cell>
          <cell r="AW60">
            <v>38249</v>
          </cell>
          <cell r="AX60">
            <v>1</v>
          </cell>
          <cell r="AY60">
            <v>1</v>
          </cell>
          <cell r="AZ60">
            <v>0</v>
          </cell>
          <cell r="BD60">
            <v>38249</v>
          </cell>
          <cell r="BE60">
            <v>0</v>
          </cell>
          <cell r="BF60">
            <v>1</v>
          </cell>
          <cell r="BJ60">
            <v>38249</v>
          </cell>
          <cell r="BK60">
            <v>1</v>
          </cell>
          <cell r="BL60">
            <v>1</v>
          </cell>
        </row>
        <row r="61">
          <cell r="E61">
            <v>38249.333333333336</v>
          </cell>
          <cell r="F61">
            <v>1</v>
          </cell>
          <cell r="G61">
            <v>1</v>
          </cell>
          <cell r="H61">
            <v>1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</v>
          </cell>
          <cell r="Q61">
            <v>0</v>
          </cell>
          <cell r="U61">
            <v>38249.333333333336</v>
          </cell>
          <cell r="V61">
            <v>0</v>
          </cell>
          <cell r="W61">
            <v>0</v>
          </cell>
          <cell r="X61">
            <v>1</v>
          </cell>
          <cell r="Y61">
            <v>1</v>
          </cell>
          <cell r="Z61">
            <v>0</v>
          </cell>
          <cell r="AD61">
            <v>38249.333333333336</v>
          </cell>
          <cell r="AE61">
            <v>0</v>
          </cell>
          <cell r="AF61">
            <v>1</v>
          </cell>
          <cell r="AG61">
            <v>0</v>
          </cell>
          <cell r="AK61">
            <v>38249.333333333336</v>
          </cell>
          <cell r="AL61">
            <v>0</v>
          </cell>
          <cell r="AM61">
            <v>1</v>
          </cell>
          <cell r="AN61">
            <v>1</v>
          </cell>
          <cell r="AO61">
            <v>1</v>
          </cell>
          <cell r="AS61">
            <v>38249.333333333336</v>
          </cell>
          <cell r="AT61">
            <v>1.8324876916491324</v>
          </cell>
          <cell r="AW61">
            <v>38249.333333333336</v>
          </cell>
          <cell r="AX61">
            <v>1</v>
          </cell>
          <cell r="AY61">
            <v>1</v>
          </cell>
          <cell r="AZ61">
            <v>0</v>
          </cell>
          <cell r="BD61">
            <v>38249.333333333336</v>
          </cell>
          <cell r="BE61">
            <v>0</v>
          </cell>
          <cell r="BF61">
            <v>1</v>
          </cell>
          <cell r="BJ61">
            <v>38249.333333333336</v>
          </cell>
          <cell r="BK61">
            <v>1</v>
          </cell>
          <cell r="BL61">
            <v>1</v>
          </cell>
        </row>
        <row r="62">
          <cell r="E62">
            <v>38249.666666666664</v>
          </cell>
          <cell r="F62">
            <v>1</v>
          </cell>
          <cell r="G62">
            <v>1</v>
          </cell>
          <cell r="H62">
            <v>1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</v>
          </cell>
          <cell r="Q62">
            <v>0</v>
          </cell>
          <cell r="U62">
            <v>38249.666666666664</v>
          </cell>
          <cell r="V62">
            <v>0</v>
          </cell>
          <cell r="W62">
            <v>0</v>
          </cell>
          <cell r="X62">
            <v>1</v>
          </cell>
          <cell r="Y62">
            <v>1</v>
          </cell>
          <cell r="Z62">
            <v>0</v>
          </cell>
          <cell r="AD62">
            <v>38249.666666666664</v>
          </cell>
          <cell r="AE62">
            <v>0</v>
          </cell>
          <cell r="AF62">
            <v>1</v>
          </cell>
          <cell r="AG62">
            <v>0</v>
          </cell>
          <cell r="AK62">
            <v>38249.666666666664</v>
          </cell>
          <cell r="AL62">
            <v>0</v>
          </cell>
          <cell r="AM62">
            <v>1</v>
          </cell>
          <cell r="AN62">
            <v>1</v>
          </cell>
          <cell r="AO62">
            <v>1</v>
          </cell>
          <cell r="AS62">
            <v>38249.666666666664</v>
          </cell>
          <cell r="AT62">
            <v>1.834727576168047</v>
          </cell>
          <cell r="AW62">
            <v>38249.666666666664</v>
          </cell>
          <cell r="AX62">
            <v>1</v>
          </cell>
          <cell r="AY62">
            <v>1</v>
          </cell>
          <cell r="AZ62">
            <v>0</v>
          </cell>
          <cell r="BD62">
            <v>38249.666666666664</v>
          </cell>
          <cell r="BE62">
            <v>0</v>
          </cell>
          <cell r="BF62">
            <v>1</v>
          </cell>
          <cell r="BJ62">
            <v>38249.666666666664</v>
          </cell>
          <cell r="BK62">
            <v>1</v>
          </cell>
          <cell r="BL62">
            <v>1</v>
          </cell>
        </row>
        <row r="63">
          <cell r="E63">
            <v>38250</v>
          </cell>
          <cell r="F63">
            <v>1</v>
          </cell>
          <cell r="G63">
            <v>1</v>
          </cell>
          <cell r="H63">
            <v>1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</v>
          </cell>
          <cell r="Q63">
            <v>0</v>
          </cell>
          <cell r="U63">
            <v>38250</v>
          </cell>
          <cell r="V63">
            <v>0</v>
          </cell>
          <cell r="W63">
            <v>0</v>
          </cell>
          <cell r="X63">
            <v>1</v>
          </cell>
          <cell r="Y63">
            <v>1</v>
          </cell>
          <cell r="Z63">
            <v>0</v>
          </cell>
          <cell r="AD63">
            <v>38250</v>
          </cell>
          <cell r="AE63">
            <v>0</v>
          </cell>
          <cell r="AF63">
            <v>1</v>
          </cell>
          <cell r="AG63">
            <v>0</v>
          </cell>
          <cell r="AK63">
            <v>38250</v>
          </cell>
          <cell r="AL63">
            <v>0</v>
          </cell>
          <cell r="AM63">
            <v>1</v>
          </cell>
          <cell r="AN63">
            <v>1</v>
          </cell>
          <cell r="AO63">
            <v>1</v>
          </cell>
          <cell r="AS63">
            <v>38250</v>
          </cell>
          <cell r="AT63">
            <v>1.8358306530449124</v>
          </cell>
          <cell r="AW63">
            <v>38250</v>
          </cell>
          <cell r="AX63">
            <v>1</v>
          </cell>
          <cell r="AY63">
            <v>1</v>
          </cell>
          <cell r="AZ63">
            <v>0</v>
          </cell>
          <cell r="BD63">
            <v>38250</v>
          </cell>
          <cell r="BE63">
            <v>0</v>
          </cell>
          <cell r="BF63">
            <v>1</v>
          </cell>
          <cell r="BJ63">
            <v>38250</v>
          </cell>
          <cell r="BK63">
            <v>1</v>
          </cell>
          <cell r="BL63">
            <v>1</v>
          </cell>
        </row>
        <row r="64">
          <cell r="E64">
            <v>38250.333333333336</v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</v>
          </cell>
          <cell r="Q64">
            <v>0</v>
          </cell>
          <cell r="U64">
            <v>38250.333333333336</v>
          </cell>
          <cell r="V64">
            <v>0</v>
          </cell>
          <cell r="W64">
            <v>0</v>
          </cell>
          <cell r="X64">
            <v>1</v>
          </cell>
          <cell r="Y64">
            <v>1</v>
          </cell>
          <cell r="Z64">
            <v>0</v>
          </cell>
          <cell r="AD64">
            <v>38250.333333333336</v>
          </cell>
          <cell r="AE64">
            <v>0</v>
          </cell>
          <cell r="AF64">
            <v>1</v>
          </cell>
          <cell r="AG64">
            <v>0</v>
          </cell>
          <cell r="AK64">
            <v>38250.333333333336</v>
          </cell>
          <cell r="AL64">
            <v>0</v>
          </cell>
          <cell r="AM64">
            <v>0</v>
          </cell>
          <cell r="AN64">
            <v>1</v>
          </cell>
          <cell r="AO64">
            <v>1</v>
          </cell>
          <cell r="AS64">
            <v>38250.333333333336</v>
          </cell>
          <cell r="AT64">
            <v>1.8336358856409789</v>
          </cell>
          <cell r="AW64">
            <v>38250.333333333336</v>
          </cell>
          <cell r="AX64">
            <v>1</v>
          </cell>
          <cell r="AY64">
            <v>1</v>
          </cell>
          <cell r="AZ64">
            <v>1</v>
          </cell>
          <cell r="BD64">
            <v>38250.333333333336</v>
          </cell>
          <cell r="BE64">
            <v>1</v>
          </cell>
          <cell r="BF64">
            <v>0</v>
          </cell>
          <cell r="BJ64">
            <v>38250.333333333336</v>
          </cell>
          <cell r="BK64">
            <v>1</v>
          </cell>
          <cell r="BL64">
            <v>1</v>
          </cell>
        </row>
        <row r="65">
          <cell r="E65">
            <v>38250.666666666664</v>
          </cell>
          <cell r="F65">
            <v>1</v>
          </cell>
          <cell r="G65">
            <v>1</v>
          </cell>
          <cell r="H65">
            <v>1</v>
          </cell>
          <cell r="I65">
            <v>1</v>
          </cell>
          <cell r="J65">
            <v>1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</v>
          </cell>
          <cell r="Q65">
            <v>0</v>
          </cell>
          <cell r="U65">
            <v>38250.666666666664</v>
          </cell>
          <cell r="V65">
            <v>0</v>
          </cell>
          <cell r="W65">
            <v>0</v>
          </cell>
          <cell r="X65">
            <v>1</v>
          </cell>
          <cell r="Y65">
            <v>1</v>
          </cell>
          <cell r="Z65">
            <v>0</v>
          </cell>
          <cell r="AD65">
            <v>38250.666666666664</v>
          </cell>
          <cell r="AE65">
            <v>0</v>
          </cell>
          <cell r="AF65">
            <v>1</v>
          </cell>
          <cell r="AG65">
            <v>0</v>
          </cell>
          <cell r="AK65">
            <v>38250.666666666664</v>
          </cell>
          <cell r="AL65">
            <v>0</v>
          </cell>
          <cell r="AM65">
            <v>0</v>
          </cell>
          <cell r="AN65">
            <v>1</v>
          </cell>
          <cell r="AO65">
            <v>1</v>
          </cell>
          <cell r="AS65">
            <v>38250.666666666664</v>
          </cell>
          <cell r="AT65">
            <v>1.8421498101618554</v>
          </cell>
          <cell r="AW65">
            <v>38250.666666666664</v>
          </cell>
          <cell r="AX65">
            <v>1</v>
          </cell>
          <cell r="AY65">
            <v>1</v>
          </cell>
          <cell r="AZ65">
            <v>1</v>
          </cell>
          <cell r="BD65">
            <v>38250.666666666664</v>
          </cell>
          <cell r="BE65">
            <v>1</v>
          </cell>
          <cell r="BF65">
            <v>0</v>
          </cell>
          <cell r="BJ65">
            <v>38250.666666666664</v>
          </cell>
          <cell r="BK65">
            <v>1</v>
          </cell>
          <cell r="BL65">
            <v>1</v>
          </cell>
        </row>
        <row r="66">
          <cell r="E66">
            <v>38251</v>
          </cell>
          <cell r="F66">
            <v>1</v>
          </cell>
          <cell r="G66">
            <v>1</v>
          </cell>
          <cell r="H66">
            <v>1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1</v>
          </cell>
          <cell r="Q66">
            <v>0</v>
          </cell>
          <cell r="U66">
            <v>38251</v>
          </cell>
          <cell r="V66">
            <v>0</v>
          </cell>
          <cell r="W66">
            <v>0</v>
          </cell>
          <cell r="X66">
            <v>1</v>
          </cell>
          <cell r="Y66">
            <v>1</v>
          </cell>
          <cell r="Z66">
            <v>0</v>
          </cell>
          <cell r="AD66">
            <v>38251</v>
          </cell>
          <cell r="AE66">
            <v>0</v>
          </cell>
          <cell r="AF66">
            <v>1</v>
          </cell>
          <cell r="AG66">
            <v>0</v>
          </cell>
          <cell r="AK66">
            <v>38251</v>
          </cell>
          <cell r="AL66">
            <v>0</v>
          </cell>
          <cell r="AM66">
            <v>0</v>
          </cell>
          <cell r="AN66">
            <v>1</v>
          </cell>
          <cell r="AO66">
            <v>1</v>
          </cell>
          <cell r="AS66">
            <v>38251</v>
          </cell>
          <cell r="AT66">
            <v>1.8321367683923906</v>
          </cell>
          <cell r="AW66">
            <v>38251</v>
          </cell>
          <cell r="AX66">
            <v>1</v>
          </cell>
          <cell r="AY66">
            <v>1</v>
          </cell>
          <cell r="AZ66">
            <v>1</v>
          </cell>
          <cell r="BD66">
            <v>38251</v>
          </cell>
          <cell r="BE66">
            <v>1</v>
          </cell>
          <cell r="BF66">
            <v>0</v>
          </cell>
          <cell r="BJ66">
            <v>38251</v>
          </cell>
          <cell r="BK66">
            <v>1</v>
          </cell>
          <cell r="BL66">
            <v>1</v>
          </cell>
        </row>
        <row r="67">
          <cell r="E67">
            <v>38251.333333333336</v>
          </cell>
          <cell r="F67">
            <v>1</v>
          </cell>
          <cell r="G67">
            <v>1</v>
          </cell>
          <cell r="H67">
            <v>1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1</v>
          </cell>
          <cell r="Q67">
            <v>0</v>
          </cell>
          <cell r="U67">
            <v>38251.333333333336</v>
          </cell>
          <cell r="V67">
            <v>0</v>
          </cell>
          <cell r="W67">
            <v>0</v>
          </cell>
          <cell r="X67">
            <v>1</v>
          </cell>
          <cell r="Y67">
            <v>1</v>
          </cell>
          <cell r="Z67">
            <v>0</v>
          </cell>
          <cell r="AD67">
            <v>38251.333333333336</v>
          </cell>
          <cell r="AE67">
            <v>0</v>
          </cell>
          <cell r="AF67">
            <v>1</v>
          </cell>
          <cell r="AG67">
            <v>0</v>
          </cell>
          <cell r="AK67">
            <v>38251.333333333336</v>
          </cell>
          <cell r="AL67">
            <v>0</v>
          </cell>
          <cell r="AM67">
            <v>0</v>
          </cell>
          <cell r="AN67">
            <v>1</v>
          </cell>
          <cell r="AO67">
            <v>1</v>
          </cell>
          <cell r="AS67">
            <v>38251.333333333336</v>
          </cell>
          <cell r="AT67">
            <v>1.8319070931110117</v>
          </cell>
          <cell r="AW67">
            <v>38251.333333333336</v>
          </cell>
          <cell r="AX67">
            <v>1</v>
          </cell>
          <cell r="AY67">
            <v>1</v>
          </cell>
          <cell r="AZ67">
            <v>1</v>
          </cell>
          <cell r="BD67">
            <v>38251.333333333336</v>
          </cell>
          <cell r="BE67">
            <v>1</v>
          </cell>
          <cell r="BF67">
            <v>0</v>
          </cell>
          <cell r="BJ67">
            <v>38251.333333333336</v>
          </cell>
          <cell r="BK67">
            <v>1</v>
          </cell>
          <cell r="BL67">
            <v>1</v>
          </cell>
        </row>
        <row r="68">
          <cell r="E68">
            <v>38251.666666666664</v>
          </cell>
          <cell r="F68">
            <v>1</v>
          </cell>
          <cell r="G68">
            <v>1</v>
          </cell>
          <cell r="H68">
            <v>1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1</v>
          </cell>
          <cell r="P68">
            <v>1</v>
          </cell>
          <cell r="Q68">
            <v>0</v>
          </cell>
          <cell r="U68">
            <v>38251.666666666664</v>
          </cell>
          <cell r="V68">
            <v>0</v>
          </cell>
          <cell r="W68">
            <v>0</v>
          </cell>
          <cell r="X68">
            <v>1</v>
          </cell>
          <cell r="Y68">
            <v>1</v>
          </cell>
          <cell r="Z68">
            <v>0</v>
          </cell>
          <cell r="AD68">
            <v>38251.666666666664</v>
          </cell>
          <cell r="AE68">
            <v>0</v>
          </cell>
          <cell r="AF68">
            <v>1</v>
          </cell>
          <cell r="AG68">
            <v>0</v>
          </cell>
          <cell r="AK68">
            <v>38251.666666666664</v>
          </cell>
          <cell r="AL68">
            <v>0</v>
          </cell>
          <cell r="AM68">
            <v>0</v>
          </cell>
          <cell r="AN68">
            <v>1</v>
          </cell>
          <cell r="AO68">
            <v>1</v>
          </cell>
          <cell r="AS68">
            <v>38251.666666666664</v>
          </cell>
          <cell r="AT68">
            <v>1.8449590623792675</v>
          </cell>
          <cell r="AW68">
            <v>38251.666666666664</v>
          </cell>
          <cell r="AX68">
            <v>1</v>
          </cell>
          <cell r="AY68">
            <v>1</v>
          </cell>
          <cell r="AZ68">
            <v>1</v>
          </cell>
          <cell r="BD68">
            <v>38251.666666666664</v>
          </cell>
          <cell r="BE68">
            <v>1</v>
          </cell>
          <cell r="BF68">
            <v>0</v>
          </cell>
          <cell r="BJ68">
            <v>38251.666666666664</v>
          </cell>
          <cell r="BK68">
            <v>1</v>
          </cell>
          <cell r="BL68">
            <v>1</v>
          </cell>
        </row>
        <row r="69">
          <cell r="E69">
            <v>38252</v>
          </cell>
          <cell r="F69">
            <v>1</v>
          </cell>
          <cell r="G69">
            <v>1</v>
          </cell>
          <cell r="H69">
            <v>1</v>
          </cell>
          <cell r="I69">
            <v>1</v>
          </cell>
          <cell r="J69">
            <v>1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1</v>
          </cell>
          <cell r="P69">
            <v>1</v>
          </cell>
          <cell r="Q69">
            <v>0</v>
          </cell>
          <cell r="U69">
            <v>38252</v>
          </cell>
          <cell r="V69">
            <v>0</v>
          </cell>
          <cell r="W69">
            <v>0</v>
          </cell>
          <cell r="X69">
            <v>1</v>
          </cell>
          <cell r="Y69">
            <v>1</v>
          </cell>
          <cell r="Z69">
            <v>0</v>
          </cell>
          <cell r="AD69">
            <v>38252</v>
          </cell>
          <cell r="AE69">
            <v>0</v>
          </cell>
          <cell r="AF69">
            <v>1</v>
          </cell>
          <cell r="AG69">
            <v>0</v>
          </cell>
          <cell r="AK69">
            <v>38252</v>
          </cell>
          <cell r="AL69">
            <v>0</v>
          </cell>
          <cell r="AM69">
            <v>0</v>
          </cell>
          <cell r="AN69">
            <v>1</v>
          </cell>
          <cell r="AO69">
            <v>1</v>
          </cell>
          <cell r="AS69">
            <v>38252</v>
          </cell>
          <cell r="AT69">
            <v>1.8102563619199725</v>
          </cell>
          <cell r="AW69">
            <v>38252</v>
          </cell>
          <cell r="AX69">
            <v>1</v>
          </cell>
          <cell r="AY69">
            <v>1</v>
          </cell>
          <cell r="AZ69">
            <v>1</v>
          </cell>
          <cell r="BD69">
            <v>38252</v>
          </cell>
          <cell r="BE69">
            <v>1</v>
          </cell>
          <cell r="BF69">
            <v>0</v>
          </cell>
          <cell r="BJ69">
            <v>38252</v>
          </cell>
          <cell r="BK69">
            <v>1</v>
          </cell>
          <cell r="BL69">
            <v>1</v>
          </cell>
        </row>
        <row r="70">
          <cell r="E70">
            <v>38252.333333333336</v>
          </cell>
          <cell r="F70">
            <v>1</v>
          </cell>
          <cell r="G70">
            <v>1</v>
          </cell>
          <cell r="H70">
            <v>1</v>
          </cell>
          <cell r="I70">
            <v>1</v>
          </cell>
          <cell r="J70">
            <v>1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1</v>
          </cell>
          <cell r="Q70">
            <v>0</v>
          </cell>
          <cell r="U70">
            <v>38252.333333333336</v>
          </cell>
          <cell r="V70">
            <v>0</v>
          </cell>
          <cell r="W70">
            <v>0</v>
          </cell>
          <cell r="X70">
            <v>1</v>
          </cell>
          <cell r="Y70">
            <v>1</v>
          </cell>
          <cell r="Z70">
            <v>0</v>
          </cell>
          <cell r="AD70">
            <v>38252.333333333336</v>
          </cell>
          <cell r="AE70">
            <v>0</v>
          </cell>
          <cell r="AF70">
            <v>1</v>
          </cell>
          <cell r="AG70">
            <v>0</v>
          </cell>
          <cell r="AK70">
            <v>38252.333333333336</v>
          </cell>
          <cell r="AL70">
            <v>0</v>
          </cell>
          <cell r="AM70">
            <v>0</v>
          </cell>
          <cell r="AN70">
            <v>1</v>
          </cell>
          <cell r="AO70">
            <v>1</v>
          </cell>
          <cell r="AS70">
            <v>38252.333333333336</v>
          </cell>
          <cell r="AT70">
            <v>1.814804165561994</v>
          </cell>
          <cell r="AW70">
            <v>38252.333333333336</v>
          </cell>
          <cell r="AX70">
            <v>1</v>
          </cell>
          <cell r="AY70">
            <v>1</v>
          </cell>
          <cell r="AZ70">
            <v>1</v>
          </cell>
          <cell r="BD70">
            <v>38252.333333333336</v>
          </cell>
          <cell r="BE70">
            <v>1</v>
          </cell>
          <cell r="BF70">
            <v>0</v>
          </cell>
          <cell r="BJ70">
            <v>38252.333333333336</v>
          </cell>
          <cell r="BK70">
            <v>1</v>
          </cell>
          <cell r="BL70">
            <v>1</v>
          </cell>
        </row>
        <row r="71">
          <cell r="E71">
            <v>38252.666666666664</v>
          </cell>
          <cell r="F71">
            <v>1</v>
          </cell>
          <cell r="G71">
            <v>1</v>
          </cell>
          <cell r="H71">
            <v>1</v>
          </cell>
          <cell r="I71">
            <v>1</v>
          </cell>
          <cell r="J71">
            <v>1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</v>
          </cell>
          <cell r="P71">
            <v>1</v>
          </cell>
          <cell r="Q71">
            <v>0</v>
          </cell>
          <cell r="U71">
            <v>38252.666666666664</v>
          </cell>
          <cell r="V71">
            <v>0</v>
          </cell>
          <cell r="W71">
            <v>0</v>
          </cell>
          <cell r="X71">
            <v>1</v>
          </cell>
          <cell r="Y71">
            <v>1</v>
          </cell>
          <cell r="Z71">
            <v>0</v>
          </cell>
          <cell r="AD71">
            <v>38252.666666666664</v>
          </cell>
          <cell r="AE71">
            <v>0</v>
          </cell>
          <cell r="AF71">
            <v>1</v>
          </cell>
          <cell r="AG71">
            <v>0</v>
          </cell>
          <cell r="AK71">
            <v>38252.666666666664</v>
          </cell>
          <cell r="AL71">
            <v>0</v>
          </cell>
          <cell r="AM71">
            <v>0</v>
          </cell>
          <cell r="AN71">
            <v>1</v>
          </cell>
          <cell r="AO71">
            <v>1</v>
          </cell>
          <cell r="AS71">
            <v>38252.666666666664</v>
          </cell>
          <cell r="AT71">
            <v>1.8137698786540164</v>
          </cell>
          <cell r="AW71">
            <v>38252.666666666664</v>
          </cell>
          <cell r="AX71">
            <v>1</v>
          </cell>
          <cell r="AY71">
            <v>1</v>
          </cell>
          <cell r="AZ71">
            <v>1</v>
          </cell>
          <cell r="BD71">
            <v>38252.666666666664</v>
          </cell>
          <cell r="BE71">
            <v>1</v>
          </cell>
          <cell r="BF71">
            <v>0</v>
          </cell>
          <cell r="BJ71">
            <v>38252.666666666664</v>
          </cell>
          <cell r="BK71">
            <v>1</v>
          </cell>
          <cell r="BL71">
            <v>1</v>
          </cell>
        </row>
        <row r="72">
          <cell r="E72">
            <v>38253</v>
          </cell>
          <cell r="F72">
            <v>1</v>
          </cell>
          <cell r="G72">
            <v>1</v>
          </cell>
          <cell r="H72">
            <v>1</v>
          </cell>
          <cell r="I72">
            <v>1</v>
          </cell>
          <cell r="J72">
            <v>1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1</v>
          </cell>
          <cell r="P72">
            <v>1</v>
          </cell>
          <cell r="Q72">
            <v>0</v>
          </cell>
          <cell r="U72">
            <v>38253</v>
          </cell>
          <cell r="V72">
            <v>0</v>
          </cell>
          <cell r="W72">
            <v>0</v>
          </cell>
          <cell r="X72">
            <v>1</v>
          </cell>
          <cell r="Y72">
            <v>1</v>
          </cell>
          <cell r="Z72">
            <v>0</v>
          </cell>
          <cell r="AD72">
            <v>38253</v>
          </cell>
          <cell r="AE72">
            <v>0</v>
          </cell>
          <cell r="AF72">
            <v>1</v>
          </cell>
          <cell r="AG72">
            <v>0</v>
          </cell>
          <cell r="AK72">
            <v>38253</v>
          </cell>
          <cell r="AL72">
            <v>0</v>
          </cell>
          <cell r="AM72">
            <v>0</v>
          </cell>
          <cell r="AN72">
            <v>1</v>
          </cell>
          <cell r="AO72">
            <v>1</v>
          </cell>
          <cell r="AS72">
            <v>38253</v>
          </cell>
          <cell r="AT72">
            <v>1.810211829551392</v>
          </cell>
          <cell r="AW72">
            <v>38253</v>
          </cell>
          <cell r="AX72">
            <v>1</v>
          </cell>
          <cell r="AY72">
            <v>1</v>
          </cell>
          <cell r="AZ72">
            <v>1</v>
          </cell>
          <cell r="BD72">
            <v>38253</v>
          </cell>
          <cell r="BE72">
            <v>1</v>
          </cell>
          <cell r="BF72">
            <v>0</v>
          </cell>
          <cell r="BJ72">
            <v>38253</v>
          </cell>
          <cell r="BK72">
            <v>1</v>
          </cell>
          <cell r="BL72">
            <v>1</v>
          </cell>
        </row>
        <row r="73">
          <cell r="E73">
            <v>38253.333333333336</v>
          </cell>
          <cell r="F73">
            <v>1</v>
          </cell>
          <cell r="G73">
            <v>1</v>
          </cell>
          <cell r="H73">
            <v>1</v>
          </cell>
          <cell r="I73">
            <v>1</v>
          </cell>
          <cell r="J73">
            <v>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1</v>
          </cell>
          <cell r="P73">
            <v>1</v>
          </cell>
          <cell r="Q73">
            <v>0</v>
          </cell>
          <cell r="U73">
            <v>38253.333333333336</v>
          </cell>
          <cell r="V73">
            <v>0</v>
          </cell>
          <cell r="W73">
            <v>0</v>
          </cell>
          <cell r="X73">
            <v>1</v>
          </cell>
          <cell r="Y73">
            <v>1</v>
          </cell>
          <cell r="Z73">
            <v>0</v>
          </cell>
          <cell r="AD73">
            <v>38253.333333333336</v>
          </cell>
          <cell r="AE73">
            <v>0</v>
          </cell>
          <cell r="AF73">
            <v>1</v>
          </cell>
          <cell r="AG73">
            <v>0</v>
          </cell>
          <cell r="AK73">
            <v>38253.333333333336</v>
          </cell>
          <cell r="AL73">
            <v>0</v>
          </cell>
          <cell r="AM73">
            <v>0</v>
          </cell>
          <cell r="AN73">
            <v>1</v>
          </cell>
          <cell r="AO73">
            <v>1</v>
          </cell>
          <cell r="AS73">
            <v>38253.333333333336</v>
          </cell>
          <cell r="AT73">
            <v>1.8125743334492048</v>
          </cell>
          <cell r="AW73">
            <v>38253.333333333336</v>
          </cell>
          <cell r="AX73">
            <v>1</v>
          </cell>
          <cell r="AY73">
            <v>1</v>
          </cell>
          <cell r="AZ73">
            <v>1</v>
          </cell>
          <cell r="BD73">
            <v>38253.333333333336</v>
          </cell>
          <cell r="BE73">
            <v>1</v>
          </cell>
          <cell r="BF73">
            <v>0</v>
          </cell>
          <cell r="BJ73">
            <v>38253.333333333336</v>
          </cell>
          <cell r="BK73">
            <v>1</v>
          </cell>
          <cell r="BL73">
            <v>1</v>
          </cell>
        </row>
        <row r="74">
          <cell r="E74">
            <v>38253.666666666664</v>
          </cell>
          <cell r="F74">
            <v>1</v>
          </cell>
          <cell r="G74">
            <v>1</v>
          </cell>
          <cell r="H74">
            <v>1</v>
          </cell>
          <cell r="I74">
            <v>1</v>
          </cell>
          <cell r="J74">
            <v>1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1</v>
          </cell>
          <cell r="P74">
            <v>1</v>
          </cell>
          <cell r="Q74">
            <v>0</v>
          </cell>
          <cell r="U74">
            <v>38253.666666666664</v>
          </cell>
          <cell r="V74">
            <v>0</v>
          </cell>
          <cell r="W74">
            <v>0</v>
          </cell>
          <cell r="X74">
            <v>1</v>
          </cell>
          <cell r="Y74">
            <v>1</v>
          </cell>
          <cell r="Z74">
            <v>0</v>
          </cell>
          <cell r="AD74">
            <v>38253.666666666664</v>
          </cell>
          <cell r="AE74">
            <v>0</v>
          </cell>
          <cell r="AF74">
            <v>1</v>
          </cell>
          <cell r="AG74">
            <v>0</v>
          </cell>
          <cell r="AK74">
            <v>38253.666666666664</v>
          </cell>
          <cell r="AL74">
            <v>0</v>
          </cell>
          <cell r="AM74">
            <v>0</v>
          </cell>
          <cell r="AN74">
            <v>1</v>
          </cell>
          <cell r="AO74">
            <v>1</v>
          </cell>
          <cell r="AS74">
            <v>38253.666666666664</v>
          </cell>
          <cell r="AT74">
            <v>1.8171062334130208</v>
          </cell>
          <cell r="AW74">
            <v>38253.666666666664</v>
          </cell>
          <cell r="AX74">
            <v>1</v>
          </cell>
          <cell r="AY74">
            <v>1</v>
          </cell>
          <cell r="AZ74">
            <v>1</v>
          </cell>
          <cell r="BD74">
            <v>38253.666666666664</v>
          </cell>
          <cell r="BE74">
            <v>1</v>
          </cell>
          <cell r="BF74">
            <v>0</v>
          </cell>
          <cell r="BJ74">
            <v>38253.666666666664</v>
          </cell>
          <cell r="BK74">
            <v>1</v>
          </cell>
          <cell r="BL74">
            <v>1</v>
          </cell>
        </row>
        <row r="75">
          <cell r="E75">
            <v>38254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1</v>
          </cell>
          <cell r="P75">
            <v>1</v>
          </cell>
          <cell r="Q75">
            <v>0</v>
          </cell>
          <cell r="U75">
            <v>38254</v>
          </cell>
          <cell r="V75">
            <v>0</v>
          </cell>
          <cell r="W75">
            <v>0</v>
          </cell>
          <cell r="X75">
            <v>1</v>
          </cell>
          <cell r="Y75">
            <v>1</v>
          </cell>
          <cell r="Z75">
            <v>0</v>
          </cell>
          <cell r="AD75">
            <v>38254</v>
          </cell>
          <cell r="AE75">
            <v>0</v>
          </cell>
          <cell r="AF75">
            <v>1</v>
          </cell>
          <cell r="AG75">
            <v>0</v>
          </cell>
          <cell r="AK75">
            <v>38254</v>
          </cell>
          <cell r="AL75">
            <v>0</v>
          </cell>
          <cell r="AM75">
            <v>0</v>
          </cell>
          <cell r="AN75">
            <v>1</v>
          </cell>
          <cell r="AO75">
            <v>1</v>
          </cell>
          <cell r="AS75">
            <v>38254</v>
          </cell>
          <cell r="AT75">
            <v>1.8339175760746003</v>
          </cell>
          <cell r="AW75">
            <v>38254</v>
          </cell>
          <cell r="AX75">
            <v>1</v>
          </cell>
          <cell r="AY75">
            <v>1</v>
          </cell>
          <cell r="AZ75">
            <v>1</v>
          </cell>
          <cell r="BD75">
            <v>38254</v>
          </cell>
          <cell r="BE75">
            <v>1</v>
          </cell>
          <cell r="BF75">
            <v>0</v>
          </cell>
          <cell r="BJ75">
            <v>38254</v>
          </cell>
          <cell r="BK75">
            <v>1</v>
          </cell>
          <cell r="BL75">
            <v>1</v>
          </cell>
        </row>
        <row r="76">
          <cell r="E76">
            <v>38254.333333333336</v>
          </cell>
          <cell r="F76">
            <v>1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1</v>
          </cell>
          <cell r="P76">
            <v>1</v>
          </cell>
          <cell r="Q76">
            <v>0</v>
          </cell>
          <cell r="U76">
            <v>38254.333333333336</v>
          </cell>
          <cell r="V76">
            <v>0</v>
          </cell>
          <cell r="W76">
            <v>0</v>
          </cell>
          <cell r="X76">
            <v>1</v>
          </cell>
          <cell r="Y76">
            <v>1</v>
          </cell>
          <cell r="Z76">
            <v>0</v>
          </cell>
          <cell r="AD76">
            <v>38254.333333333336</v>
          </cell>
          <cell r="AE76">
            <v>0</v>
          </cell>
          <cell r="AF76">
            <v>1</v>
          </cell>
          <cell r="AG76">
            <v>0</v>
          </cell>
          <cell r="AK76">
            <v>38254.333333333336</v>
          </cell>
          <cell r="AL76">
            <v>0</v>
          </cell>
          <cell r="AM76">
            <v>0</v>
          </cell>
          <cell r="AN76">
            <v>1</v>
          </cell>
          <cell r="AO76">
            <v>1</v>
          </cell>
          <cell r="AS76">
            <v>38254.333333333336</v>
          </cell>
          <cell r="AT76">
            <v>1.8317865326586698</v>
          </cell>
          <cell r="AW76">
            <v>38254.333333333336</v>
          </cell>
          <cell r="AX76">
            <v>1</v>
          </cell>
          <cell r="AY76">
            <v>1</v>
          </cell>
          <cell r="AZ76">
            <v>1</v>
          </cell>
          <cell r="BD76">
            <v>38254.333333333336</v>
          </cell>
          <cell r="BE76">
            <v>1</v>
          </cell>
          <cell r="BF76">
            <v>0</v>
          </cell>
          <cell r="BJ76">
            <v>38254.333333333336</v>
          </cell>
          <cell r="BK76">
            <v>1</v>
          </cell>
          <cell r="BL76">
            <v>1</v>
          </cell>
        </row>
        <row r="77">
          <cell r="E77">
            <v>38254.666666666664</v>
          </cell>
          <cell r="F77">
            <v>1</v>
          </cell>
          <cell r="G77">
            <v>1</v>
          </cell>
          <cell r="H77">
            <v>1</v>
          </cell>
          <cell r="I77">
            <v>1</v>
          </cell>
          <cell r="J77">
            <v>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1</v>
          </cell>
          <cell r="P77">
            <v>1</v>
          </cell>
          <cell r="Q77">
            <v>0</v>
          </cell>
          <cell r="U77">
            <v>38254.666666666664</v>
          </cell>
          <cell r="V77">
            <v>0</v>
          </cell>
          <cell r="W77">
            <v>0</v>
          </cell>
          <cell r="X77">
            <v>1</v>
          </cell>
          <cell r="Y77">
            <v>1</v>
          </cell>
          <cell r="Z77">
            <v>0</v>
          </cell>
          <cell r="AD77">
            <v>38254.666666666664</v>
          </cell>
          <cell r="AE77">
            <v>0</v>
          </cell>
          <cell r="AF77">
            <v>1</v>
          </cell>
          <cell r="AG77">
            <v>0</v>
          </cell>
          <cell r="AK77">
            <v>38254.666666666664</v>
          </cell>
          <cell r="AL77">
            <v>0</v>
          </cell>
          <cell r="AM77">
            <v>0</v>
          </cell>
          <cell r="AN77">
            <v>1</v>
          </cell>
          <cell r="AO77">
            <v>1</v>
          </cell>
          <cell r="AS77">
            <v>38254.666666666664</v>
          </cell>
          <cell r="AT77">
            <v>1.8367197301238776</v>
          </cell>
          <cell r="AW77">
            <v>38254.666666666664</v>
          </cell>
          <cell r="AX77">
            <v>1</v>
          </cell>
          <cell r="AY77">
            <v>1</v>
          </cell>
          <cell r="AZ77">
            <v>1</v>
          </cell>
          <cell r="BD77">
            <v>38254.666666666664</v>
          </cell>
          <cell r="BE77">
            <v>1</v>
          </cell>
          <cell r="BF77">
            <v>0</v>
          </cell>
          <cell r="BJ77">
            <v>38254.666666666664</v>
          </cell>
          <cell r="BK77">
            <v>1</v>
          </cell>
          <cell r="BL77">
            <v>1</v>
          </cell>
        </row>
        <row r="78">
          <cell r="E78">
            <v>38255</v>
          </cell>
          <cell r="F78">
            <v>1</v>
          </cell>
          <cell r="G78">
            <v>1</v>
          </cell>
          <cell r="H78">
            <v>1</v>
          </cell>
          <cell r="I78">
            <v>1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1</v>
          </cell>
          <cell r="P78">
            <v>1</v>
          </cell>
          <cell r="Q78">
            <v>0</v>
          </cell>
          <cell r="U78">
            <v>38255</v>
          </cell>
          <cell r="V78">
            <v>0</v>
          </cell>
          <cell r="W78">
            <v>0</v>
          </cell>
          <cell r="X78">
            <v>1</v>
          </cell>
          <cell r="Y78">
            <v>1</v>
          </cell>
          <cell r="Z78">
            <v>0</v>
          </cell>
          <cell r="AD78">
            <v>38255</v>
          </cell>
          <cell r="AE78">
            <v>0</v>
          </cell>
          <cell r="AF78">
            <v>1</v>
          </cell>
          <cell r="AG78">
            <v>0</v>
          </cell>
          <cell r="AK78">
            <v>38255</v>
          </cell>
          <cell r="AL78">
            <v>0</v>
          </cell>
          <cell r="AM78">
            <v>0</v>
          </cell>
          <cell r="AN78">
            <v>1</v>
          </cell>
          <cell r="AO78">
            <v>1</v>
          </cell>
          <cell r="AS78">
            <v>38255</v>
          </cell>
          <cell r="AT78">
            <v>1.8102593890080849</v>
          </cell>
          <cell r="AW78">
            <v>38255</v>
          </cell>
          <cell r="AX78">
            <v>1</v>
          </cell>
          <cell r="AY78">
            <v>1</v>
          </cell>
          <cell r="AZ78">
            <v>1</v>
          </cell>
          <cell r="BD78">
            <v>38255</v>
          </cell>
          <cell r="BE78">
            <v>1</v>
          </cell>
          <cell r="BF78">
            <v>0</v>
          </cell>
          <cell r="BJ78">
            <v>38255</v>
          </cell>
          <cell r="BK78">
            <v>1</v>
          </cell>
          <cell r="BL78">
            <v>1</v>
          </cell>
        </row>
        <row r="79">
          <cell r="E79">
            <v>38255.333333333336</v>
          </cell>
          <cell r="F79">
            <v>1</v>
          </cell>
          <cell r="G79">
            <v>1</v>
          </cell>
          <cell r="H79">
            <v>1</v>
          </cell>
          <cell r="I79">
            <v>1</v>
          </cell>
          <cell r="J79">
            <v>1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1</v>
          </cell>
          <cell r="P79">
            <v>1</v>
          </cell>
          <cell r="Q79">
            <v>0</v>
          </cell>
          <cell r="U79">
            <v>38255.333333333336</v>
          </cell>
          <cell r="V79">
            <v>0</v>
          </cell>
          <cell r="W79">
            <v>0</v>
          </cell>
          <cell r="X79">
            <v>1</v>
          </cell>
          <cell r="Y79">
            <v>1</v>
          </cell>
          <cell r="Z79">
            <v>0</v>
          </cell>
          <cell r="AD79">
            <v>38255.333333333336</v>
          </cell>
          <cell r="AE79">
            <v>0</v>
          </cell>
          <cell r="AF79">
            <v>1</v>
          </cell>
          <cell r="AG79">
            <v>0</v>
          </cell>
          <cell r="AK79">
            <v>38255.333333333336</v>
          </cell>
          <cell r="AL79">
            <v>0</v>
          </cell>
          <cell r="AM79">
            <v>0</v>
          </cell>
          <cell r="AN79">
            <v>1</v>
          </cell>
          <cell r="AO79">
            <v>1</v>
          </cell>
          <cell r="AS79">
            <v>38255.333333333336</v>
          </cell>
          <cell r="AT79">
            <v>1.8241248411436877</v>
          </cell>
          <cell r="AW79">
            <v>38255.333333333336</v>
          </cell>
          <cell r="AX79">
            <v>1</v>
          </cell>
          <cell r="AY79">
            <v>1</v>
          </cell>
          <cell r="AZ79">
            <v>1</v>
          </cell>
          <cell r="BD79">
            <v>38255.333333333336</v>
          </cell>
          <cell r="BE79">
            <v>1</v>
          </cell>
          <cell r="BF79">
            <v>0</v>
          </cell>
          <cell r="BJ79">
            <v>38255.333333333336</v>
          </cell>
          <cell r="BK79">
            <v>1</v>
          </cell>
          <cell r="BL79">
            <v>1</v>
          </cell>
        </row>
        <row r="80">
          <cell r="E80">
            <v>38255.666666666664</v>
          </cell>
          <cell r="F80">
            <v>1</v>
          </cell>
          <cell r="G80">
            <v>1</v>
          </cell>
          <cell r="H80">
            <v>1</v>
          </cell>
          <cell r="I80">
            <v>1</v>
          </cell>
          <cell r="J80">
            <v>1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1</v>
          </cell>
          <cell r="P80">
            <v>1</v>
          </cell>
          <cell r="Q80">
            <v>0</v>
          </cell>
          <cell r="U80">
            <v>38255.666666666664</v>
          </cell>
          <cell r="V80">
            <v>0</v>
          </cell>
          <cell r="W80">
            <v>0</v>
          </cell>
          <cell r="X80">
            <v>1</v>
          </cell>
          <cell r="Y80">
            <v>1</v>
          </cell>
          <cell r="Z80">
            <v>0</v>
          </cell>
          <cell r="AD80">
            <v>38255.666666666664</v>
          </cell>
          <cell r="AE80">
            <v>0</v>
          </cell>
          <cell r="AF80">
            <v>1</v>
          </cell>
          <cell r="AG80">
            <v>0</v>
          </cell>
          <cell r="AK80">
            <v>38255.666666666664</v>
          </cell>
          <cell r="AL80">
            <v>0</v>
          </cell>
          <cell r="AM80">
            <v>0</v>
          </cell>
          <cell r="AN80">
            <v>1</v>
          </cell>
          <cell r="AO80">
            <v>1</v>
          </cell>
          <cell r="AS80">
            <v>38255.666666666664</v>
          </cell>
          <cell r="AT80">
            <v>1.824654633179307</v>
          </cell>
          <cell r="AW80">
            <v>38255.666666666664</v>
          </cell>
          <cell r="AX80">
            <v>1</v>
          </cell>
          <cell r="AY80">
            <v>1</v>
          </cell>
          <cell r="AZ80">
            <v>1</v>
          </cell>
          <cell r="BD80">
            <v>38255.666666666664</v>
          </cell>
          <cell r="BE80">
            <v>1</v>
          </cell>
          <cell r="BF80">
            <v>0</v>
          </cell>
          <cell r="BJ80">
            <v>38255.666666666664</v>
          </cell>
          <cell r="BK80">
            <v>1</v>
          </cell>
          <cell r="BL80">
            <v>1</v>
          </cell>
        </row>
        <row r="81">
          <cell r="E81">
            <v>38256</v>
          </cell>
          <cell r="F81">
            <v>1</v>
          </cell>
          <cell r="G81">
            <v>1</v>
          </cell>
          <cell r="H81">
            <v>1</v>
          </cell>
          <cell r="I81">
            <v>1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</v>
          </cell>
          <cell r="P81">
            <v>1</v>
          </cell>
          <cell r="Q81">
            <v>0</v>
          </cell>
          <cell r="U81">
            <v>38256</v>
          </cell>
          <cell r="V81">
            <v>0</v>
          </cell>
          <cell r="W81">
            <v>0</v>
          </cell>
          <cell r="X81">
            <v>1</v>
          </cell>
          <cell r="Y81">
            <v>1</v>
          </cell>
          <cell r="Z81">
            <v>0</v>
          </cell>
          <cell r="AD81">
            <v>38256</v>
          </cell>
          <cell r="AE81">
            <v>0</v>
          </cell>
          <cell r="AF81">
            <v>1</v>
          </cell>
          <cell r="AG81">
            <v>0</v>
          </cell>
          <cell r="AK81">
            <v>38256</v>
          </cell>
          <cell r="AL81">
            <v>0</v>
          </cell>
          <cell r="AM81">
            <v>0</v>
          </cell>
          <cell r="AN81">
            <v>1</v>
          </cell>
          <cell r="AO81">
            <v>1</v>
          </cell>
          <cell r="AS81">
            <v>38256</v>
          </cell>
          <cell r="AT81">
            <v>1.8253008657859431</v>
          </cell>
          <cell r="AW81">
            <v>38256</v>
          </cell>
          <cell r="AX81">
            <v>1</v>
          </cell>
          <cell r="AY81">
            <v>1</v>
          </cell>
          <cell r="AZ81">
            <v>1</v>
          </cell>
          <cell r="BD81">
            <v>38256</v>
          </cell>
          <cell r="BE81">
            <v>1</v>
          </cell>
          <cell r="BF81">
            <v>0</v>
          </cell>
          <cell r="BJ81">
            <v>38256</v>
          </cell>
          <cell r="BK81">
            <v>1</v>
          </cell>
          <cell r="BL81">
            <v>1</v>
          </cell>
        </row>
        <row r="82">
          <cell r="E82">
            <v>38256.333333333336</v>
          </cell>
          <cell r="F82">
            <v>1</v>
          </cell>
          <cell r="G82">
            <v>1</v>
          </cell>
          <cell r="H82">
            <v>1</v>
          </cell>
          <cell r="I82">
            <v>1</v>
          </cell>
          <cell r="J82">
            <v>1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</v>
          </cell>
          <cell r="P82">
            <v>1</v>
          </cell>
          <cell r="Q82">
            <v>0</v>
          </cell>
          <cell r="U82">
            <v>38256.333333333336</v>
          </cell>
          <cell r="V82">
            <v>0</v>
          </cell>
          <cell r="W82">
            <v>0</v>
          </cell>
          <cell r="X82">
            <v>1</v>
          </cell>
          <cell r="Y82">
            <v>1</v>
          </cell>
          <cell r="Z82">
            <v>0</v>
          </cell>
          <cell r="AD82">
            <v>38256.333333333336</v>
          </cell>
          <cell r="AE82">
            <v>0</v>
          </cell>
          <cell r="AF82">
            <v>1</v>
          </cell>
          <cell r="AG82">
            <v>0</v>
          </cell>
          <cell r="AK82">
            <v>38256.333333333336</v>
          </cell>
          <cell r="AL82">
            <v>0</v>
          </cell>
          <cell r="AM82">
            <v>0</v>
          </cell>
          <cell r="AN82">
            <v>1</v>
          </cell>
          <cell r="AO82">
            <v>1</v>
          </cell>
          <cell r="AS82">
            <v>38256.333333333336</v>
          </cell>
          <cell r="AT82">
            <v>1.8235893309116364</v>
          </cell>
          <cell r="AW82">
            <v>38256.333333333336</v>
          </cell>
          <cell r="AX82">
            <v>1</v>
          </cell>
          <cell r="AY82">
            <v>1</v>
          </cell>
          <cell r="AZ82">
            <v>1</v>
          </cell>
          <cell r="BD82">
            <v>38256.333333333336</v>
          </cell>
          <cell r="BE82">
            <v>1</v>
          </cell>
          <cell r="BF82">
            <v>0</v>
          </cell>
          <cell r="BJ82">
            <v>38256.333333333336</v>
          </cell>
          <cell r="BK82">
            <v>1</v>
          </cell>
          <cell r="BL82">
            <v>1</v>
          </cell>
        </row>
        <row r="83">
          <cell r="E83">
            <v>38256.666666666664</v>
          </cell>
          <cell r="F83">
            <v>1</v>
          </cell>
          <cell r="G83">
            <v>1</v>
          </cell>
          <cell r="H83">
            <v>1</v>
          </cell>
          <cell r="I83">
            <v>1</v>
          </cell>
          <cell r="J83">
            <v>1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1</v>
          </cell>
          <cell r="P83">
            <v>1</v>
          </cell>
          <cell r="Q83">
            <v>0</v>
          </cell>
          <cell r="U83">
            <v>38256.666666666664</v>
          </cell>
          <cell r="V83">
            <v>0</v>
          </cell>
          <cell r="W83">
            <v>0</v>
          </cell>
          <cell r="X83">
            <v>1</v>
          </cell>
          <cell r="Y83">
            <v>1</v>
          </cell>
          <cell r="Z83">
            <v>0</v>
          </cell>
          <cell r="AD83">
            <v>38256.666666666664</v>
          </cell>
          <cell r="AE83">
            <v>0</v>
          </cell>
          <cell r="AF83">
            <v>1</v>
          </cell>
          <cell r="AG83">
            <v>0</v>
          </cell>
          <cell r="AK83">
            <v>38256.666666666664</v>
          </cell>
          <cell r="AL83">
            <v>0</v>
          </cell>
          <cell r="AM83">
            <v>0</v>
          </cell>
          <cell r="AN83">
            <v>1</v>
          </cell>
          <cell r="AO83">
            <v>1</v>
          </cell>
          <cell r="AS83">
            <v>38256.666666666664</v>
          </cell>
          <cell r="AT83">
            <v>1.8222177926037046</v>
          </cell>
          <cell r="AW83">
            <v>38256.666666666664</v>
          </cell>
          <cell r="AX83">
            <v>1</v>
          </cell>
          <cell r="AY83">
            <v>1</v>
          </cell>
          <cell r="AZ83">
            <v>1</v>
          </cell>
          <cell r="BD83">
            <v>38256.666666666664</v>
          </cell>
          <cell r="BE83">
            <v>1</v>
          </cell>
          <cell r="BF83">
            <v>0</v>
          </cell>
          <cell r="BJ83">
            <v>38256.666666666664</v>
          </cell>
          <cell r="BK83">
            <v>1</v>
          </cell>
          <cell r="BL83">
            <v>1</v>
          </cell>
        </row>
        <row r="84">
          <cell r="E84">
            <v>38257</v>
          </cell>
          <cell r="F84">
            <v>1</v>
          </cell>
          <cell r="G84">
            <v>1</v>
          </cell>
          <cell r="H84">
            <v>1</v>
          </cell>
          <cell r="I84">
            <v>1</v>
          </cell>
          <cell r="J84">
            <v>1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</v>
          </cell>
          <cell r="P84">
            <v>1</v>
          </cell>
          <cell r="Q84">
            <v>0</v>
          </cell>
          <cell r="U84">
            <v>38257</v>
          </cell>
          <cell r="V84">
            <v>0</v>
          </cell>
          <cell r="W84">
            <v>0</v>
          </cell>
          <cell r="X84">
            <v>1</v>
          </cell>
          <cell r="Y84">
            <v>1</v>
          </cell>
          <cell r="Z84">
            <v>0</v>
          </cell>
          <cell r="AD84">
            <v>38257</v>
          </cell>
          <cell r="AE84">
            <v>0</v>
          </cell>
          <cell r="AF84">
            <v>1</v>
          </cell>
          <cell r="AG84">
            <v>0</v>
          </cell>
          <cell r="AK84">
            <v>38257</v>
          </cell>
          <cell r="AL84">
            <v>0</v>
          </cell>
          <cell r="AM84">
            <v>0</v>
          </cell>
          <cell r="AN84">
            <v>1</v>
          </cell>
          <cell r="AO84">
            <v>1</v>
          </cell>
          <cell r="AS84">
            <v>38257</v>
          </cell>
          <cell r="AT84">
            <v>1.8215755121989383</v>
          </cell>
          <cell r="AW84">
            <v>38257</v>
          </cell>
          <cell r="AX84">
            <v>1</v>
          </cell>
          <cell r="AY84">
            <v>1</v>
          </cell>
          <cell r="AZ84">
            <v>1</v>
          </cell>
          <cell r="BD84">
            <v>38257</v>
          </cell>
          <cell r="BE84">
            <v>1</v>
          </cell>
          <cell r="BF84">
            <v>0</v>
          </cell>
          <cell r="BJ84">
            <v>38257</v>
          </cell>
          <cell r="BK84">
            <v>1</v>
          </cell>
          <cell r="BL84">
            <v>1</v>
          </cell>
        </row>
        <row r="85">
          <cell r="E85">
            <v>38257.333333333336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1</v>
          </cell>
          <cell r="L85">
            <v>1</v>
          </cell>
          <cell r="M85">
            <v>1</v>
          </cell>
          <cell r="N85">
            <v>1</v>
          </cell>
          <cell r="O85">
            <v>1</v>
          </cell>
          <cell r="P85">
            <v>0</v>
          </cell>
          <cell r="Q85">
            <v>1</v>
          </cell>
          <cell r="U85">
            <v>38257.333333333336</v>
          </cell>
          <cell r="V85">
            <v>1</v>
          </cell>
          <cell r="W85">
            <v>1</v>
          </cell>
          <cell r="X85">
            <v>0</v>
          </cell>
          <cell r="Y85">
            <v>0</v>
          </cell>
          <cell r="Z85">
            <v>1</v>
          </cell>
          <cell r="AD85">
            <v>38257.333333333336</v>
          </cell>
          <cell r="AE85">
            <v>0</v>
          </cell>
          <cell r="AF85">
            <v>0</v>
          </cell>
          <cell r="AG85">
            <v>1</v>
          </cell>
          <cell r="AK85">
            <v>38257.333333333336</v>
          </cell>
          <cell r="AL85">
            <v>0</v>
          </cell>
          <cell r="AM85">
            <v>1</v>
          </cell>
          <cell r="AN85">
            <v>0</v>
          </cell>
          <cell r="AO85">
            <v>0</v>
          </cell>
          <cell r="AS85">
            <v>38257.333333333336</v>
          </cell>
          <cell r="AT85">
            <v>1.8209469032784302</v>
          </cell>
          <cell r="AW85">
            <v>38257.333333333336</v>
          </cell>
          <cell r="AX85">
            <v>1</v>
          </cell>
          <cell r="AY85">
            <v>1</v>
          </cell>
          <cell r="AZ85">
            <v>1</v>
          </cell>
          <cell r="BD85">
            <v>38257.333333333336</v>
          </cell>
          <cell r="BE85">
            <v>1</v>
          </cell>
          <cell r="BF85">
            <v>1</v>
          </cell>
          <cell r="BJ85">
            <v>38257.333333333336</v>
          </cell>
          <cell r="BK85">
            <v>1</v>
          </cell>
          <cell r="BL85">
            <v>1</v>
          </cell>
        </row>
        <row r="86">
          <cell r="E86">
            <v>38257.666666666664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1</v>
          </cell>
          <cell r="L86">
            <v>1</v>
          </cell>
          <cell r="M86">
            <v>1</v>
          </cell>
          <cell r="N86">
            <v>1</v>
          </cell>
          <cell r="O86">
            <v>1</v>
          </cell>
          <cell r="P86">
            <v>0</v>
          </cell>
          <cell r="Q86">
            <v>1</v>
          </cell>
          <cell r="U86">
            <v>38257.666666666664</v>
          </cell>
          <cell r="V86">
            <v>1</v>
          </cell>
          <cell r="W86">
            <v>1</v>
          </cell>
          <cell r="X86">
            <v>0</v>
          </cell>
          <cell r="Y86">
            <v>0</v>
          </cell>
          <cell r="Z86">
            <v>1</v>
          </cell>
          <cell r="AD86">
            <v>38257.666666666664</v>
          </cell>
          <cell r="AE86">
            <v>0</v>
          </cell>
          <cell r="AF86">
            <v>0</v>
          </cell>
          <cell r="AG86">
            <v>1</v>
          </cell>
          <cell r="AK86">
            <v>38257.666666666664</v>
          </cell>
          <cell r="AL86">
            <v>0</v>
          </cell>
          <cell r="AM86">
            <v>1</v>
          </cell>
          <cell r="AN86">
            <v>0</v>
          </cell>
          <cell r="AO86">
            <v>0</v>
          </cell>
          <cell r="AS86">
            <v>38257.666666666664</v>
          </cell>
          <cell r="AT86">
            <v>1.822369821369648</v>
          </cell>
          <cell r="AW86">
            <v>38257.666666666664</v>
          </cell>
          <cell r="AX86">
            <v>1</v>
          </cell>
          <cell r="AY86">
            <v>1</v>
          </cell>
          <cell r="AZ86">
            <v>1</v>
          </cell>
          <cell r="BD86">
            <v>38257.666666666664</v>
          </cell>
          <cell r="BE86">
            <v>1</v>
          </cell>
          <cell r="BF86">
            <v>1</v>
          </cell>
          <cell r="BJ86">
            <v>38257.666666666664</v>
          </cell>
          <cell r="BK86">
            <v>1</v>
          </cell>
          <cell r="BL86">
            <v>1</v>
          </cell>
        </row>
        <row r="87">
          <cell r="E87">
            <v>38258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1</v>
          </cell>
          <cell r="L87">
            <v>1</v>
          </cell>
          <cell r="M87">
            <v>1</v>
          </cell>
          <cell r="N87">
            <v>1</v>
          </cell>
          <cell r="O87">
            <v>1</v>
          </cell>
          <cell r="P87">
            <v>0</v>
          </cell>
          <cell r="Q87">
            <v>1</v>
          </cell>
          <cell r="U87">
            <v>38258</v>
          </cell>
          <cell r="V87">
            <v>1</v>
          </cell>
          <cell r="W87">
            <v>1</v>
          </cell>
          <cell r="X87">
            <v>0</v>
          </cell>
          <cell r="Y87">
            <v>0</v>
          </cell>
          <cell r="Z87">
            <v>1</v>
          </cell>
          <cell r="AD87">
            <v>38258</v>
          </cell>
          <cell r="AE87">
            <v>0</v>
          </cell>
          <cell r="AF87">
            <v>0</v>
          </cell>
          <cell r="AG87">
            <v>1</v>
          </cell>
          <cell r="AK87">
            <v>38258</v>
          </cell>
          <cell r="AL87">
            <v>0</v>
          </cell>
          <cell r="AM87">
            <v>1</v>
          </cell>
          <cell r="AN87">
            <v>0</v>
          </cell>
          <cell r="AO87">
            <v>0</v>
          </cell>
          <cell r="AS87">
            <v>38258</v>
          </cell>
          <cell r="AT87">
            <v>1.8237532679405477</v>
          </cell>
          <cell r="AW87">
            <v>38258</v>
          </cell>
          <cell r="AX87">
            <v>1</v>
          </cell>
          <cell r="AY87">
            <v>1</v>
          </cell>
          <cell r="AZ87">
            <v>1</v>
          </cell>
          <cell r="BD87">
            <v>38258</v>
          </cell>
          <cell r="BE87">
            <v>1</v>
          </cell>
          <cell r="BF87">
            <v>1</v>
          </cell>
          <cell r="BJ87">
            <v>38258</v>
          </cell>
          <cell r="BK87">
            <v>1</v>
          </cell>
          <cell r="BL87">
            <v>1</v>
          </cell>
        </row>
        <row r="88">
          <cell r="E88">
            <v>38258.333333333336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1</v>
          </cell>
          <cell r="L88">
            <v>1</v>
          </cell>
          <cell r="M88">
            <v>1</v>
          </cell>
          <cell r="N88">
            <v>1</v>
          </cell>
          <cell r="O88">
            <v>1</v>
          </cell>
          <cell r="P88">
            <v>0</v>
          </cell>
          <cell r="Q88">
            <v>1</v>
          </cell>
          <cell r="U88">
            <v>38258.333333333336</v>
          </cell>
          <cell r="V88">
            <v>1</v>
          </cell>
          <cell r="W88">
            <v>1</v>
          </cell>
          <cell r="X88">
            <v>0</v>
          </cell>
          <cell r="Y88">
            <v>0</v>
          </cell>
          <cell r="Z88">
            <v>1</v>
          </cell>
          <cell r="AD88">
            <v>38258.333333333336</v>
          </cell>
          <cell r="AE88">
            <v>0</v>
          </cell>
          <cell r="AF88">
            <v>0</v>
          </cell>
          <cell r="AG88">
            <v>1</v>
          </cell>
          <cell r="AK88">
            <v>38258.333333333336</v>
          </cell>
          <cell r="AL88">
            <v>0</v>
          </cell>
          <cell r="AM88">
            <v>1</v>
          </cell>
          <cell r="AN88">
            <v>0</v>
          </cell>
          <cell r="AO88">
            <v>0</v>
          </cell>
          <cell r="AS88">
            <v>38258.333333333336</v>
          </cell>
          <cell r="AT88">
            <v>1.8235447542121013</v>
          </cell>
          <cell r="AW88">
            <v>38258.333333333336</v>
          </cell>
          <cell r="AX88">
            <v>1</v>
          </cell>
          <cell r="AY88">
            <v>1</v>
          </cell>
          <cell r="AZ88">
            <v>1</v>
          </cell>
          <cell r="BD88">
            <v>38258.333333333336</v>
          </cell>
          <cell r="BE88">
            <v>1</v>
          </cell>
          <cell r="BF88">
            <v>1</v>
          </cell>
          <cell r="BJ88">
            <v>38258.333333333336</v>
          </cell>
          <cell r="BK88">
            <v>1</v>
          </cell>
          <cell r="BL88">
            <v>1</v>
          </cell>
        </row>
        <row r="89">
          <cell r="E89">
            <v>38258.666666666664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1</v>
          </cell>
          <cell r="L89">
            <v>1</v>
          </cell>
          <cell r="M89">
            <v>1</v>
          </cell>
          <cell r="N89">
            <v>1</v>
          </cell>
          <cell r="O89">
            <v>1</v>
          </cell>
          <cell r="P89">
            <v>0</v>
          </cell>
          <cell r="Q89">
            <v>1</v>
          </cell>
          <cell r="U89">
            <v>38258.666666666664</v>
          </cell>
          <cell r="V89">
            <v>1</v>
          </cell>
          <cell r="W89">
            <v>1</v>
          </cell>
          <cell r="X89">
            <v>0</v>
          </cell>
          <cell r="Y89">
            <v>0</v>
          </cell>
          <cell r="Z89">
            <v>1</v>
          </cell>
          <cell r="AD89">
            <v>38258.666666666664</v>
          </cell>
          <cell r="AE89">
            <v>0</v>
          </cell>
          <cell r="AF89">
            <v>0</v>
          </cell>
          <cell r="AG89">
            <v>1</v>
          </cell>
          <cell r="AK89">
            <v>38258.666666666664</v>
          </cell>
          <cell r="AL89">
            <v>0</v>
          </cell>
          <cell r="AM89">
            <v>1</v>
          </cell>
          <cell r="AN89">
            <v>0</v>
          </cell>
          <cell r="AO89">
            <v>0</v>
          </cell>
          <cell r="AS89">
            <v>38258.666666666664</v>
          </cell>
          <cell r="AT89">
            <v>1.8270566469679277</v>
          </cell>
          <cell r="AW89">
            <v>38258.666666666664</v>
          </cell>
          <cell r="AX89">
            <v>1</v>
          </cell>
          <cell r="AY89">
            <v>1</v>
          </cell>
          <cell r="AZ89">
            <v>1</v>
          </cell>
          <cell r="BD89">
            <v>38258.666666666664</v>
          </cell>
          <cell r="BE89">
            <v>1</v>
          </cell>
          <cell r="BF89">
            <v>1</v>
          </cell>
          <cell r="BJ89">
            <v>38258.666666666664</v>
          </cell>
          <cell r="BK89">
            <v>1</v>
          </cell>
          <cell r="BL89">
            <v>1</v>
          </cell>
        </row>
        <row r="90">
          <cell r="E90">
            <v>38259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1</v>
          </cell>
          <cell r="L90">
            <v>1</v>
          </cell>
          <cell r="M90">
            <v>1</v>
          </cell>
          <cell r="N90">
            <v>1</v>
          </cell>
          <cell r="O90">
            <v>1</v>
          </cell>
          <cell r="P90">
            <v>0</v>
          </cell>
          <cell r="Q90">
            <v>1</v>
          </cell>
          <cell r="U90">
            <v>38259</v>
          </cell>
          <cell r="V90">
            <v>1</v>
          </cell>
          <cell r="W90">
            <v>1</v>
          </cell>
          <cell r="X90">
            <v>0</v>
          </cell>
          <cell r="Y90">
            <v>0</v>
          </cell>
          <cell r="Z90">
            <v>1</v>
          </cell>
          <cell r="AD90">
            <v>38259</v>
          </cell>
          <cell r="AE90">
            <v>0</v>
          </cell>
          <cell r="AF90">
            <v>0</v>
          </cell>
          <cell r="AG90">
            <v>1</v>
          </cell>
          <cell r="AK90">
            <v>38259</v>
          </cell>
          <cell r="AL90">
            <v>0</v>
          </cell>
          <cell r="AM90">
            <v>1</v>
          </cell>
          <cell r="AN90">
            <v>0</v>
          </cell>
          <cell r="AO90">
            <v>0</v>
          </cell>
          <cell r="AS90">
            <v>38259</v>
          </cell>
          <cell r="AT90">
            <v>1.8214138036800755</v>
          </cell>
          <cell r="AW90">
            <v>38259</v>
          </cell>
          <cell r="AX90">
            <v>1</v>
          </cell>
          <cell r="AY90">
            <v>1</v>
          </cell>
          <cell r="AZ90">
            <v>1</v>
          </cell>
          <cell r="BD90">
            <v>38259</v>
          </cell>
          <cell r="BE90">
            <v>1</v>
          </cell>
          <cell r="BF90">
            <v>1</v>
          </cell>
          <cell r="BJ90">
            <v>38259</v>
          </cell>
          <cell r="BK90">
            <v>1</v>
          </cell>
          <cell r="BL90">
            <v>1</v>
          </cell>
        </row>
        <row r="91">
          <cell r="E91">
            <v>38259.333333333336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1</v>
          </cell>
          <cell r="P91">
            <v>0</v>
          </cell>
          <cell r="Q91">
            <v>1</v>
          </cell>
          <cell r="U91">
            <v>38259.333333333336</v>
          </cell>
          <cell r="V91">
            <v>1</v>
          </cell>
          <cell r="W91">
            <v>1</v>
          </cell>
          <cell r="X91">
            <v>0</v>
          </cell>
          <cell r="Y91">
            <v>0</v>
          </cell>
          <cell r="Z91">
            <v>1</v>
          </cell>
          <cell r="AD91">
            <v>38259.333333333336</v>
          </cell>
          <cell r="AE91">
            <v>0</v>
          </cell>
          <cell r="AF91">
            <v>0</v>
          </cell>
          <cell r="AG91">
            <v>1</v>
          </cell>
          <cell r="AK91">
            <v>38259.333333333336</v>
          </cell>
          <cell r="AL91">
            <v>0</v>
          </cell>
          <cell r="AM91">
            <v>1</v>
          </cell>
          <cell r="AN91">
            <v>0</v>
          </cell>
          <cell r="AO91">
            <v>0</v>
          </cell>
          <cell r="AS91">
            <v>38259.333333333336</v>
          </cell>
          <cell r="AT91">
            <v>1.819480018566052</v>
          </cell>
          <cell r="AW91">
            <v>38259.333333333336</v>
          </cell>
          <cell r="AX91">
            <v>1</v>
          </cell>
          <cell r="AY91">
            <v>1</v>
          </cell>
          <cell r="AZ91">
            <v>1</v>
          </cell>
          <cell r="BD91">
            <v>38259.333333333336</v>
          </cell>
          <cell r="BE91">
            <v>1</v>
          </cell>
          <cell r="BF91">
            <v>1</v>
          </cell>
          <cell r="BJ91">
            <v>38259.333333333336</v>
          </cell>
          <cell r="BK91">
            <v>1</v>
          </cell>
          <cell r="BL91">
            <v>1</v>
          </cell>
        </row>
        <row r="92">
          <cell r="E92">
            <v>38259.666666666664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1</v>
          </cell>
          <cell r="L92">
            <v>1</v>
          </cell>
          <cell r="M92">
            <v>1</v>
          </cell>
          <cell r="N92">
            <v>1</v>
          </cell>
          <cell r="O92">
            <v>1</v>
          </cell>
          <cell r="P92">
            <v>0</v>
          </cell>
          <cell r="Q92">
            <v>1</v>
          </cell>
          <cell r="U92">
            <v>38259.666666666664</v>
          </cell>
          <cell r="V92">
            <v>1</v>
          </cell>
          <cell r="W92">
            <v>1</v>
          </cell>
          <cell r="X92">
            <v>0</v>
          </cell>
          <cell r="Y92">
            <v>0</v>
          </cell>
          <cell r="Z92">
            <v>1</v>
          </cell>
          <cell r="AD92">
            <v>38259.666666666664</v>
          </cell>
          <cell r="AE92">
            <v>0</v>
          </cell>
          <cell r="AF92">
            <v>0</v>
          </cell>
          <cell r="AG92">
            <v>1</v>
          </cell>
          <cell r="AK92">
            <v>38259.666666666664</v>
          </cell>
          <cell r="AL92">
            <v>0</v>
          </cell>
          <cell r="AM92">
            <v>1</v>
          </cell>
          <cell r="AN92">
            <v>0</v>
          </cell>
          <cell r="AO92">
            <v>0</v>
          </cell>
          <cell r="AS92">
            <v>38259.666666666664</v>
          </cell>
          <cell r="AT92">
            <v>1.5937563521166642</v>
          </cell>
          <cell r="AW92">
            <v>38259.666666666664</v>
          </cell>
          <cell r="AX92">
            <v>1</v>
          </cell>
          <cell r="AY92">
            <v>1</v>
          </cell>
          <cell r="AZ92">
            <v>1</v>
          </cell>
          <cell r="BD92">
            <v>38259.666666666664</v>
          </cell>
          <cell r="BE92">
            <v>1</v>
          </cell>
          <cell r="BF92">
            <v>1</v>
          </cell>
          <cell r="BJ92">
            <v>38259.666666666664</v>
          </cell>
          <cell r="BK92">
            <v>1</v>
          </cell>
          <cell r="BL92">
            <v>1</v>
          </cell>
        </row>
        <row r="93">
          <cell r="E93">
            <v>38260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1</v>
          </cell>
          <cell r="L93">
            <v>1</v>
          </cell>
          <cell r="M93">
            <v>1</v>
          </cell>
          <cell r="N93">
            <v>1</v>
          </cell>
          <cell r="O93">
            <v>1</v>
          </cell>
          <cell r="P93">
            <v>0</v>
          </cell>
          <cell r="Q93">
            <v>1</v>
          </cell>
          <cell r="U93">
            <v>38260</v>
          </cell>
          <cell r="V93">
            <v>1</v>
          </cell>
          <cell r="W93">
            <v>1</v>
          </cell>
          <cell r="X93">
            <v>0</v>
          </cell>
          <cell r="Y93">
            <v>0</v>
          </cell>
          <cell r="Z93">
            <v>1</v>
          </cell>
          <cell r="AD93">
            <v>38260</v>
          </cell>
          <cell r="AE93">
            <v>0</v>
          </cell>
          <cell r="AF93">
            <v>0</v>
          </cell>
          <cell r="AG93">
            <v>1</v>
          </cell>
          <cell r="AK93">
            <v>38260</v>
          </cell>
          <cell r="AL93">
            <v>0</v>
          </cell>
          <cell r="AM93">
            <v>1</v>
          </cell>
          <cell r="AN93">
            <v>0</v>
          </cell>
          <cell r="AO93">
            <v>0</v>
          </cell>
          <cell r="AS93">
            <v>38260</v>
          </cell>
          <cell r="AT93">
            <v>1.5339973580092192</v>
          </cell>
          <cell r="AW93">
            <v>38260</v>
          </cell>
          <cell r="AX93">
            <v>1</v>
          </cell>
          <cell r="AY93">
            <v>1</v>
          </cell>
          <cell r="AZ93">
            <v>1</v>
          </cell>
          <cell r="BD93">
            <v>38260</v>
          </cell>
          <cell r="BE93">
            <v>1</v>
          </cell>
          <cell r="BF93">
            <v>1</v>
          </cell>
          <cell r="BJ93">
            <v>38260</v>
          </cell>
          <cell r="BK93">
            <v>1</v>
          </cell>
          <cell r="BL93">
            <v>1</v>
          </cell>
        </row>
      </sheetData>
      <sheetData sheetId="12"/>
      <sheetData sheetId="13" refreshError="1">
        <row r="4">
          <cell r="D4" t="e">
            <v>#NAME?</v>
          </cell>
          <cell r="E4" t="str">
            <v>TIT9274</v>
          </cell>
          <cell r="F4" t="str">
            <v>TIT8141</v>
          </cell>
        </row>
        <row r="5">
          <cell r="D5" t="str">
            <v>Timestamp</v>
          </cell>
          <cell r="E5" t="str">
            <v>TIT9274 - Average</v>
          </cell>
          <cell r="F5" t="str">
            <v>TIT8141 - Average</v>
          </cell>
        </row>
        <row r="6">
          <cell r="D6">
            <v>37622</v>
          </cell>
          <cell r="E6">
            <v>6.3697178065004172</v>
          </cell>
          <cell r="F6">
            <v>6.1847392798656671</v>
          </cell>
        </row>
        <row r="7">
          <cell r="D7">
            <v>37623</v>
          </cell>
          <cell r="E7">
            <v>6.3988482366833423</v>
          </cell>
          <cell r="F7">
            <v>6.2332306137101519</v>
          </cell>
        </row>
        <row r="8">
          <cell r="D8">
            <v>37624</v>
          </cell>
          <cell r="E8">
            <v>7.0927276815805174</v>
          </cell>
          <cell r="F8">
            <v>6.3487066905669591</v>
          </cell>
        </row>
        <row r="9">
          <cell r="D9">
            <v>37625</v>
          </cell>
          <cell r="E9">
            <v>8.1385557795288381</v>
          </cell>
          <cell r="F9">
            <v>6.4141059093729211</v>
          </cell>
        </row>
        <row r="10">
          <cell r="D10">
            <v>37626</v>
          </cell>
          <cell r="E10">
            <v>8.0279854215957496</v>
          </cell>
          <cell r="F10">
            <v>6.4230030035393106</v>
          </cell>
        </row>
        <row r="11">
          <cell r="D11">
            <v>37627</v>
          </cell>
          <cell r="E11">
            <v>7.9840580584550347</v>
          </cell>
          <cell r="F11">
            <v>6.2379571669769511</v>
          </cell>
        </row>
        <row r="12">
          <cell r="D12">
            <v>37628</v>
          </cell>
          <cell r="E12">
            <v>8.0340472726082357</v>
          </cell>
          <cell r="F12">
            <v>6.3602211122021632</v>
          </cell>
        </row>
        <row r="13">
          <cell r="D13">
            <v>37629</v>
          </cell>
          <cell r="E13">
            <v>8.1096279784761087</v>
          </cell>
          <cell r="F13">
            <v>6.5520545661449434</v>
          </cell>
        </row>
        <row r="14">
          <cell r="D14">
            <v>37630</v>
          </cell>
          <cell r="E14">
            <v>7.9046473072634802</v>
          </cell>
          <cell r="F14">
            <v>6.3751263717672337</v>
          </cell>
        </row>
        <row r="15">
          <cell r="D15">
            <v>37631</v>
          </cell>
          <cell r="E15">
            <v>8.5088365172125666</v>
          </cell>
          <cell r="F15">
            <v>6.4029856139752601</v>
          </cell>
        </row>
        <row r="16">
          <cell r="D16">
            <v>37632</v>
          </cell>
          <cell r="E16">
            <v>7.1706825971051495</v>
          </cell>
          <cell r="F16">
            <v>6.5016475024184697</v>
          </cell>
        </row>
        <row r="17">
          <cell r="D17">
            <v>37633</v>
          </cell>
          <cell r="E17">
            <v>6.8166698133917869</v>
          </cell>
          <cell r="F17">
            <v>6.6203608269630756</v>
          </cell>
        </row>
        <row r="18">
          <cell r="D18">
            <v>37634</v>
          </cell>
          <cell r="E18">
            <v>7.232317723278646</v>
          </cell>
          <cell r="F18">
            <v>6.8163070080732862</v>
          </cell>
        </row>
        <row r="19">
          <cell r="D19">
            <v>37635</v>
          </cell>
          <cell r="E19">
            <v>7.5891820064987296</v>
          </cell>
          <cell r="F19">
            <v>7.1591436605486605</v>
          </cell>
        </row>
        <row r="20">
          <cell r="D20">
            <v>37636</v>
          </cell>
          <cell r="E20">
            <v>7.4273375814297689</v>
          </cell>
          <cell r="F20">
            <v>7.0917833740098608</v>
          </cell>
        </row>
        <row r="21">
          <cell r="D21">
            <v>37637</v>
          </cell>
          <cell r="E21">
            <v>8.0943095091592383</v>
          </cell>
          <cell r="F21">
            <v>7.0132057142340472</v>
          </cell>
        </row>
        <row r="22">
          <cell r="D22">
            <v>37638</v>
          </cell>
          <cell r="E22">
            <v>8.4382701499042696</v>
          </cell>
          <cell r="F22">
            <v>7.0507783334150362</v>
          </cell>
        </row>
        <row r="23">
          <cell r="D23">
            <v>37639</v>
          </cell>
          <cell r="E23">
            <v>8.3090533854674415</v>
          </cell>
          <cell r="F23">
            <v>6.718748923032372</v>
          </cell>
        </row>
        <row r="24">
          <cell r="D24">
            <v>37640</v>
          </cell>
          <cell r="E24">
            <v>8.0867941446326395</v>
          </cell>
          <cell r="F24">
            <v>6.6137728786578887</v>
          </cell>
        </row>
        <row r="25">
          <cell r="D25">
            <v>37641</v>
          </cell>
          <cell r="E25">
            <v>7.8898479758175437</v>
          </cell>
          <cell r="F25">
            <v>6.5088077557307704</v>
          </cell>
        </row>
        <row r="26">
          <cell r="D26">
            <v>37642</v>
          </cell>
          <cell r="E26">
            <v>7.3191331323815714</v>
          </cell>
          <cell r="F26">
            <v>6.3812825781686442</v>
          </cell>
        </row>
        <row r="27">
          <cell r="D27">
            <v>37643</v>
          </cell>
          <cell r="E27">
            <v>7.1596833619530553</v>
          </cell>
          <cell r="F27">
            <v>5.9925935307310692</v>
          </cell>
        </row>
        <row r="28">
          <cell r="D28">
            <v>37644</v>
          </cell>
          <cell r="E28">
            <v>7.3951687096859571</v>
          </cell>
          <cell r="F28">
            <v>5.840650672686321</v>
          </cell>
        </row>
        <row r="29">
          <cell r="D29">
            <v>37645</v>
          </cell>
          <cell r="E29">
            <v>7.3334663083845815</v>
          </cell>
          <cell r="F29">
            <v>5.7246292184900351</v>
          </cell>
        </row>
        <row r="30">
          <cell r="D30">
            <v>37646</v>
          </cell>
          <cell r="E30">
            <v>7.8782750746994106</v>
          </cell>
          <cell r="F30">
            <v>6.4915566302973913</v>
          </cell>
        </row>
        <row r="31">
          <cell r="D31">
            <v>37647</v>
          </cell>
          <cell r="E31">
            <v>8.6544964571517919</v>
          </cell>
          <cell r="F31">
            <v>7.0349344119429587</v>
          </cell>
        </row>
        <row r="32">
          <cell r="D32">
            <v>37648</v>
          </cell>
          <cell r="E32">
            <v>9.1084548428654664</v>
          </cell>
          <cell r="F32">
            <v>7.3442327656817659</v>
          </cell>
        </row>
        <row r="33">
          <cell r="D33">
            <v>37649</v>
          </cell>
          <cell r="E33">
            <v>9.8069853035112224</v>
          </cell>
          <cell r="F33">
            <v>7.4743442453168054</v>
          </cell>
        </row>
        <row r="34">
          <cell r="D34">
            <v>37650</v>
          </cell>
          <cell r="E34">
            <v>9.7122613655748182</v>
          </cell>
          <cell r="F34">
            <v>7.4843262277543543</v>
          </cell>
        </row>
        <row r="35">
          <cell r="D35">
            <v>37651</v>
          </cell>
          <cell r="E35">
            <v>10.091903523852428</v>
          </cell>
          <cell r="F35">
            <v>7.4789276404237306</v>
          </cell>
        </row>
        <row r="36">
          <cell r="D36">
            <v>37652</v>
          </cell>
          <cell r="E36">
            <v>10.262706156764869</v>
          </cell>
          <cell r="F36">
            <v>7.3881264542263967</v>
          </cell>
        </row>
        <row r="37">
          <cell r="D37">
            <v>37653</v>
          </cell>
          <cell r="E37">
            <v>9.7971693557997543</v>
          </cell>
          <cell r="F37">
            <v>7.2782160284894486</v>
          </cell>
        </row>
        <row r="38">
          <cell r="D38">
            <v>37654</v>
          </cell>
          <cell r="E38">
            <v>9.4454453310480826</v>
          </cell>
          <cell r="F38">
            <v>7.1853265907753396</v>
          </cell>
        </row>
        <row r="39">
          <cell r="D39">
            <v>37655</v>
          </cell>
          <cell r="E39">
            <v>9.465349582361954</v>
          </cell>
          <cell r="F39">
            <v>7.2081460760699381</v>
          </cell>
        </row>
        <row r="40">
          <cell r="D40">
            <v>37656</v>
          </cell>
          <cell r="E40">
            <v>9.4689173955608297</v>
          </cell>
          <cell r="F40">
            <v>7.0934658514404738</v>
          </cell>
        </row>
        <row r="41">
          <cell r="D41">
            <v>37657</v>
          </cell>
          <cell r="E41">
            <v>9.4367536042299527</v>
          </cell>
          <cell r="F41">
            <v>7.1895125963207747</v>
          </cell>
        </row>
        <row r="42">
          <cell r="D42">
            <v>37658</v>
          </cell>
          <cell r="E42">
            <v>10.153699922699619</v>
          </cell>
          <cell r="F42">
            <v>7.2664625188404761</v>
          </cell>
        </row>
        <row r="43">
          <cell r="D43">
            <v>37659</v>
          </cell>
          <cell r="E43">
            <v>9.810386100025088</v>
          </cell>
          <cell r="F43">
            <v>7.3790608767971948</v>
          </cell>
        </row>
        <row r="44">
          <cell r="D44">
            <v>37660</v>
          </cell>
          <cell r="E44">
            <v>9.6789926654210792</v>
          </cell>
          <cell r="F44">
            <v>7.4220250187924615</v>
          </cell>
        </row>
        <row r="45">
          <cell r="D45">
            <v>37661</v>
          </cell>
          <cell r="E45">
            <v>9.643514421008252</v>
          </cell>
          <cell r="F45">
            <v>7.3681648469881882</v>
          </cell>
        </row>
        <row r="46">
          <cell r="D46">
            <v>37662</v>
          </cell>
          <cell r="E46">
            <v>9.5759649379109888</v>
          </cell>
          <cell r="F46">
            <v>7.3189745459981541</v>
          </cell>
        </row>
        <row r="47">
          <cell r="D47">
            <v>37663</v>
          </cell>
          <cell r="E47">
            <v>9.5832131443089903</v>
          </cell>
          <cell r="F47">
            <v>7.4003983902738053</v>
          </cell>
        </row>
        <row r="48">
          <cell r="D48">
            <v>37664</v>
          </cell>
          <cell r="E48">
            <v>9.2165116878185014</v>
          </cell>
          <cell r="F48">
            <v>7.3867578982837774</v>
          </cell>
        </row>
        <row r="49">
          <cell r="D49">
            <v>37665</v>
          </cell>
          <cell r="E49">
            <v>9.5197989047346283</v>
          </cell>
          <cell r="F49">
            <v>7.2707314004141974</v>
          </cell>
        </row>
        <row r="50">
          <cell r="D50">
            <v>37666</v>
          </cell>
          <cell r="E50">
            <v>9.2907854598429473</v>
          </cell>
          <cell r="F50">
            <v>7.3225242541620021</v>
          </cell>
        </row>
        <row r="51">
          <cell r="D51">
            <v>37667</v>
          </cell>
          <cell r="E51">
            <v>9.1848648490177265</v>
          </cell>
          <cell r="F51">
            <v>7.5429839089788775</v>
          </cell>
        </row>
        <row r="52">
          <cell r="D52">
            <v>37668</v>
          </cell>
          <cell r="E52">
            <v>9.0526835099966441</v>
          </cell>
          <cell r="F52">
            <v>7.3430516573979903</v>
          </cell>
        </row>
        <row r="53">
          <cell r="D53">
            <v>37669</v>
          </cell>
          <cell r="E53">
            <v>8.3517385519765046</v>
          </cell>
          <cell r="F53">
            <v>6.8928215291213109</v>
          </cell>
        </row>
        <row r="54">
          <cell r="D54">
            <v>37670</v>
          </cell>
          <cell r="E54">
            <v>8.235269668946664</v>
          </cell>
          <cell r="F54">
            <v>6.9278655130278182</v>
          </cell>
        </row>
        <row r="55">
          <cell r="D55">
            <v>37671</v>
          </cell>
          <cell r="E55">
            <v>8.4268637197768239</v>
          </cell>
          <cell r="F55">
            <v>7.0216887192372921</v>
          </cell>
        </row>
        <row r="56">
          <cell r="D56">
            <v>37672</v>
          </cell>
          <cell r="E56">
            <v>8.1630695657045749</v>
          </cell>
          <cell r="F56">
            <v>6.7755223976517165</v>
          </cell>
        </row>
        <row r="57">
          <cell r="D57">
            <v>37673</v>
          </cell>
          <cell r="E57">
            <v>8.5549266352697657</v>
          </cell>
          <cell r="F57">
            <v>6.5088761314197825</v>
          </cell>
        </row>
        <row r="58">
          <cell r="D58">
            <v>37674</v>
          </cell>
          <cell r="E58">
            <v>9.0555338920542479</v>
          </cell>
          <cell r="F58">
            <v>6.8204196800788246</v>
          </cell>
        </row>
        <row r="59">
          <cell r="D59">
            <v>37675</v>
          </cell>
          <cell r="E59">
            <v>9.5114340805621058</v>
          </cell>
          <cell r="F59">
            <v>7.146580659970641</v>
          </cell>
        </row>
        <row r="60">
          <cell r="D60">
            <v>37676</v>
          </cell>
          <cell r="E60">
            <v>9.2387324577404399</v>
          </cell>
          <cell r="F60">
            <v>7.3996600356918796</v>
          </cell>
        </row>
        <row r="61">
          <cell r="D61">
            <v>37677</v>
          </cell>
          <cell r="E61">
            <v>9.7042484392556876</v>
          </cell>
          <cell r="F61">
            <v>7.5260771475677135</v>
          </cell>
        </row>
        <row r="62">
          <cell r="D62">
            <v>37678</v>
          </cell>
          <cell r="E62">
            <v>9.6416209388110374</v>
          </cell>
          <cell r="F62">
            <v>7.6116052816587469</v>
          </cell>
        </row>
        <row r="63">
          <cell r="D63">
            <v>37679</v>
          </cell>
          <cell r="E63">
            <v>10.103964257151992</v>
          </cell>
          <cell r="F63">
            <v>7.7409038594999799</v>
          </cell>
        </row>
        <row r="64">
          <cell r="D64">
            <v>37680</v>
          </cell>
          <cell r="E64">
            <v>9.9688852971626645</v>
          </cell>
          <cell r="F64">
            <v>7.6831635955031272</v>
          </cell>
        </row>
        <row r="65">
          <cell r="D65">
            <v>37681</v>
          </cell>
          <cell r="E65">
            <v>10.431889704532093</v>
          </cell>
          <cell r="F65">
            <v>7.7867267437555174</v>
          </cell>
        </row>
        <row r="66">
          <cell r="D66">
            <v>37682</v>
          </cell>
          <cell r="E66">
            <v>10.010107090186191</v>
          </cell>
          <cell r="F66">
            <v>7.8644867522848978</v>
          </cell>
        </row>
        <row r="67">
          <cell r="D67">
            <v>37683</v>
          </cell>
          <cell r="E67">
            <v>9.8117382927625272</v>
          </cell>
          <cell r="F67">
            <v>7.8011307127221867</v>
          </cell>
        </row>
        <row r="68">
          <cell r="D68">
            <v>37684</v>
          </cell>
          <cell r="E68">
            <v>10.142271979291129</v>
          </cell>
          <cell r="F68">
            <v>8.1747623319979059</v>
          </cell>
        </row>
        <row r="69">
          <cell r="D69">
            <v>37685</v>
          </cell>
          <cell r="E69">
            <v>9.7275768273958452</v>
          </cell>
          <cell r="F69">
            <v>7.9595500541781936</v>
          </cell>
        </row>
        <row r="70">
          <cell r="D70">
            <v>37686</v>
          </cell>
          <cell r="E70">
            <v>9.829828166078638</v>
          </cell>
          <cell r="F70">
            <v>7.8855600728756849</v>
          </cell>
        </row>
        <row r="71">
          <cell r="D71">
            <v>37687</v>
          </cell>
          <cell r="E71">
            <v>9.995556548955264</v>
          </cell>
          <cell r="F71">
            <v>7.54437768438624</v>
          </cell>
        </row>
        <row r="72">
          <cell r="D72">
            <v>37688</v>
          </cell>
          <cell r="E72">
            <v>10.009877528415785</v>
          </cell>
          <cell r="F72">
            <v>7.8359035570312425</v>
          </cell>
        </row>
        <row r="73">
          <cell r="D73">
            <v>37689</v>
          </cell>
          <cell r="E73">
            <v>10.424835338664275</v>
          </cell>
          <cell r="F73">
            <v>7.8225379993242248</v>
          </cell>
        </row>
        <row r="74">
          <cell r="D74">
            <v>37690</v>
          </cell>
          <cell r="E74">
            <v>10.166242221025405</v>
          </cell>
          <cell r="F74">
            <v>7.8061129821809354</v>
          </cell>
        </row>
        <row r="75">
          <cell r="D75">
            <v>37691</v>
          </cell>
          <cell r="E75">
            <v>9.6020956149090217</v>
          </cell>
          <cell r="F75">
            <v>7.607992137333861</v>
          </cell>
        </row>
        <row r="76">
          <cell r="D76">
            <v>37692</v>
          </cell>
          <cell r="E76">
            <v>9.4878237869176605</v>
          </cell>
          <cell r="F76">
            <v>7.7710670132052018</v>
          </cell>
        </row>
        <row r="77">
          <cell r="D77">
            <v>37693</v>
          </cell>
          <cell r="E77">
            <v>9.937133961777997</v>
          </cell>
          <cell r="F77">
            <v>8.7542126326373335</v>
          </cell>
        </row>
        <row r="78">
          <cell r="D78">
            <v>37694</v>
          </cell>
          <cell r="E78">
            <v>9.9730705941716824</v>
          </cell>
          <cell r="F78">
            <v>7.7398484493709274</v>
          </cell>
        </row>
        <row r="79">
          <cell r="D79">
            <v>37695</v>
          </cell>
          <cell r="E79">
            <v>10.203491106546588</v>
          </cell>
          <cell r="F79">
            <v>7.4433095788238228</v>
          </cell>
        </row>
        <row r="80">
          <cell r="D80">
            <v>37696</v>
          </cell>
          <cell r="E80">
            <v>9.451456456300285</v>
          </cell>
          <cell r="F80">
            <v>7.5114978479014507</v>
          </cell>
        </row>
        <row r="81">
          <cell r="D81">
            <v>37697</v>
          </cell>
          <cell r="E81">
            <v>10.233044089238954</v>
          </cell>
          <cell r="F81">
            <v>7.4998346956653723</v>
          </cell>
        </row>
        <row r="82">
          <cell r="D82">
            <v>37698</v>
          </cell>
          <cell r="E82">
            <v>10.409974914347684</v>
          </cell>
          <cell r="F82">
            <v>7.8356935636864771</v>
          </cell>
        </row>
        <row r="83">
          <cell r="D83">
            <v>37699</v>
          </cell>
          <cell r="E83">
            <v>10.889391806142198</v>
          </cell>
          <cell r="F83">
            <v>8.1106213569282382</v>
          </cell>
        </row>
        <row r="84">
          <cell r="D84">
            <v>37700</v>
          </cell>
          <cell r="E84">
            <v>10.713102280900435</v>
          </cell>
          <cell r="F84">
            <v>8.1429382668601136</v>
          </cell>
        </row>
        <row r="85">
          <cell r="D85">
            <v>37701</v>
          </cell>
          <cell r="E85">
            <v>10.905072913070519</v>
          </cell>
          <cell r="F85">
            <v>7.6848969750934177</v>
          </cell>
        </row>
        <row r="86">
          <cell r="D86">
            <v>37702</v>
          </cell>
          <cell r="E86">
            <v>11.317450048967643</v>
          </cell>
          <cell r="F86">
            <v>7.6258555692103176</v>
          </cell>
        </row>
        <row r="87">
          <cell r="D87">
            <v>37703</v>
          </cell>
          <cell r="E87">
            <v>11.797722682191266</v>
          </cell>
          <cell r="F87">
            <v>7.6441711909517096</v>
          </cell>
        </row>
        <row r="88">
          <cell r="D88">
            <v>37704</v>
          </cell>
          <cell r="E88">
            <v>11.275720524539549</v>
          </cell>
          <cell r="F88">
            <v>7.5937516620589625</v>
          </cell>
        </row>
        <row r="89">
          <cell r="D89">
            <v>37705</v>
          </cell>
          <cell r="E89">
            <v>9.8972383694516282</v>
          </cell>
          <cell r="F89">
            <v>7.345437946970816</v>
          </cell>
        </row>
        <row r="90">
          <cell r="D90">
            <v>37706</v>
          </cell>
          <cell r="E90">
            <v>9.4406714262233837</v>
          </cell>
          <cell r="F90">
            <v>7.3542718160207627</v>
          </cell>
        </row>
        <row r="91">
          <cell r="D91">
            <v>37707</v>
          </cell>
          <cell r="E91">
            <v>10.301507843892884</v>
          </cell>
          <cell r="F91">
            <v>7.5159097617974986</v>
          </cell>
        </row>
        <row r="92">
          <cell r="D92">
            <v>37708</v>
          </cell>
          <cell r="E92">
            <v>10.430781827867031</v>
          </cell>
          <cell r="F92">
            <v>7.3219106553605311</v>
          </cell>
        </row>
        <row r="93">
          <cell r="D93">
            <v>37709</v>
          </cell>
          <cell r="E93">
            <v>10.168772531963057</v>
          </cell>
          <cell r="F93">
            <v>7.3025275757605277</v>
          </cell>
        </row>
        <row r="94">
          <cell r="D94">
            <v>37710</v>
          </cell>
          <cell r="E94">
            <v>9.7598810435997123</v>
          </cell>
          <cell r="F94">
            <v>7.3846287771783494</v>
          </cell>
        </row>
        <row r="95">
          <cell r="D95">
            <v>37711</v>
          </cell>
          <cell r="E95">
            <v>9.2815965302840429</v>
          </cell>
          <cell r="F95">
            <v>7.2199238964115029</v>
          </cell>
        </row>
        <row r="96">
          <cell r="D96">
            <v>37712</v>
          </cell>
          <cell r="E96">
            <v>9.2009395346597387</v>
          </cell>
          <cell r="F96">
            <v>7.1872199064879503</v>
          </cell>
        </row>
        <row r="97">
          <cell r="D97">
            <v>37713</v>
          </cell>
          <cell r="E97">
            <v>9.5505237513118324</v>
          </cell>
          <cell r="F97">
            <v>7.444978243057375</v>
          </cell>
        </row>
        <row r="98">
          <cell r="D98">
            <v>37714</v>
          </cell>
          <cell r="E98">
            <v>10.143250357111295</v>
          </cell>
          <cell r="F98">
            <v>7.4921007289378734</v>
          </cell>
        </row>
        <row r="99">
          <cell r="D99">
            <v>37715</v>
          </cell>
          <cell r="E99">
            <v>10.969768811817522</v>
          </cell>
          <cell r="F99">
            <v>6.9435866657920462</v>
          </cell>
        </row>
        <row r="100">
          <cell r="D100">
            <v>37716</v>
          </cell>
          <cell r="E100">
            <v>11.287778203443244</v>
          </cell>
          <cell r="F100">
            <v>7.2146466965338698</v>
          </cell>
        </row>
        <row r="101">
          <cell r="D101">
            <v>37717</v>
          </cell>
          <cell r="E101">
            <v>11.262597048586166</v>
          </cell>
          <cell r="F101">
            <v>7.1522094954633051</v>
          </cell>
        </row>
        <row r="102">
          <cell r="D102">
            <v>37718</v>
          </cell>
          <cell r="E102">
            <v>10.262105690246379</v>
          </cell>
          <cell r="F102">
            <v>7.3571132828929908</v>
          </cell>
        </row>
        <row r="103">
          <cell r="D103">
            <v>37719</v>
          </cell>
          <cell r="E103">
            <v>9.9717432618693067</v>
          </cell>
          <cell r="F103">
            <v>7.4680234067555933</v>
          </cell>
        </row>
        <row r="104">
          <cell r="D104">
            <v>37720</v>
          </cell>
          <cell r="E104">
            <v>10.23470883531151</v>
          </cell>
          <cell r="F104">
            <v>7.456506667451726</v>
          </cell>
        </row>
        <row r="105">
          <cell r="D105">
            <v>37721</v>
          </cell>
          <cell r="E105">
            <v>10.527278542628995</v>
          </cell>
          <cell r="F105">
            <v>7.4452249800855359</v>
          </cell>
        </row>
        <row r="106">
          <cell r="D106">
            <v>37722</v>
          </cell>
          <cell r="E106">
            <v>11.472721275052539</v>
          </cell>
          <cell r="F106">
            <v>7.4077146816032906</v>
          </cell>
        </row>
        <row r="107">
          <cell r="D107">
            <v>37723</v>
          </cell>
          <cell r="E107">
            <v>10.642559800959296</v>
          </cell>
          <cell r="F107">
            <v>7.4157491517149738</v>
          </cell>
        </row>
        <row r="108">
          <cell r="D108">
            <v>37724</v>
          </cell>
          <cell r="E108">
            <v>10.353960646385396</v>
          </cell>
          <cell r="F108">
            <v>7.5004207812939532</v>
          </cell>
        </row>
        <row r="109">
          <cell r="D109">
            <v>37725</v>
          </cell>
          <cell r="E109">
            <v>10.480596776113465</v>
          </cell>
          <cell r="F109">
            <v>7.5730088781703397</v>
          </cell>
        </row>
        <row r="110">
          <cell r="D110">
            <v>37726</v>
          </cell>
          <cell r="E110">
            <v>11.075983491070845</v>
          </cell>
          <cell r="F110">
            <v>7.6311112767844289</v>
          </cell>
        </row>
        <row r="111">
          <cell r="D111">
            <v>37727</v>
          </cell>
          <cell r="E111">
            <v>10.76556863511602</v>
          </cell>
          <cell r="F111">
            <v>7.6319336679522634</v>
          </cell>
        </row>
        <row r="112">
          <cell r="D112">
            <v>37728</v>
          </cell>
          <cell r="E112">
            <v>10.353285478331424</v>
          </cell>
          <cell r="F112">
            <v>7.3924015352709427</v>
          </cell>
        </row>
        <row r="113">
          <cell r="D113">
            <v>37729</v>
          </cell>
          <cell r="E113">
            <v>9.8771449018959654</v>
          </cell>
          <cell r="F113">
            <v>7.0927993819393498</v>
          </cell>
        </row>
        <row r="114">
          <cell r="D114">
            <v>37730</v>
          </cell>
          <cell r="E114">
            <v>9.0792051928186854</v>
          </cell>
          <cell r="F114">
            <v>6.8825415479088274</v>
          </cell>
        </row>
        <row r="115">
          <cell r="D115">
            <v>37731</v>
          </cell>
          <cell r="E115">
            <v>8.9102211578300707</v>
          </cell>
          <cell r="F115">
            <v>6.8108388117756009</v>
          </cell>
        </row>
        <row r="116">
          <cell r="D116">
            <v>37732</v>
          </cell>
          <cell r="E116">
            <v>8.9738521477138562</v>
          </cell>
          <cell r="F116">
            <v>6.7894688945401596</v>
          </cell>
        </row>
        <row r="117">
          <cell r="D117">
            <v>37733</v>
          </cell>
          <cell r="E117">
            <v>8.8533710342314507</v>
          </cell>
          <cell r="F117">
            <v>6.5516315963533192</v>
          </cell>
        </row>
        <row r="118">
          <cell r="D118">
            <v>37734</v>
          </cell>
          <cell r="E118">
            <v>8.7070699004111471</v>
          </cell>
          <cell r="F118">
            <v>6.5441805898177403</v>
          </cell>
        </row>
        <row r="119">
          <cell r="D119">
            <v>37735</v>
          </cell>
          <cell r="E119">
            <v>9.1706245298352513</v>
          </cell>
          <cell r="F119">
            <v>6.8909304703799661</v>
          </cell>
        </row>
        <row r="120">
          <cell r="D120">
            <v>37736</v>
          </cell>
          <cell r="E120">
            <v>9.5147948529157382</v>
          </cell>
          <cell r="F120">
            <v>6.9105911614304336</v>
          </cell>
        </row>
        <row r="121">
          <cell r="D121">
            <v>37737</v>
          </cell>
          <cell r="E121">
            <v>9.3591644071318481</v>
          </cell>
          <cell r="F121">
            <v>6.6614749188362445</v>
          </cell>
        </row>
        <row r="122">
          <cell r="D122">
            <v>37738</v>
          </cell>
          <cell r="E122">
            <v>8.9970401027964222</v>
          </cell>
          <cell r="F122">
            <v>6.1837163253459666</v>
          </cell>
        </row>
        <row r="123">
          <cell r="D123">
            <v>37739</v>
          </cell>
          <cell r="E123">
            <v>9.2633561427946436</v>
          </cell>
          <cell r="F123">
            <v>6.5112149618290092</v>
          </cell>
        </row>
        <row r="124">
          <cell r="D124">
            <v>37740</v>
          </cell>
          <cell r="E124">
            <v>9.7754107025486459</v>
          </cell>
          <cell r="F124">
            <v>6.4867203644994236</v>
          </cell>
        </row>
        <row r="125">
          <cell r="D125">
            <v>37741</v>
          </cell>
          <cell r="E125">
            <v>9.7704150075437841</v>
          </cell>
          <cell r="F125">
            <v>6.1840028905482205</v>
          </cell>
        </row>
        <row r="126">
          <cell r="D126">
            <v>37742</v>
          </cell>
          <cell r="E126">
            <v>9.6436899674987355</v>
          </cell>
          <cell r="F126">
            <v>6.1304959751941537</v>
          </cell>
        </row>
        <row r="127">
          <cell r="D127">
            <v>37743</v>
          </cell>
          <cell r="E127">
            <v>9.8397345516416763</v>
          </cell>
          <cell r="F127">
            <v>6.4604939704553948</v>
          </cell>
        </row>
        <row r="128">
          <cell r="D128">
            <v>37744</v>
          </cell>
          <cell r="E128">
            <v>9.8942538562196276</v>
          </cell>
          <cell r="F128">
            <v>6.6911941547636635</v>
          </cell>
        </row>
        <row r="129">
          <cell r="D129">
            <v>37745</v>
          </cell>
          <cell r="E129">
            <v>9.8909392216967209</v>
          </cell>
          <cell r="F129">
            <v>6.8647313441943236</v>
          </cell>
        </row>
        <row r="130">
          <cell r="D130">
            <v>37746</v>
          </cell>
          <cell r="E130">
            <v>9.922129213506425</v>
          </cell>
          <cell r="F130">
            <v>6.9106473687760257</v>
          </cell>
        </row>
        <row r="131">
          <cell r="D131">
            <v>37747</v>
          </cell>
          <cell r="E131">
            <v>10.035215340747877</v>
          </cell>
          <cell r="F131">
            <v>6.7845470503110574</v>
          </cell>
        </row>
        <row r="132">
          <cell r="D132">
            <v>37748</v>
          </cell>
          <cell r="E132">
            <v>10.067395167963372</v>
          </cell>
          <cell r="F132">
            <v>6.7614589283035862</v>
          </cell>
        </row>
        <row r="133">
          <cell r="D133">
            <v>37749</v>
          </cell>
          <cell r="E133">
            <v>9.6658544409606186</v>
          </cell>
          <cell r="F133">
            <v>8.2602851904652734</v>
          </cell>
        </row>
        <row r="134">
          <cell r="D134">
            <v>37750</v>
          </cell>
          <cell r="E134">
            <v>7.1682822170908809</v>
          </cell>
          <cell r="F134">
            <v>7.5828008433734926</v>
          </cell>
        </row>
        <row r="135">
          <cell r="D135">
            <v>37751</v>
          </cell>
          <cell r="E135">
            <v>7.715930587136083</v>
          </cell>
          <cell r="F135">
            <v>6.4276669919490814</v>
          </cell>
        </row>
        <row r="136">
          <cell r="D136">
            <v>37752</v>
          </cell>
          <cell r="E136">
            <v>8.5205801117751339</v>
          </cell>
          <cell r="F136">
            <v>6.1137936547398564</v>
          </cell>
        </row>
        <row r="137">
          <cell r="D137">
            <v>37753</v>
          </cell>
          <cell r="E137">
            <v>8.6935883246086263</v>
          </cell>
          <cell r="F137">
            <v>6.088188318784038</v>
          </cell>
        </row>
        <row r="138">
          <cell r="D138">
            <v>37754</v>
          </cell>
          <cell r="E138">
            <v>9.3909340720430574</v>
          </cell>
          <cell r="F138">
            <v>6.2571967977340579</v>
          </cell>
        </row>
        <row r="139">
          <cell r="D139">
            <v>37755</v>
          </cell>
          <cell r="E139">
            <v>10.598015257633394</v>
          </cell>
          <cell r="F139">
            <v>6.2490889219912118</v>
          </cell>
        </row>
        <row r="140">
          <cell r="D140">
            <v>37756</v>
          </cell>
          <cell r="E140">
            <v>10.476372601560973</v>
          </cell>
          <cell r="F140">
            <v>5.8098641376942393</v>
          </cell>
        </row>
        <row r="141">
          <cell r="D141">
            <v>37757</v>
          </cell>
          <cell r="E141">
            <v>9.847189738435878</v>
          </cell>
          <cell r="F141">
            <v>5.4971803948973061</v>
          </cell>
        </row>
        <row r="142">
          <cell r="D142">
            <v>37758</v>
          </cell>
          <cell r="E142">
            <v>9.5491888021263804</v>
          </cell>
          <cell r="F142">
            <v>5.5563917242128538</v>
          </cell>
        </row>
        <row r="143">
          <cell r="D143">
            <v>37759</v>
          </cell>
          <cell r="E143">
            <v>9.0763702148364658</v>
          </cell>
          <cell r="F143">
            <v>5.4719965238262107</v>
          </cell>
        </row>
        <row r="144">
          <cell r="D144">
            <v>37760</v>
          </cell>
          <cell r="E144">
            <v>8.9352817011928121</v>
          </cell>
          <cell r="F144">
            <v>5.4688867553378699</v>
          </cell>
        </row>
        <row r="145">
          <cell r="D145">
            <v>37761</v>
          </cell>
          <cell r="E145">
            <v>8.0337290227413174</v>
          </cell>
          <cell r="F145">
            <v>5.4927102308168454</v>
          </cell>
        </row>
        <row r="146">
          <cell r="D146">
            <v>37762</v>
          </cell>
          <cell r="E146">
            <v>8.5568444409304192</v>
          </cell>
          <cell r="F146">
            <v>5.2452872963691197</v>
          </cell>
        </row>
        <row r="147">
          <cell r="D147">
            <v>37763</v>
          </cell>
          <cell r="E147">
            <v>6.2078799412206367</v>
          </cell>
          <cell r="F147">
            <v>3.7113817427307367</v>
          </cell>
        </row>
        <row r="148">
          <cell r="D148">
            <v>37764</v>
          </cell>
          <cell r="E148">
            <v>6.9123254645339864</v>
          </cell>
          <cell r="F148">
            <v>4.2458058068390798</v>
          </cell>
        </row>
        <row r="149">
          <cell r="D149">
            <v>37765</v>
          </cell>
          <cell r="E149">
            <v>7.3950451099348289</v>
          </cell>
          <cell r="F149">
            <v>4.6943214200161121</v>
          </cell>
        </row>
        <row r="150">
          <cell r="D150">
            <v>37766</v>
          </cell>
          <cell r="E150">
            <v>7.6022495101309486</v>
          </cell>
          <cell r="F150">
            <v>4.9526377389552421</v>
          </cell>
        </row>
        <row r="151">
          <cell r="D151">
            <v>37767</v>
          </cell>
          <cell r="E151">
            <v>8.5000586503909688</v>
          </cell>
          <cell r="F151">
            <v>5.4383591656055712</v>
          </cell>
        </row>
        <row r="152">
          <cell r="D152">
            <v>37768</v>
          </cell>
          <cell r="E152">
            <v>8.7267797405245133</v>
          </cell>
          <cell r="F152">
            <v>5.5443294228089073</v>
          </cell>
        </row>
        <row r="153">
          <cell r="D153">
            <v>37769</v>
          </cell>
          <cell r="E153">
            <v>8.6541258474191025</v>
          </cell>
          <cell r="F153">
            <v>5.4884564899735979</v>
          </cell>
        </row>
        <row r="154">
          <cell r="D154">
            <v>37770</v>
          </cell>
          <cell r="E154">
            <v>9.0551051536368004</v>
          </cell>
          <cell r="F154">
            <v>5.6472694832417698</v>
          </cell>
        </row>
        <row r="155">
          <cell r="D155">
            <v>37771</v>
          </cell>
          <cell r="E155">
            <v>9.9600585269707214</v>
          </cell>
          <cell r="F155">
            <v>6.0490324726259264</v>
          </cell>
        </row>
        <row r="156">
          <cell r="D156">
            <v>37772</v>
          </cell>
          <cell r="E156">
            <v>10.170980535282029</v>
          </cell>
          <cell r="F156">
            <v>6.2245298434600782</v>
          </cell>
        </row>
        <row r="157">
          <cell r="D157">
            <v>37773</v>
          </cell>
          <cell r="E157">
            <v>9.6033372319958836</v>
          </cell>
          <cell r="F157">
            <v>6.2712160767918386</v>
          </cell>
        </row>
        <row r="158">
          <cell r="D158">
            <v>37774</v>
          </cell>
          <cell r="E158">
            <v>10.041448283305874</v>
          </cell>
          <cell r="F158">
            <v>6.5409763770384917</v>
          </cell>
        </row>
        <row r="159">
          <cell r="D159">
            <v>37775</v>
          </cell>
          <cell r="E159">
            <v>10.017357198452508</v>
          </cell>
          <cell r="F159">
            <v>6.5046996007363003</v>
          </cell>
        </row>
        <row r="160">
          <cell r="D160">
            <v>37776</v>
          </cell>
          <cell r="E160">
            <v>9.5750313018483144</v>
          </cell>
          <cell r="F160">
            <v>5.8284133014993538</v>
          </cell>
        </row>
        <row r="161">
          <cell r="D161">
            <v>37777</v>
          </cell>
          <cell r="E161">
            <v>8.8179245510311031</v>
          </cell>
          <cell r="F161">
            <v>5.6120032939094084</v>
          </cell>
        </row>
        <row r="162">
          <cell r="D162">
            <v>37778</v>
          </cell>
          <cell r="E162">
            <v>8.9821936928563648</v>
          </cell>
          <cell r="F162">
            <v>5.5291162905041817</v>
          </cell>
        </row>
        <row r="163">
          <cell r="D163">
            <v>37779</v>
          </cell>
          <cell r="E163">
            <v>8.9668862127236739</v>
          </cell>
          <cell r="F163">
            <v>5.7856140286806559</v>
          </cell>
        </row>
        <row r="164">
          <cell r="D164">
            <v>37780</v>
          </cell>
          <cell r="E164">
            <v>9.8524755779791757</v>
          </cell>
          <cell r="F164">
            <v>6.4221546179166547</v>
          </cell>
        </row>
        <row r="165">
          <cell r="D165">
            <v>37781</v>
          </cell>
          <cell r="E165">
            <v>10.324239118783563</v>
          </cell>
          <cell r="F165">
            <v>6.5900314269794356</v>
          </cell>
        </row>
        <row r="166">
          <cell r="D166">
            <v>37782</v>
          </cell>
          <cell r="E166">
            <v>10.063669365589265</v>
          </cell>
          <cell r="F166">
            <v>6.2759984835844351</v>
          </cell>
        </row>
        <row r="167">
          <cell r="D167">
            <v>37783</v>
          </cell>
          <cell r="E167">
            <v>9.5415117914477978</v>
          </cell>
          <cell r="F167">
            <v>5.2722794470549736</v>
          </cell>
        </row>
        <row r="168">
          <cell r="D168">
            <v>37784</v>
          </cell>
          <cell r="E168">
            <v>9.1020676296066352</v>
          </cell>
          <cell r="F168">
            <v>5.2207359834539666</v>
          </cell>
        </row>
        <row r="169">
          <cell r="D169">
            <v>37785</v>
          </cell>
          <cell r="E169">
            <v>8.9356817746052037</v>
          </cell>
          <cell r="F169">
            <v>5.3361522244772424</v>
          </cell>
        </row>
        <row r="170">
          <cell r="D170">
            <v>37786</v>
          </cell>
          <cell r="E170">
            <v>8.4005049821679236</v>
          </cell>
          <cell r="F170">
            <v>5.4155491294822209</v>
          </cell>
        </row>
        <row r="171">
          <cell r="D171">
            <v>37787</v>
          </cell>
          <cell r="E171">
            <v>8.3573603478294824</v>
          </cell>
          <cell r="F171">
            <v>5.281056910146166</v>
          </cell>
        </row>
        <row r="172">
          <cell r="D172">
            <v>37788</v>
          </cell>
          <cell r="E172">
            <v>7.7802186072424604</v>
          </cell>
          <cell r="F172">
            <v>4.5611904425477539</v>
          </cell>
        </row>
        <row r="173">
          <cell r="D173">
            <v>37789</v>
          </cell>
          <cell r="E173">
            <v>8.1076332815405401</v>
          </cell>
          <cell r="F173">
            <v>4.807708073655764</v>
          </cell>
        </row>
        <row r="174">
          <cell r="D174">
            <v>37790</v>
          </cell>
          <cell r="E174">
            <v>8.907553109361066</v>
          </cell>
          <cell r="F174">
            <v>5.3203474177530516</v>
          </cell>
        </row>
        <row r="175">
          <cell r="D175">
            <v>37791</v>
          </cell>
          <cell r="E175">
            <v>8.5433982642436472</v>
          </cell>
          <cell r="F175">
            <v>5.5250909312731693</v>
          </cell>
        </row>
        <row r="176">
          <cell r="D176">
            <v>37792</v>
          </cell>
          <cell r="E176">
            <v>8.9372068869570889</v>
          </cell>
          <cell r="F176">
            <v>5.9143812070290247</v>
          </cell>
        </row>
        <row r="177">
          <cell r="D177">
            <v>37793</v>
          </cell>
          <cell r="E177">
            <v>9.8856625953206301</v>
          </cell>
          <cell r="F177">
            <v>6.180197569327774</v>
          </cell>
        </row>
        <row r="178">
          <cell r="D178">
            <v>37794</v>
          </cell>
          <cell r="E178">
            <v>9.3709795880648823</v>
          </cell>
          <cell r="F178">
            <v>6.1555871313092885</v>
          </cell>
        </row>
        <row r="179">
          <cell r="D179">
            <v>37795</v>
          </cell>
          <cell r="E179">
            <v>9.2053938502569999</v>
          </cell>
          <cell r="F179">
            <v>6.0369496708335699</v>
          </cell>
        </row>
        <row r="180">
          <cell r="D180">
            <v>37796</v>
          </cell>
          <cell r="E180">
            <v>8.9072711011325865</v>
          </cell>
          <cell r="F180">
            <v>5.8784548998706869</v>
          </cell>
        </row>
        <row r="181">
          <cell r="D181">
            <v>37797</v>
          </cell>
          <cell r="E181">
            <v>8.5586324751928995</v>
          </cell>
          <cell r="F181">
            <v>5.7459824178781771</v>
          </cell>
        </row>
        <row r="182">
          <cell r="D182">
            <v>37798</v>
          </cell>
          <cell r="E182">
            <v>8.4739254758589801</v>
          </cell>
          <cell r="F182">
            <v>5.7949899415175121</v>
          </cell>
        </row>
        <row r="183">
          <cell r="D183">
            <v>37799</v>
          </cell>
          <cell r="E183">
            <v>9.3396733893012556</v>
          </cell>
          <cell r="F183">
            <v>5.8756462589044265</v>
          </cell>
        </row>
        <row r="184">
          <cell r="D184">
            <v>37800</v>
          </cell>
          <cell r="E184">
            <v>9.2440700568258762</v>
          </cell>
          <cell r="F184">
            <v>5.7771139419189206</v>
          </cell>
        </row>
        <row r="185">
          <cell r="D185">
            <v>37801</v>
          </cell>
          <cell r="E185">
            <v>9.2978202371409644</v>
          </cell>
          <cell r="F185">
            <v>6.0381505078049722</v>
          </cell>
        </row>
        <row r="186">
          <cell r="D186">
            <v>37802</v>
          </cell>
          <cell r="E186">
            <v>9.1749451037247969</v>
          </cell>
          <cell r="F186">
            <v>5.8696411369271848</v>
          </cell>
        </row>
        <row r="187">
          <cell r="D187">
            <v>37803</v>
          </cell>
          <cell r="E187">
            <v>8.8072868027896796</v>
          </cell>
          <cell r="F187">
            <v>5.9492925418747795</v>
          </cell>
        </row>
        <row r="188">
          <cell r="D188">
            <v>37804</v>
          </cell>
          <cell r="E188">
            <v>9.2912734388201326</v>
          </cell>
          <cell r="F188">
            <v>6.157801624966992</v>
          </cell>
        </row>
        <row r="189">
          <cell r="D189">
            <v>37805</v>
          </cell>
          <cell r="E189">
            <v>10.134003503731003</v>
          </cell>
          <cell r="F189">
            <v>6.1146508921075746</v>
          </cell>
        </row>
        <row r="190">
          <cell r="D190">
            <v>37806</v>
          </cell>
          <cell r="E190">
            <v>14.598107662631406</v>
          </cell>
          <cell r="F190">
            <v>6.3905565810424312</v>
          </cell>
        </row>
        <row r="191">
          <cell r="D191">
            <v>37807</v>
          </cell>
          <cell r="E191">
            <v>10.458978325376908</v>
          </cell>
          <cell r="F191">
            <v>6.0725395204430379</v>
          </cell>
        </row>
        <row r="192">
          <cell r="D192">
            <v>37808</v>
          </cell>
          <cell r="E192">
            <v>9.8823007260207785</v>
          </cell>
          <cell r="F192">
            <v>5.8778083146032358</v>
          </cell>
        </row>
        <row r="193">
          <cell r="D193">
            <v>37809</v>
          </cell>
          <cell r="E193">
            <v>9.0036400374714969</v>
          </cell>
          <cell r="F193">
            <v>5.6741768970809598</v>
          </cell>
        </row>
        <row r="194">
          <cell r="D194">
            <v>37810</v>
          </cell>
          <cell r="E194">
            <v>6.8928555367031583</v>
          </cell>
          <cell r="F194">
            <v>4.6702301522854857</v>
          </cell>
        </row>
        <row r="195">
          <cell r="D195">
            <v>37811</v>
          </cell>
          <cell r="E195">
            <v>6.740760433908414</v>
          </cell>
          <cell r="F195">
            <v>4.3686157681323863</v>
          </cell>
        </row>
        <row r="196">
          <cell r="D196">
            <v>37812</v>
          </cell>
          <cell r="E196">
            <v>7.739528127483748</v>
          </cell>
          <cell r="F196">
            <v>4.8934308794361572</v>
          </cell>
        </row>
        <row r="197">
          <cell r="D197">
            <v>37813</v>
          </cell>
          <cell r="E197">
            <v>7.9559754876764837</v>
          </cell>
          <cell r="F197">
            <v>4.9599080511817224</v>
          </cell>
        </row>
        <row r="198">
          <cell r="D198">
            <v>37814</v>
          </cell>
          <cell r="E198">
            <v>8.4550265035695507</v>
          </cell>
          <cell r="F198">
            <v>5.2439574456877178</v>
          </cell>
        </row>
        <row r="199">
          <cell r="D199">
            <v>37815</v>
          </cell>
          <cell r="E199">
            <v>8.099195056877754</v>
          </cell>
          <cell r="F199">
            <v>5.7100813124880743</v>
          </cell>
        </row>
        <row r="200">
          <cell r="D200">
            <v>37816</v>
          </cell>
          <cell r="E200">
            <v>7.8556735810333933</v>
          </cell>
          <cell r="F200">
            <v>5.6059353868580528</v>
          </cell>
        </row>
        <row r="201">
          <cell r="D201">
            <v>37817</v>
          </cell>
          <cell r="E201">
            <v>7.7534667802436488</v>
          </cell>
          <cell r="F201">
            <v>5.5543542227038634</v>
          </cell>
        </row>
        <row r="202">
          <cell r="D202">
            <v>37818</v>
          </cell>
          <cell r="E202">
            <v>7.0155180228253204</v>
          </cell>
          <cell r="F202">
            <v>5.0975625687782413</v>
          </cell>
        </row>
        <row r="203">
          <cell r="D203">
            <v>37819</v>
          </cell>
          <cell r="E203">
            <v>7.4040375567834689</v>
          </cell>
          <cell r="F203">
            <v>5.4161399533213288</v>
          </cell>
        </row>
        <row r="204">
          <cell r="D204">
            <v>37820</v>
          </cell>
          <cell r="E204">
            <v>7.6882254864882542</v>
          </cell>
          <cell r="F204">
            <v>5.7040779598195241</v>
          </cell>
        </row>
        <row r="205">
          <cell r="D205">
            <v>37821</v>
          </cell>
          <cell r="E205">
            <v>8.10364691581991</v>
          </cell>
          <cell r="F205">
            <v>6.353906176391023</v>
          </cell>
        </row>
        <row r="206">
          <cell r="D206">
            <v>37822</v>
          </cell>
          <cell r="E206">
            <v>7.631694505253324</v>
          </cell>
          <cell r="F206">
            <v>6.4519275379677614</v>
          </cell>
        </row>
        <row r="207">
          <cell r="D207">
            <v>37823</v>
          </cell>
          <cell r="E207">
            <v>7.5961873316792428</v>
          </cell>
          <cell r="F207">
            <v>6.3651531257563168</v>
          </cell>
        </row>
        <row r="208">
          <cell r="D208">
            <v>37824</v>
          </cell>
          <cell r="E208">
            <v>7.6693877101634387</v>
          </cell>
          <cell r="F208">
            <v>6.0823047132265788</v>
          </cell>
        </row>
        <row r="209">
          <cell r="D209">
            <v>37825</v>
          </cell>
          <cell r="E209">
            <v>8.2177124959175227</v>
          </cell>
          <cell r="F209">
            <v>6.0871543264361447</v>
          </cell>
        </row>
        <row r="210">
          <cell r="D210">
            <v>37826</v>
          </cell>
          <cell r="E210">
            <v>8.3707781210817664</v>
          </cell>
          <cell r="F210">
            <v>6.022298513132113</v>
          </cell>
        </row>
        <row r="211">
          <cell r="D211">
            <v>37827</v>
          </cell>
          <cell r="E211">
            <v>8.3994657872727618</v>
          </cell>
          <cell r="F211">
            <v>6.0558426939088985</v>
          </cell>
        </row>
        <row r="212">
          <cell r="D212">
            <v>37828</v>
          </cell>
          <cell r="E212">
            <v>8.3610697871694963</v>
          </cell>
          <cell r="F212">
            <v>6.1368288180866726</v>
          </cell>
        </row>
        <row r="213">
          <cell r="D213">
            <v>37829</v>
          </cell>
          <cell r="E213">
            <v>8.1875193038472425</v>
          </cell>
          <cell r="F213">
            <v>6.3660608704443336</v>
          </cell>
        </row>
        <row r="214">
          <cell r="D214">
            <v>37830</v>
          </cell>
          <cell r="E214">
            <v>7.1561912309102436</v>
          </cell>
          <cell r="F214">
            <v>6.2516638148576025</v>
          </cell>
        </row>
        <row r="215">
          <cell r="D215">
            <v>37831</v>
          </cell>
          <cell r="E215">
            <v>7.2886583001525311</v>
          </cell>
          <cell r="F215">
            <v>6.1568312859507621</v>
          </cell>
        </row>
        <row r="216">
          <cell r="D216">
            <v>37832</v>
          </cell>
          <cell r="E216">
            <v>8.1098198401845156</v>
          </cell>
          <cell r="F216">
            <v>6.3990786134782764</v>
          </cell>
        </row>
        <row r="217">
          <cell r="D217">
            <v>37833</v>
          </cell>
          <cell r="E217">
            <v>8.5999668988916618</v>
          </cell>
          <cell r="F217">
            <v>6.5090161468695715</v>
          </cell>
        </row>
        <row r="218">
          <cell r="D218">
            <v>37834</v>
          </cell>
          <cell r="E218">
            <v>9.1453556575984862</v>
          </cell>
          <cell r="F218">
            <v>6.6769300333465695</v>
          </cell>
        </row>
        <row r="219">
          <cell r="D219">
            <v>37835</v>
          </cell>
          <cell r="E219">
            <v>8.5527768461240665</v>
          </cell>
          <cell r="F219">
            <v>6.33502058275044</v>
          </cell>
        </row>
        <row r="220">
          <cell r="D220">
            <v>37836</v>
          </cell>
          <cell r="E220">
            <v>7.6592890299028822</v>
          </cell>
          <cell r="F220">
            <v>6.3869249774350063</v>
          </cell>
        </row>
        <row r="221">
          <cell r="D221">
            <v>37837</v>
          </cell>
          <cell r="E221">
            <v>7.6775830979148543</v>
          </cell>
          <cell r="F221">
            <v>6.6529468808461116</v>
          </cell>
        </row>
        <row r="222">
          <cell r="D222">
            <v>37838</v>
          </cell>
          <cell r="E222">
            <v>7.7525799513277081</v>
          </cell>
          <cell r="F222">
            <v>6.5592750092899355</v>
          </cell>
        </row>
        <row r="223">
          <cell r="D223">
            <v>37839</v>
          </cell>
          <cell r="E223">
            <v>8.6105335512922867</v>
          </cell>
          <cell r="F223">
            <v>6.2506871251182421</v>
          </cell>
        </row>
        <row r="224">
          <cell r="D224">
            <v>37840</v>
          </cell>
          <cell r="E224">
            <v>8.4143891087008846</v>
          </cell>
          <cell r="F224">
            <v>6.2882847048204251</v>
          </cell>
        </row>
        <row r="225">
          <cell r="D225">
            <v>37841</v>
          </cell>
          <cell r="E225">
            <v>8.9790130713471665</v>
          </cell>
          <cell r="F225">
            <v>6.199678819267838</v>
          </cell>
        </row>
        <row r="226">
          <cell r="D226">
            <v>37842</v>
          </cell>
          <cell r="E226">
            <v>8.3776549135921172</v>
          </cell>
          <cell r="F226">
            <v>6.2186284438465478</v>
          </cell>
        </row>
        <row r="227">
          <cell r="D227">
            <v>37843</v>
          </cell>
          <cell r="E227">
            <v>7.9703516549258318</v>
          </cell>
          <cell r="F227">
            <v>6.7483936125067645</v>
          </cell>
        </row>
        <row r="228">
          <cell r="D228">
            <v>37844</v>
          </cell>
          <cell r="E228">
            <v>7.9709241204515653</v>
          </cell>
          <cell r="F228">
            <v>7.0414043738472243</v>
          </cell>
        </row>
        <row r="229">
          <cell r="D229">
            <v>37845</v>
          </cell>
          <cell r="E229">
            <v>8.2583383461943374</v>
          </cell>
          <cell r="F229">
            <v>6.8880215938030567</v>
          </cell>
        </row>
        <row r="230">
          <cell r="D230">
            <v>37846</v>
          </cell>
          <cell r="E230">
            <v>9.0391238273017933</v>
          </cell>
          <cell r="F230">
            <v>6.9535132523212164</v>
          </cell>
        </row>
        <row r="231">
          <cell r="D231">
            <v>37847</v>
          </cell>
          <cell r="E231">
            <v>10.034594619826034</v>
          </cell>
          <cell r="F231">
            <v>6.8386987058100877</v>
          </cell>
        </row>
        <row r="232">
          <cell r="D232">
            <v>37848</v>
          </cell>
          <cell r="E232">
            <v>9.5384725280106064</v>
          </cell>
          <cell r="F232">
            <v>6.567316053504193</v>
          </cell>
        </row>
        <row r="233">
          <cell r="D233">
            <v>37849</v>
          </cell>
          <cell r="E233">
            <v>9.6400898256235656</v>
          </cell>
          <cell r="F233">
            <v>6.7212441110500585</v>
          </cell>
        </row>
        <row r="234">
          <cell r="D234">
            <v>37850</v>
          </cell>
          <cell r="E234">
            <v>8.936324124148598</v>
          </cell>
          <cell r="F234">
            <v>6.8031623700978576</v>
          </cell>
        </row>
        <row r="235">
          <cell r="D235">
            <v>37851</v>
          </cell>
          <cell r="E235">
            <v>8.4600046721597515</v>
          </cell>
          <cell r="F235">
            <v>6.7937481962282344</v>
          </cell>
        </row>
        <row r="236">
          <cell r="D236">
            <v>37852</v>
          </cell>
          <cell r="E236">
            <v>8.2774581783899546</v>
          </cell>
          <cell r="F236">
            <v>6.4174903012398214</v>
          </cell>
        </row>
        <row r="237">
          <cell r="D237">
            <v>37853</v>
          </cell>
          <cell r="E237">
            <v>9.3013861944554037</v>
          </cell>
          <cell r="F237">
            <v>6.099870895718535</v>
          </cell>
        </row>
        <row r="238">
          <cell r="D238">
            <v>37854</v>
          </cell>
          <cell r="E238">
            <v>9.0958694164675702</v>
          </cell>
          <cell r="F238">
            <v>5.940475937682721</v>
          </cell>
        </row>
        <row r="239">
          <cell r="D239">
            <v>37855</v>
          </cell>
          <cell r="E239">
            <v>8.1641905229676652</v>
          </cell>
          <cell r="F239">
            <v>5.6749943840558883</v>
          </cell>
        </row>
        <row r="240">
          <cell r="D240">
            <v>37856</v>
          </cell>
          <cell r="E240">
            <v>7.61451195889601</v>
          </cell>
          <cell r="F240">
            <v>5.6662030873889169</v>
          </cell>
        </row>
        <row r="241">
          <cell r="D241">
            <v>37857</v>
          </cell>
          <cell r="E241">
            <v>7.635795520604761</v>
          </cell>
          <cell r="F241">
            <v>5.9166794174109345</v>
          </cell>
        </row>
        <row r="242">
          <cell r="D242">
            <v>37858</v>
          </cell>
          <cell r="E242">
            <v>7.1783271920901761</v>
          </cell>
          <cell r="F242">
            <v>6.1905993815649438</v>
          </cell>
        </row>
        <row r="243">
          <cell r="D243">
            <v>37859</v>
          </cell>
          <cell r="E243">
            <v>7.7135384586398246</v>
          </cell>
          <cell r="F243">
            <v>6.6265184621706057</v>
          </cell>
        </row>
        <row r="244">
          <cell r="D244">
            <v>37860</v>
          </cell>
          <cell r="E244">
            <v>9.0384969911641537</v>
          </cell>
          <cell r="F244">
            <v>6.9068037014868526</v>
          </cell>
        </row>
        <row r="245">
          <cell r="D245">
            <v>37861</v>
          </cell>
          <cell r="E245">
            <v>9.371332191758686</v>
          </cell>
          <cell r="F245">
            <v>6.8135033261582807</v>
          </cell>
        </row>
        <row r="246">
          <cell r="D246">
            <v>37862</v>
          </cell>
          <cell r="E246">
            <v>9.0260607504182389</v>
          </cell>
          <cell r="F246">
            <v>6.61510720199181</v>
          </cell>
        </row>
        <row r="247">
          <cell r="D247">
            <v>37863</v>
          </cell>
          <cell r="E247">
            <v>9.1222838822890218</v>
          </cell>
          <cell r="F247">
            <v>6.477310369508686</v>
          </cell>
        </row>
        <row r="248">
          <cell r="D248">
            <v>37864</v>
          </cell>
          <cell r="E248">
            <v>8.5182033935354813</v>
          </cell>
          <cell r="F248">
            <v>6.2867392134197333</v>
          </cell>
        </row>
        <row r="249">
          <cell r="D249">
            <v>37865</v>
          </cell>
          <cell r="E249">
            <v>7.9312485580367067</v>
          </cell>
          <cell r="F249">
            <v>6.4369717465920582</v>
          </cell>
        </row>
        <row r="250">
          <cell r="D250">
            <v>37866</v>
          </cell>
          <cell r="E250">
            <v>7.0697990490468561</v>
          </cell>
          <cell r="F250">
            <v>8.2695164492422784</v>
          </cell>
        </row>
        <row r="251">
          <cell r="D251">
            <v>37867</v>
          </cell>
          <cell r="E251">
            <v>7.680984016408523</v>
          </cell>
          <cell r="F251">
            <v>9.4006269619420717</v>
          </cell>
        </row>
        <row r="252">
          <cell r="D252">
            <v>37868</v>
          </cell>
          <cell r="E252">
            <v>9.1012282505079547</v>
          </cell>
          <cell r="F252">
            <v>8.6138283400071991</v>
          </cell>
        </row>
        <row r="253">
          <cell r="D253">
            <v>37869</v>
          </cell>
          <cell r="E253">
            <v>9.4326123504175072</v>
          </cell>
          <cell r="F253">
            <v>6.8989745676655456</v>
          </cell>
        </row>
        <row r="254">
          <cell r="D254">
            <v>37870</v>
          </cell>
          <cell r="E254">
            <v>8.5244836545376863</v>
          </cell>
          <cell r="F254">
            <v>6.3847084542391475</v>
          </cell>
        </row>
        <row r="255">
          <cell r="D255">
            <v>37871</v>
          </cell>
          <cell r="E255">
            <v>7.1785356377561884</v>
          </cell>
          <cell r="F255">
            <v>5.5787620981534323</v>
          </cell>
        </row>
        <row r="256">
          <cell r="D256">
            <v>37872</v>
          </cell>
          <cell r="E256">
            <v>6.5641562030409224</v>
          </cell>
          <cell r="F256">
            <v>5.2986430439408183</v>
          </cell>
        </row>
        <row r="257">
          <cell r="D257">
            <v>37873</v>
          </cell>
          <cell r="E257">
            <v>7.6591716081869823</v>
          </cell>
          <cell r="F257">
            <v>5.8094103693272228</v>
          </cell>
        </row>
        <row r="258">
          <cell r="D258">
            <v>37874</v>
          </cell>
          <cell r="E258">
            <v>8.2351318393592479</v>
          </cell>
          <cell r="F258">
            <v>5.8808557003046626</v>
          </cell>
        </row>
        <row r="259">
          <cell r="D259">
            <v>37875</v>
          </cell>
          <cell r="E259">
            <v>8.842964042116094</v>
          </cell>
          <cell r="F259">
            <v>6.6177361019645575</v>
          </cell>
        </row>
        <row r="260">
          <cell r="D260">
            <v>37876</v>
          </cell>
          <cell r="E260">
            <v>9.5970717357540565</v>
          </cell>
          <cell r="F260">
            <v>6.9936711013179131</v>
          </cell>
        </row>
        <row r="261">
          <cell r="D261">
            <v>37877</v>
          </cell>
          <cell r="E261">
            <v>10.02992360693989</v>
          </cell>
          <cell r="F261">
            <v>7.3451433023368873</v>
          </cell>
        </row>
        <row r="262">
          <cell r="D262">
            <v>37878</v>
          </cell>
          <cell r="E262">
            <v>9.5570264874785043</v>
          </cell>
          <cell r="F262">
            <v>7.3718403757308364</v>
          </cell>
        </row>
        <row r="263">
          <cell r="D263">
            <v>37879</v>
          </cell>
          <cell r="E263">
            <v>9.4603992568673902</v>
          </cell>
          <cell r="F263">
            <v>7.3191530349905847</v>
          </cell>
        </row>
        <row r="264">
          <cell r="D264">
            <v>37880</v>
          </cell>
          <cell r="E264">
            <v>9.6263367486386393</v>
          </cell>
          <cell r="F264">
            <v>7.1155619270713242</v>
          </cell>
        </row>
        <row r="265">
          <cell r="D265">
            <v>37881</v>
          </cell>
          <cell r="E265">
            <v>10.996229794262735</v>
          </cell>
          <cell r="F265">
            <v>7.3183458874071086</v>
          </cell>
        </row>
        <row r="266">
          <cell r="D266">
            <v>37882</v>
          </cell>
          <cell r="E266">
            <v>10.275184276203314</v>
          </cell>
          <cell r="F266">
            <v>7.1083343693917547</v>
          </cell>
        </row>
        <row r="267">
          <cell r="D267">
            <v>37883</v>
          </cell>
          <cell r="E267">
            <v>9.0429880657957664</v>
          </cell>
          <cell r="F267">
            <v>6.6227976457664264</v>
          </cell>
        </row>
        <row r="268">
          <cell r="D268">
            <v>37884</v>
          </cell>
          <cell r="E268">
            <v>8.6656781622657064</v>
          </cell>
          <cell r="F268">
            <v>6.7079782375720916</v>
          </cell>
        </row>
        <row r="269">
          <cell r="D269">
            <v>37885</v>
          </cell>
          <cell r="E269">
            <v>8.8681696111129398</v>
          </cell>
          <cell r="F269">
            <v>6.8953127118448414</v>
          </cell>
        </row>
        <row r="270">
          <cell r="D270">
            <v>37886</v>
          </cell>
          <cell r="E270">
            <v>8.9047110888141177</v>
          </cell>
          <cell r="F270">
            <v>7.1274868430638758</v>
          </cell>
        </row>
        <row r="271">
          <cell r="D271">
            <v>37887</v>
          </cell>
          <cell r="E271">
            <v>9.1534764646104083</v>
          </cell>
          <cell r="F271">
            <v>7.2095077728921613</v>
          </cell>
        </row>
        <row r="272">
          <cell r="D272">
            <v>37888</v>
          </cell>
          <cell r="E272">
            <v>9.5234720498599383</v>
          </cell>
          <cell r="F272">
            <v>6.9904819465483783</v>
          </cell>
        </row>
        <row r="273">
          <cell r="D273">
            <v>37889</v>
          </cell>
          <cell r="E273">
            <v>10.333243561646453</v>
          </cell>
          <cell r="F273">
            <v>7.337873160176807</v>
          </cell>
        </row>
        <row r="274">
          <cell r="D274">
            <v>37890</v>
          </cell>
          <cell r="E274">
            <v>10.285257084502113</v>
          </cell>
          <cell r="F274">
            <v>7.3928497838063372</v>
          </cell>
        </row>
        <row r="275">
          <cell r="D275">
            <v>37891</v>
          </cell>
          <cell r="E275">
            <v>10.24474072660561</v>
          </cell>
          <cell r="F275">
            <v>6.9411161313040388</v>
          </cell>
        </row>
        <row r="276">
          <cell r="D276">
            <v>37892</v>
          </cell>
          <cell r="E276">
            <v>9.4367960669817741</v>
          </cell>
          <cell r="F276">
            <v>6.2678137820876305</v>
          </cell>
        </row>
        <row r="277">
          <cell r="D277">
            <v>37893</v>
          </cell>
          <cell r="E277">
            <v>9.3364900981110548</v>
          </cell>
          <cell r="F277">
            <v>6.2397517018985971</v>
          </cell>
        </row>
        <row r="278">
          <cell r="D278">
            <v>37894</v>
          </cell>
          <cell r="E278">
            <v>10.359980115708378</v>
          </cell>
          <cell r="F278">
            <v>7.2284924514453719</v>
          </cell>
        </row>
        <row r="279">
          <cell r="D279">
            <v>37895</v>
          </cell>
          <cell r="E279">
            <v>10.282833986701789</v>
          </cell>
          <cell r="F279">
            <v>7.0887713683838092</v>
          </cell>
        </row>
        <row r="280">
          <cell r="D280">
            <v>37896</v>
          </cell>
          <cell r="E280">
            <v>9.832184288374803</v>
          </cell>
          <cell r="F280">
            <v>7.1581549945942777</v>
          </cell>
        </row>
        <row r="281">
          <cell r="D281">
            <v>37897</v>
          </cell>
          <cell r="E281">
            <v>10.489292255651067</v>
          </cell>
          <cell r="F281">
            <v>7.4065825215230383</v>
          </cell>
        </row>
        <row r="282">
          <cell r="D282">
            <v>37898</v>
          </cell>
          <cell r="E282">
            <v>10.724907264709472</v>
          </cell>
          <cell r="F282">
            <v>7.4845343276444405</v>
          </cell>
        </row>
        <row r="283">
          <cell r="D283">
            <v>37899</v>
          </cell>
          <cell r="E283">
            <v>10.980452591898265</v>
          </cell>
          <cell r="F283">
            <v>7.5284467211752029</v>
          </cell>
        </row>
        <row r="284">
          <cell r="D284">
            <v>37900</v>
          </cell>
          <cell r="E284">
            <v>10.954672205586125</v>
          </cell>
          <cell r="F284">
            <v>7.66514304149206</v>
          </cell>
        </row>
        <row r="285">
          <cell r="D285">
            <v>37901</v>
          </cell>
          <cell r="E285">
            <v>10.853442852226673</v>
          </cell>
          <cell r="F285">
            <v>7.556941219750378</v>
          </cell>
        </row>
        <row r="286">
          <cell r="D286">
            <v>37902</v>
          </cell>
          <cell r="E286">
            <v>10.257434741186875</v>
          </cell>
          <cell r="F286">
            <v>7.2398290061978274</v>
          </cell>
        </row>
        <row r="287">
          <cell r="D287">
            <v>37903</v>
          </cell>
          <cell r="E287">
            <v>10.453738594275933</v>
          </cell>
          <cell r="F287">
            <v>7.1533515242376815</v>
          </cell>
        </row>
        <row r="288">
          <cell r="D288">
            <v>37904</v>
          </cell>
          <cell r="E288">
            <v>8.9462904701354322</v>
          </cell>
          <cell r="F288">
            <v>6.6696989093665726</v>
          </cell>
        </row>
        <row r="289">
          <cell r="D289">
            <v>37905</v>
          </cell>
          <cell r="E289">
            <v>10.577596273173889</v>
          </cell>
          <cell r="F289">
            <v>7.2577333512819475</v>
          </cell>
        </row>
        <row r="290">
          <cell r="D290">
            <v>37906</v>
          </cell>
          <cell r="E290">
            <v>11.194669485036973</v>
          </cell>
          <cell r="F290">
            <v>7.8604005305027522</v>
          </cell>
        </row>
        <row r="291">
          <cell r="D291">
            <v>37907</v>
          </cell>
          <cell r="E291">
            <v>11.402520645437416</v>
          </cell>
          <cell r="F291">
            <v>8.0272451918710157</v>
          </cell>
        </row>
        <row r="292">
          <cell r="D292">
            <v>37908</v>
          </cell>
          <cell r="E292">
            <v>11.264731042142268</v>
          </cell>
          <cell r="F292">
            <v>8.0876047276512342</v>
          </cell>
        </row>
        <row r="293">
          <cell r="D293">
            <v>37909</v>
          </cell>
          <cell r="E293">
            <v>11.162061328385715</v>
          </cell>
          <cell r="F293">
            <v>8.1921276800610396</v>
          </cell>
        </row>
        <row r="294">
          <cell r="D294">
            <v>37910</v>
          </cell>
          <cell r="E294">
            <v>11.545074390840751</v>
          </cell>
          <cell r="F294">
            <v>8.3644318706183522</v>
          </cell>
        </row>
        <row r="295">
          <cell r="D295">
            <v>37911</v>
          </cell>
          <cell r="E295">
            <v>11.440887360605929</v>
          </cell>
          <cell r="F295">
            <v>8.1490609458475198</v>
          </cell>
        </row>
        <row r="296">
          <cell r="D296">
            <v>37912</v>
          </cell>
          <cell r="E296">
            <v>10.81797767640264</v>
          </cell>
          <cell r="F296">
            <v>8.0142655528253979</v>
          </cell>
        </row>
        <row r="297">
          <cell r="D297">
            <v>37913</v>
          </cell>
          <cell r="E297">
            <v>10.23722298597848</v>
          </cell>
          <cell r="F297">
            <v>7.8794539299276138</v>
          </cell>
        </row>
        <row r="298">
          <cell r="D298">
            <v>37914</v>
          </cell>
          <cell r="E298">
            <v>10.197771587415978</v>
          </cell>
          <cell r="F298">
            <v>8.0569027741474137</v>
          </cell>
        </row>
        <row r="299">
          <cell r="D299">
            <v>37915</v>
          </cell>
          <cell r="E299">
            <v>10.272259706313964</v>
          </cell>
          <cell r="F299">
            <v>8.197131319399233</v>
          </cell>
        </row>
        <row r="300">
          <cell r="D300">
            <v>37916</v>
          </cell>
          <cell r="E300">
            <v>10.432094719619663</v>
          </cell>
          <cell r="F300">
            <v>8.2008024575533689</v>
          </cell>
        </row>
        <row r="301">
          <cell r="D301">
            <v>37917</v>
          </cell>
          <cell r="E301">
            <v>10.669903245043976</v>
          </cell>
          <cell r="F301">
            <v>8.2229295819169952</v>
          </cell>
        </row>
        <row r="302">
          <cell r="D302">
            <v>37918</v>
          </cell>
          <cell r="E302">
            <v>10.757874158433189</v>
          </cell>
          <cell r="F302">
            <v>8.2743799925264376</v>
          </cell>
        </row>
        <row r="303">
          <cell r="D303">
            <v>37919</v>
          </cell>
          <cell r="E303">
            <v>10.406774314194918</v>
          </cell>
          <cell r="F303">
            <v>7.9864630520730104</v>
          </cell>
        </row>
        <row r="304">
          <cell r="D304">
            <v>37920</v>
          </cell>
          <cell r="E304">
            <v>8.9216131930273992</v>
          </cell>
          <cell r="F304">
            <v>7.6373245089694306</v>
          </cell>
        </row>
        <row r="305">
          <cell r="D305">
            <v>37921</v>
          </cell>
          <cell r="E305">
            <v>8.6821516239532723</v>
          </cell>
          <cell r="F305">
            <v>7.6272737415438447</v>
          </cell>
        </row>
        <row r="306">
          <cell r="D306">
            <v>37922</v>
          </cell>
          <cell r="E306">
            <v>9.268282034220519</v>
          </cell>
          <cell r="F306">
            <v>8.0310758482526854</v>
          </cell>
        </row>
        <row r="307">
          <cell r="D307">
            <v>37923</v>
          </cell>
          <cell r="E307">
            <v>10.019605993473972</v>
          </cell>
          <cell r="F307">
            <v>8.3530799676477905</v>
          </cell>
        </row>
        <row r="308">
          <cell r="D308">
            <v>37924</v>
          </cell>
          <cell r="E308">
            <v>10.816760290358905</v>
          </cell>
          <cell r="F308">
            <v>8.5654738706571081</v>
          </cell>
        </row>
        <row r="309">
          <cell r="D309">
            <v>37925</v>
          </cell>
          <cell r="E309">
            <v>10.97298279054187</v>
          </cell>
          <cell r="F309">
            <v>8.5271023901800316</v>
          </cell>
        </row>
        <row r="310">
          <cell r="D310">
            <v>37926</v>
          </cell>
          <cell r="E310">
            <v>10.750174735486507</v>
          </cell>
          <cell r="F310">
            <v>8.3097859400290037</v>
          </cell>
        </row>
        <row r="311">
          <cell r="D311">
            <v>37927</v>
          </cell>
          <cell r="E311">
            <v>10.290393060694138</v>
          </cell>
          <cell r="F311">
            <v>8.1156005574045356</v>
          </cell>
        </row>
        <row r="312">
          <cell r="D312">
            <v>37928</v>
          </cell>
          <cell r="E312">
            <v>10.052092726114724</v>
          </cell>
          <cell r="F312">
            <v>8.0938197637597717</v>
          </cell>
        </row>
        <row r="313">
          <cell r="D313">
            <v>37929</v>
          </cell>
          <cell r="E313">
            <v>9.7992793324093022</v>
          </cell>
          <cell r="F313">
            <v>7.9056740712788374</v>
          </cell>
        </row>
        <row r="314">
          <cell r="D314">
            <v>37930</v>
          </cell>
          <cell r="E314">
            <v>10.809087339926648</v>
          </cell>
          <cell r="F314">
            <v>7.8823516762091055</v>
          </cell>
        </row>
        <row r="315">
          <cell r="D315">
            <v>37931</v>
          </cell>
          <cell r="E315">
            <v>11.40450868729088</v>
          </cell>
          <cell r="F315">
            <v>8.3049705927570656</v>
          </cell>
        </row>
        <row r="316">
          <cell r="D316">
            <v>37932</v>
          </cell>
          <cell r="E316">
            <v>10.622087017943462</v>
          </cell>
          <cell r="F316">
            <v>8.5748226728152339</v>
          </cell>
        </row>
        <row r="317">
          <cell r="D317">
            <v>37933</v>
          </cell>
          <cell r="E317">
            <v>9.6664403826550203</v>
          </cell>
          <cell r="F317">
            <v>8.4958783291556212</v>
          </cell>
        </row>
        <row r="318">
          <cell r="D318">
            <v>37934</v>
          </cell>
          <cell r="E318">
            <v>9.9522894377509754</v>
          </cell>
          <cell r="F318">
            <v>8.4283993302947948</v>
          </cell>
        </row>
        <row r="319">
          <cell r="D319">
            <v>37935</v>
          </cell>
          <cell r="E319">
            <v>10.154357763490191</v>
          </cell>
          <cell r="F319">
            <v>8.4275690812755517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D99"/>
  <sheetViews>
    <sheetView showGridLines="0" tabSelected="1" zoomScale="55" zoomScaleNormal="55" workbookViewId="0">
      <selection activeCell="H124" sqref="H124"/>
    </sheetView>
  </sheetViews>
  <sheetFormatPr defaultColWidth="11.42578125" defaultRowHeight="11.25"/>
  <cols>
    <col min="1" max="2" width="11.42578125" style="162" customWidth="1"/>
    <col min="3" max="3" width="7.42578125" style="162" customWidth="1"/>
    <col min="4" max="4" width="9.85546875" style="162" customWidth="1"/>
    <col min="5" max="6" width="11.42578125" style="162"/>
    <col min="7" max="7" width="10" style="163" customWidth="1"/>
    <col min="8" max="8" width="7.5703125" style="163" customWidth="1"/>
    <col min="9" max="9" width="11.85546875" style="163" bestFit="1" customWidth="1"/>
    <col min="10" max="10" width="6.140625" style="162" customWidth="1"/>
    <col min="11" max="11" width="8.7109375" style="162" customWidth="1"/>
    <col min="12" max="12" width="8.140625" style="162" customWidth="1"/>
    <col min="13" max="13" width="6.7109375" style="162" customWidth="1"/>
    <col min="14" max="14" width="10.7109375" style="162" customWidth="1"/>
    <col min="15" max="15" width="8.28515625" style="162" customWidth="1"/>
    <col min="16" max="16" width="8.42578125" style="162" customWidth="1"/>
    <col min="17" max="17" width="9.5703125" style="162" customWidth="1"/>
    <col min="18" max="18" width="8.28515625" style="162" bestFit="1" customWidth="1"/>
    <col min="19" max="32" width="11.42578125" style="162" hidden="1" customWidth="1"/>
    <col min="33" max="33" width="11.42578125" style="162"/>
    <col min="34" max="34" width="8.85546875" style="162" customWidth="1"/>
    <col min="35" max="35" width="7.42578125" style="162" bestFit="1" customWidth="1"/>
    <col min="36" max="36" width="7.85546875" style="162" bestFit="1" customWidth="1"/>
    <col min="37" max="37" width="6.7109375" style="162" customWidth="1"/>
    <col min="38" max="38" width="8.85546875" style="162" customWidth="1"/>
    <col min="39" max="39" width="11.5703125" style="162" customWidth="1"/>
    <col min="40" max="46" width="11.42578125" style="163"/>
    <col min="47" max="47" width="15.5703125" style="163" hidden="1" customWidth="1"/>
    <col min="48" max="50" width="11.42578125" style="163"/>
    <col min="51" max="16384" width="11.42578125" style="162"/>
  </cols>
  <sheetData>
    <row r="1" spans="4:42" ht="15" customHeight="1"/>
    <row r="2" spans="4:42" ht="15" customHeight="1">
      <c r="D2" s="231" t="s">
        <v>0</v>
      </c>
      <c r="E2" s="232"/>
      <c r="F2" s="232"/>
      <c r="G2" s="233"/>
      <c r="I2" s="231" t="s">
        <v>1</v>
      </c>
      <c r="J2" s="232"/>
      <c r="K2" s="232"/>
      <c r="L2" s="233"/>
      <c r="M2" s="205"/>
      <c r="N2" s="234" t="s">
        <v>2</v>
      </c>
      <c r="O2" s="234"/>
      <c r="P2" s="234"/>
      <c r="Q2" s="234"/>
    </row>
    <row r="3" spans="4:42" ht="15" customHeight="1">
      <c r="D3" s="235" t="s">
        <v>3</v>
      </c>
      <c r="E3" s="235"/>
      <c r="F3" s="206">
        <f>F4/3.6</f>
        <v>858.33333333333326</v>
      </c>
      <c r="G3" s="206" t="s">
        <v>4</v>
      </c>
      <c r="I3" s="236" t="s">
        <v>5</v>
      </c>
      <c r="J3" s="237"/>
      <c r="K3" s="164">
        <f>E28</f>
        <v>818</v>
      </c>
      <c r="L3" s="183" t="s">
        <v>6</v>
      </c>
      <c r="M3" s="207"/>
      <c r="N3" s="238" t="s">
        <v>7</v>
      </c>
      <c r="O3" s="238"/>
      <c r="P3" s="206">
        <v>2</v>
      </c>
      <c r="Q3" s="183" t="s">
        <v>8</v>
      </c>
    </row>
    <row r="4" spans="4:42" ht="15" customHeight="1">
      <c r="D4" s="235"/>
      <c r="E4" s="235"/>
      <c r="F4" s="208">
        <f>H28</f>
        <v>3090</v>
      </c>
      <c r="G4" s="208" t="s">
        <v>9</v>
      </c>
      <c r="I4" s="236" t="s">
        <v>10</v>
      </c>
      <c r="J4" s="237"/>
      <c r="K4" s="164">
        <f>MAX(E28:E47)</f>
        <v>818</v>
      </c>
      <c r="L4" s="183" t="s">
        <v>6</v>
      </c>
      <c r="M4" s="207"/>
      <c r="N4" s="238" t="s">
        <v>11</v>
      </c>
      <c r="O4" s="238"/>
      <c r="P4" s="206" t="s">
        <v>12</v>
      </c>
      <c r="Q4" s="183"/>
    </row>
    <row r="5" spans="4:42" ht="15" customHeight="1">
      <c r="D5" s="239" t="s">
        <v>13</v>
      </c>
      <c r="E5" s="239"/>
      <c r="F5" s="164">
        <f>MAX(E28:E43)</f>
        <v>818</v>
      </c>
      <c r="G5" s="183" t="s">
        <v>6</v>
      </c>
      <c r="I5" s="236" t="s">
        <v>14</v>
      </c>
      <c r="J5" s="237"/>
      <c r="K5" s="164">
        <f>K4-K3</f>
        <v>0</v>
      </c>
      <c r="L5" s="183" t="s">
        <v>15</v>
      </c>
      <c r="M5" s="207"/>
      <c r="N5" s="238" t="s">
        <v>16</v>
      </c>
      <c r="O5" s="238"/>
      <c r="P5" s="164">
        <f>F4/3.6</f>
        <v>858.33333333333326</v>
      </c>
      <c r="Q5" s="206" t="s">
        <v>4</v>
      </c>
    </row>
    <row r="6" spans="4:42" ht="15" customHeight="1">
      <c r="D6" s="240" t="s">
        <v>17</v>
      </c>
      <c r="E6" s="241"/>
      <c r="F6" s="209">
        <v>0</v>
      </c>
      <c r="G6" s="206" t="s">
        <v>18</v>
      </c>
      <c r="I6" s="236" t="s">
        <v>19</v>
      </c>
      <c r="J6" s="237"/>
      <c r="K6" s="165">
        <f>SUM(AJ28:AJ47)</f>
        <v>4.2928059546920618</v>
      </c>
      <c r="L6" s="183" t="s">
        <v>15</v>
      </c>
      <c r="M6" s="207"/>
      <c r="N6" s="238" t="s">
        <v>20</v>
      </c>
      <c r="O6" s="238"/>
      <c r="P6" s="165">
        <f>P5/P3</f>
        <v>429.16666666666663</v>
      </c>
      <c r="Q6" s="206" t="s">
        <v>4</v>
      </c>
    </row>
    <row r="7" spans="4:42" ht="15" customHeight="1">
      <c r="D7" s="240" t="s">
        <v>21</v>
      </c>
      <c r="E7" s="241"/>
      <c r="F7" s="209">
        <v>0</v>
      </c>
      <c r="G7" s="206" t="s">
        <v>18</v>
      </c>
      <c r="I7" s="166" t="s">
        <v>22</v>
      </c>
      <c r="J7" s="167"/>
      <c r="K7" s="168">
        <v>0</v>
      </c>
      <c r="L7" s="183" t="s">
        <v>15</v>
      </c>
      <c r="M7" s="207"/>
      <c r="N7" s="238" t="s">
        <v>23</v>
      </c>
      <c r="O7" s="238"/>
      <c r="P7" s="164">
        <f>K12</f>
        <v>4.7220865501612677</v>
      </c>
      <c r="Q7" s="183" t="s">
        <v>15</v>
      </c>
      <c r="AG7" s="162" t="s">
        <v>24</v>
      </c>
    </row>
    <row r="8" spans="4:42" ht="15" customHeight="1">
      <c r="D8" s="240" t="s">
        <v>25</v>
      </c>
      <c r="E8" s="241"/>
      <c r="F8" s="164">
        <f>'Propiedades Agua'!B2</f>
        <v>15</v>
      </c>
      <c r="G8" s="183" t="s">
        <v>26</v>
      </c>
      <c r="I8" s="166" t="s">
        <v>27</v>
      </c>
      <c r="J8" s="167"/>
      <c r="K8" s="168">
        <f>K5+K6</f>
        <v>4.2928059546920618</v>
      </c>
      <c r="L8" s="183" t="s">
        <v>15</v>
      </c>
      <c r="M8" s="207"/>
      <c r="N8" s="238" t="s">
        <v>28</v>
      </c>
      <c r="O8" s="238"/>
      <c r="P8" s="206">
        <v>2850</v>
      </c>
      <c r="Q8" s="206" t="s">
        <v>29</v>
      </c>
      <c r="AG8" s="169">
        <f>F22</f>
        <v>1.2274560198519964</v>
      </c>
    </row>
    <row r="9" spans="4:42" ht="15" customHeight="1">
      <c r="D9" s="240" t="s">
        <v>24</v>
      </c>
      <c r="E9" s="241"/>
      <c r="F9" s="210">
        <f>'Propiedades Agua'!B3/1000</f>
        <v>0.99901740418239282</v>
      </c>
      <c r="G9" s="208" t="s">
        <v>30</v>
      </c>
      <c r="I9" s="166" t="s">
        <v>31</v>
      </c>
      <c r="J9" s="167"/>
      <c r="K9" s="165">
        <f>AM28-E28</f>
        <v>-3.7631368033657964E-2</v>
      </c>
      <c r="L9" s="183" t="s">
        <v>15</v>
      </c>
      <c r="M9" s="207"/>
      <c r="N9" s="238" t="s">
        <v>32</v>
      </c>
      <c r="O9" s="238"/>
      <c r="P9" s="206">
        <v>95</v>
      </c>
      <c r="Q9" s="206" t="s">
        <v>33</v>
      </c>
    </row>
    <row r="10" spans="4:42" ht="15" customHeight="1">
      <c r="D10" s="239" t="s">
        <v>34</v>
      </c>
      <c r="E10" s="239" t="s">
        <v>35</v>
      </c>
      <c r="F10" s="211">
        <f>'Propiedades Agua'!C15</f>
        <v>1.14E-3</v>
      </c>
      <c r="G10" s="208" t="s">
        <v>36</v>
      </c>
      <c r="I10" s="166" t="s">
        <v>14</v>
      </c>
      <c r="J10" s="167"/>
      <c r="K10" s="168">
        <f ca="1">VLOOKUP(K4,E28:AM47,34,FALSE)-K4</f>
        <v>0.12542844641177453</v>
      </c>
      <c r="L10" s="183" t="s">
        <v>15</v>
      </c>
      <c r="N10" s="238" t="s">
        <v>37</v>
      </c>
      <c r="O10" s="238"/>
      <c r="P10" s="206">
        <v>73</v>
      </c>
      <c r="Q10" s="206" t="s">
        <v>33</v>
      </c>
      <c r="AN10" s="183" t="s">
        <v>38</v>
      </c>
      <c r="AO10" s="183">
        <v>241.3</v>
      </c>
      <c r="AP10" s="183" t="s">
        <v>39</v>
      </c>
    </row>
    <row r="11" spans="4:42" ht="15" customHeight="1">
      <c r="D11" s="239" t="s">
        <v>40</v>
      </c>
      <c r="E11" s="239" t="s">
        <v>35</v>
      </c>
      <c r="F11" s="211">
        <f>F10/(F9*1000)</f>
        <v>1.14112126097842E-6</v>
      </c>
      <c r="G11" s="208" t="s">
        <v>41</v>
      </c>
      <c r="I11" s="170" t="s">
        <v>42</v>
      </c>
      <c r="J11" s="171">
        <v>0.1</v>
      </c>
      <c r="K11" s="165">
        <f>K6*J11</f>
        <v>0.42928059546920622</v>
      </c>
      <c r="L11" s="183" t="s">
        <v>15</v>
      </c>
      <c r="N11" s="238" t="s">
        <v>43</v>
      </c>
      <c r="O11" s="238"/>
      <c r="P11" s="208">
        <f>AG8*P6*P7/75/(P10/100)/(P9/100)</f>
        <v>47.825347826045984</v>
      </c>
      <c r="Q11" s="206" t="s">
        <v>44</v>
      </c>
      <c r="AN11" s="183" t="s">
        <v>45</v>
      </c>
      <c r="AO11" s="183">
        <v>0.72</v>
      </c>
      <c r="AP11" s="183"/>
    </row>
    <row r="12" spans="4:42" ht="15" customHeight="1">
      <c r="D12" s="172" t="s">
        <v>46</v>
      </c>
      <c r="E12" s="172"/>
      <c r="F12" s="173">
        <f>F13*F22*1000</f>
        <v>1.8833897257146349E-3</v>
      </c>
      <c r="G12" s="208" t="s">
        <v>36</v>
      </c>
      <c r="H12" s="174">
        <f>F12/F10</f>
        <v>1.6520962506268728</v>
      </c>
      <c r="I12" s="166" t="s">
        <v>23</v>
      </c>
      <c r="J12" s="175"/>
      <c r="K12" s="164">
        <f>MAX(K8:K9)+K11</f>
        <v>4.7220865501612677</v>
      </c>
      <c r="L12" s="183" t="s">
        <v>15</v>
      </c>
      <c r="N12" s="238"/>
      <c r="O12" s="238"/>
      <c r="P12" s="208">
        <f>P11*0.7457</f>
        <v>35.663361873882494</v>
      </c>
      <c r="Q12" s="206" t="s">
        <v>47</v>
      </c>
      <c r="AN12" s="183" t="s">
        <v>48</v>
      </c>
      <c r="AO12" s="183">
        <v>0.79</v>
      </c>
      <c r="AP12" s="183"/>
    </row>
    <row r="13" spans="4:42" ht="15" customHeight="1">
      <c r="D13" s="172" t="s">
        <v>49</v>
      </c>
      <c r="E13" s="172"/>
      <c r="F13" s="211">
        <f>((F10*((1-F18/100))^(-3.65))/F22)*0.001</f>
        <v>1.5343846909820276E-6</v>
      </c>
      <c r="G13" s="208" t="s">
        <v>41</v>
      </c>
      <c r="H13" s="174">
        <f>F13/F11</f>
        <v>1.3446289570193579</v>
      </c>
      <c r="I13" s="176"/>
      <c r="K13" s="164">
        <f>K12*F22</f>
        <v>5.7961535622575937</v>
      </c>
      <c r="L13" s="183" t="s">
        <v>50</v>
      </c>
      <c r="N13" s="238" t="s">
        <v>51</v>
      </c>
      <c r="O13" s="238"/>
      <c r="P13" s="206">
        <v>232</v>
      </c>
      <c r="Q13" s="206" t="s">
        <v>52</v>
      </c>
      <c r="AN13" s="183"/>
      <c r="AO13" s="183" t="s">
        <v>53</v>
      </c>
      <c r="AP13" s="183"/>
    </row>
    <row r="14" spans="4:42" ht="15" customHeight="1">
      <c r="D14" s="242" t="s">
        <v>54</v>
      </c>
      <c r="E14" s="242"/>
      <c r="F14" s="168">
        <f>'Propiedades Agua'!B8</f>
        <v>2.1468763806750077</v>
      </c>
      <c r="G14" s="183" t="s">
        <v>55</v>
      </c>
      <c r="I14" s="176"/>
      <c r="K14" s="164">
        <f>K13*14.5/10</f>
        <v>8.4044226652735112</v>
      </c>
      <c r="L14" s="183" t="s">
        <v>56</v>
      </c>
      <c r="N14" s="238" t="s">
        <v>57</v>
      </c>
      <c r="O14" s="238"/>
      <c r="P14" s="208">
        <f>+P8*2*PI()*P13/2/1000/60</f>
        <v>34.620351042559513</v>
      </c>
      <c r="Q14" s="206" t="s">
        <v>58</v>
      </c>
    </row>
    <row r="15" spans="4:42" ht="15" customHeight="1">
      <c r="D15" s="172"/>
      <c r="E15" s="172"/>
      <c r="F15" s="172"/>
      <c r="G15" s="183"/>
      <c r="I15" s="176"/>
      <c r="K15" s="162">
        <f>K28-L15</f>
        <v>506.8</v>
      </c>
      <c r="L15" s="162">
        <f>203.2</f>
        <v>203.2</v>
      </c>
      <c r="AI15" s="183"/>
      <c r="AJ15" s="183" t="s">
        <v>59</v>
      </c>
      <c r="AK15" s="183" t="s">
        <v>60</v>
      </c>
    </row>
    <row r="16" spans="4:42" ht="15" customHeight="1">
      <c r="D16" s="212" t="s">
        <v>61</v>
      </c>
      <c r="E16" s="172"/>
      <c r="F16" s="213">
        <v>811.60092807424576</v>
      </c>
      <c r="G16" s="214" t="s">
        <v>62</v>
      </c>
      <c r="I16" s="176"/>
      <c r="P16" s="162" t="s">
        <v>63</v>
      </c>
      <c r="AI16" s="183" t="s">
        <v>64</v>
      </c>
      <c r="AJ16" s="183">
        <f>710-2*64.5</f>
        <v>581</v>
      </c>
      <c r="AK16" s="183">
        <f>710-2*64.5</f>
        <v>581</v>
      </c>
      <c r="AN16" s="177"/>
      <c r="AO16" s="178"/>
    </row>
    <row r="17" spans="1:56" ht="15" customHeight="1">
      <c r="D17" s="212" t="s">
        <v>65</v>
      </c>
      <c r="E17" s="172"/>
      <c r="F17" s="215">
        <v>29</v>
      </c>
      <c r="G17" s="214" t="s">
        <v>33</v>
      </c>
      <c r="I17" s="176"/>
      <c r="K17" s="162">
        <f>56*1.1</f>
        <v>61.600000000000009</v>
      </c>
      <c r="P17" s="162" t="s">
        <v>66</v>
      </c>
      <c r="AI17" s="183" t="s">
        <v>67</v>
      </c>
      <c r="AJ17" s="168">
        <f>0.25*PI()*(AJ16/1000)^2</f>
        <v>0.26511978943460601</v>
      </c>
      <c r="AK17" s="168">
        <f t="shared" ref="AK17" si="0">0.25*PI()*(AK16/1000)^2</f>
        <v>0.26511978943460601</v>
      </c>
    </row>
    <row r="18" spans="1:56" ht="15" customHeight="1">
      <c r="D18" s="216" t="s">
        <v>68</v>
      </c>
      <c r="E18" s="172"/>
      <c r="F18" s="217">
        <f>F17*1/(F20*(100-F17)+1*F17)*100</f>
        <v>12.850622590508266</v>
      </c>
      <c r="G18" s="214" t="s">
        <v>33</v>
      </c>
      <c r="I18" s="176"/>
      <c r="K18" s="162">
        <f>K17*1.23</f>
        <v>75.768000000000015</v>
      </c>
      <c r="P18" s="162" t="s">
        <v>69</v>
      </c>
      <c r="AI18" s="183" t="s">
        <v>64</v>
      </c>
      <c r="AJ18" s="183">
        <v>250</v>
      </c>
      <c r="AK18" s="183">
        <v>296</v>
      </c>
    </row>
    <row r="19" spans="1:56" ht="15" customHeight="1">
      <c r="D19" s="212" t="s">
        <v>70</v>
      </c>
      <c r="E19" s="172"/>
      <c r="F19" s="214">
        <f>F16*((100-F17)/F17/F21+1/F20)</f>
        <v>2280.0196867734971</v>
      </c>
      <c r="G19" s="214" t="s">
        <v>9</v>
      </c>
      <c r="I19" s="176"/>
      <c r="P19" s="162" t="s">
        <v>71</v>
      </c>
      <c r="AI19" s="183" t="s">
        <v>67</v>
      </c>
      <c r="AJ19" s="179">
        <f>0.25*PI()*(AJ18/1000)^2</f>
        <v>4.9087385212340517E-2</v>
      </c>
      <c r="AK19" s="179">
        <f t="shared" ref="AK19" si="1">0.25*PI()*(AK18/1000)^2</f>
        <v>6.8813445484230823E-2</v>
      </c>
    </row>
    <row r="20" spans="1:56" ht="15" customHeight="1">
      <c r="D20" s="212" t="s">
        <v>72</v>
      </c>
      <c r="E20" s="172"/>
      <c r="F20" s="218">
        <v>2.77</v>
      </c>
      <c r="G20" s="214" t="s">
        <v>30</v>
      </c>
      <c r="I20" s="176"/>
      <c r="P20" s="162" t="s">
        <v>73</v>
      </c>
      <c r="AI20" s="183" t="s">
        <v>74</v>
      </c>
      <c r="AJ20" s="168">
        <f>AJ19/AJ17</f>
        <v>0.18515172072603175</v>
      </c>
      <c r="AK20" s="168">
        <f>AK19/AK17</f>
        <v>0.25955605061011194</v>
      </c>
    </row>
    <row r="21" spans="1:56" ht="15" customHeight="1">
      <c r="D21" s="212" t="s">
        <v>75</v>
      </c>
      <c r="E21" s="172"/>
      <c r="F21" s="219">
        <v>1</v>
      </c>
      <c r="G21" s="214" t="s">
        <v>30</v>
      </c>
      <c r="I21" s="176"/>
      <c r="P21" s="162" t="s">
        <v>76</v>
      </c>
      <c r="AI21" s="183" t="s">
        <v>77</v>
      </c>
      <c r="AJ21" s="168">
        <f>1/(0.639*(1-AJ20)^0.5+1)</f>
        <v>0.63418837028973984</v>
      </c>
      <c r="AK21" s="168">
        <f>1/(0.639*(1-AK20)^0.5+1)</f>
        <v>0.64522229604101078</v>
      </c>
    </row>
    <row r="22" spans="1:56" ht="15" customHeight="1">
      <c r="D22" s="212" t="s">
        <v>78</v>
      </c>
      <c r="E22" s="172"/>
      <c r="F22" s="218">
        <f>F20/(F17/100+F20*(1-F17/100))*I22</f>
        <v>1.2274560198519964</v>
      </c>
      <c r="G22" s="214" t="s">
        <v>30</v>
      </c>
      <c r="I22" s="180">
        <v>1</v>
      </c>
      <c r="AI22" s="183" t="s">
        <v>79</v>
      </c>
      <c r="AJ22" s="164">
        <f>((1/AJ21)*(1/AJ20)-1)^2</f>
        <v>56.495656527726489</v>
      </c>
      <c r="AK22" s="164">
        <f>((1/AK21)*(1/AK20)-1)^2</f>
        <v>24.71253671923272</v>
      </c>
      <c r="AL22" s="181"/>
      <c r="AM22" s="181"/>
    </row>
    <row r="23" spans="1:56" ht="15" customHeight="1">
      <c r="G23" s="162"/>
      <c r="I23" s="176"/>
    </row>
    <row r="24" spans="1:56" ht="15" customHeight="1">
      <c r="D24" s="162" t="s">
        <v>80</v>
      </c>
      <c r="E24" s="182">
        <f>E36-E28</f>
        <v>-7.7599999999999909</v>
      </c>
      <c r="F24" s="169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J24" s="181"/>
      <c r="AL24" s="182"/>
      <c r="AN24" s="244" t="s">
        <v>81</v>
      </c>
      <c r="AO24" s="244"/>
      <c r="AP24" s="244"/>
      <c r="AQ24" s="244" t="s">
        <v>82</v>
      </c>
      <c r="AR24" s="244"/>
      <c r="AS24" s="244"/>
      <c r="AT24" s="244"/>
      <c r="AU24" s="244"/>
      <c r="AV24" s="244"/>
      <c r="AW24" s="244"/>
      <c r="AX24" s="244"/>
    </row>
    <row r="25" spans="1:56" ht="15" customHeight="1"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L25" s="182"/>
      <c r="AN25" s="185"/>
      <c r="AO25" s="185"/>
      <c r="AP25" s="185"/>
      <c r="AQ25" s="186"/>
      <c r="AR25" s="185"/>
      <c r="AS25" s="185"/>
      <c r="AT25" s="187"/>
      <c r="AU25" s="186"/>
      <c r="AV25" s="185"/>
      <c r="AW25" s="185"/>
      <c r="AX25" s="185"/>
    </row>
    <row r="26" spans="1:56" s="188" customFormat="1" ht="33" customHeight="1">
      <c r="B26" s="188" t="s">
        <v>83</v>
      </c>
      <c r="D26" s="189" t="s">
        <v>84</v>
      </c>
      <c r="E26" s="189" t="s">
        <v>85</v>
      </c>
      <c r="F26" s="189" t="s">
        <v>86</v>
      </c>
      <c r="G26" s="245" t="s">
        <v>87</v>
      </c>
      <c r="H26" s="246"/>
      <c r="I26" s="247" t="s">
        <v>88</v>
      </c>
      <c r="J26" s="247" t="s">
        <v>89</v>
      </c>
      <c r="K26" s="189" t="s">
        <v>90</v>
      </c>
      <c r="L26" s="189" t="s">
        <v>91</v>
      </c>
      <c r="M26" s="189" t="s">
        <v>92</v>
      </c>
      <c r="N26" s="189" t="s">
        <v>93</v>
      </c>
      <c r="O26" s="189" t="s">
        <v>94</v>
      </c>
      <c r="P26" s="189" t="s">
        <v>95</v>
      </c>
      <c r="Q26" s="189" t="s">
        <v>96</v>
      </c>
      <c r="R26" s="189" t="s">
        <v>97</v>
      </c>
      <c r="S26" s="190" t="s">
        <v>98</v>
      </c>
      <c r="T26" s="190" t="s">
        <v>99</v>
      </c>
      <c r="U26" s="190" t="s">
        <v>100</v>
      </c>
      <c r="V26" s="190" t="s">
        <v>101</v>
      </c>
      <c r="W26" s="190" t="s">
        <v>102</v>
      </c>
      <c r="X26" s="190" t="s">
        <v>103</v>
      </c>
      <c r="Y26" s="190" t="s">
        <v>104</v>
      </c>
      <c r="Z26" s="190" t="s">
        <v>105</v>
      </c>
      <c r="AA26" s="190" t="s">
        <v>106</v>
      </c>
      <c r="AB26" s="190" t="s">
        <v>107</v>
      </c>
      <c r="AC26" s="190" t="s">
        <v>108</v>
      </c>
      <c r="AD26" s="190" t="s">
        <v>109</v>
      </c>
      <c r="AE26" s="190" t="s">
        <v>110</v>
      </c>
      <c r="AF26" s="190" t="s">
        <v>111</v>
      </c>
      <c r="AG26" s="189" t="s">
        <v>112</v>
      </c>
      <c r="AH26" s="189" t="s">
        <v>113</v>
      </c>
      <c r="AI26" s="57" t="s">
        <v>114</v>
      </c>
      <c r="AJ26" s="57" t="s">
        <v>115</v>
      </c>
      <c r="AK26" s="57" t="s">
        <v>22</v>
      </c>
      <c r="AL26" s="58" t="s">
        <v>116</v>
      </c>
      <c r="AM26" s="58" t="s">
        <v>117</v>
      </c>
      <c r="AN26" s="189" t="s">
        <v>118</v>
      </c>
      <c r="AO26" s="189"/>
      <c r="AP26" s="189" t="s">
        <v>119</v>
      </c>
      <c r="AQ26" s="221" t="s">
        <v>120</v>
      </c>
      <c r="AR26" s="220" t="s">
        <v>121</v>
      </c>
      <c r="AS26" s="220" t="s">
        <v>122</v>
      </c>
      <c r="AT26" s="249" t="s">
        <v>123</v>
      </c>
      <c r="AU26" s="250"/>
      <c r="AV26" s="220" t="s">
        <v>124</v>
      </c>
      <c r="AW26" s="220" t="s">
        <v>125</v>
      </c>
      <c r="AX26" s="189" t="s">
        <v>119</v>
      </c>
      <c r="BB26" s="188" t="s">
        <v>126</v>
      </c>
    </row>
    <row r="27" spans="1:56" s="191" customFormat="1">
      <c r="D27" s="59" t="s">
        <v>127</v>
      </c>
      <c r="E27" s="59" t="s">
        <v>6</v>
      </c>
      <c r="F27" s="59" t="s">
        <v>127</v>
      </c>
      <c r="G27" s="59" t="s">
        <v>4</v>
      </c>
      <c r="H27" s="59" t="s">
        <v>128</v>
      </c>
      <c r="I27" s="248"/>
      <c r="J27" s="248"/>
      <c r="K27" s="59" t="s">
        <v>52</v>
      </c>
      <c r="L27" s="59" t="s">
        <v>52</v>
      </c>
      <c r="M27" s="59" t="s">
        <v>52</v>
      </c>
      <c r="N27" s="59" t="s">
        <v>52</v>
      </c>
      <c r="O27" s="59" t="s">
        <v>129</v>
      </c>
      <c r="P27" s="59" t="s">
        <v>130</v>
      </c>
      <c r="Q27" s="59" t="s">
        <v>131</v>
      </c>
      <c r="R27" s="59" t="s">
        <v>132</v>
      </c>
      <c r="S27" s="192"/>
      <c r="T27" s="192" t="s">
        <v>131</v>
      </c>
      <c r="U27" s="192" t="s">
        <v>131</v>
      </c>
      <c r="V27" s="192" t="s">
        <v>131</v>
      </c>
      <c r="W27" s="192" t="s">
        <v>131</v>
      </c>
      <c r="X27" s="192" t="s">
        <v>131</v>
      </c>
      <c r="Y27" s="192" t="s">
        <v>131</v>
      </c>
      <c r="Z27" s="192" t="s">
        <v>131</v>
      </c>
      <c r="AA27" s="192" t="s">
        <v>131</v>
      </c>
      <c r="AB27" s="192" t="s">
        <v>131</v>
      </c>
      <c r="AC27" s="192" t="s">
        <v>131</v>
      </c>
      <c r="AD27" s="192" t="s">
        <v>131</v>
      </c>
      <c r="AE27" s="192" t="s">
        <v>131</v>
      </c>
      <c r="AF27" s="192" t="s">
        <v>131</v>
      </c>
      <c r="AG27" s="59" t="s">
        <v>131</v>
      </c>
      <c r="AH27" s="59" t="s">
        <v>133</v>
      </c>
      <c r="AI27" s="60" t="s">
        <v>134</v>
      </c>
      <c r="AJ27" s="60" t="s">
        <v>135</v>
      </c>
      <c r="AK27" s="60"/>
      <c r="AL27" s="193"/>
      <c r="AM27" s="193"/>
      <c r="AN27" s="59" t="s">
        <v>136</v>
      </c>
      <c r="AO27" s="59" t="s">
        <v>137</v>
      </c>
      <c r="AP27" s="59"/>
      <c r="AQ27" s="222" t="s">
        <v>137</v>
      </c>
      <c r="AR27" s="223" t="s">
        <v>130</v>
      </c>
      <c r="AS27" s="223" t="s">
        <v>130</v>
      </c>
      <c r="AT27" s="223" t="s">
        <v>138</v>
      </c>
      <c r="AU27" s="223" t="s">
        <v>139</v>
      </c>
      <c r="AV27" s="223" t="s">
        <v>132</v>
      </c>
      <c r="AW27" s="223" t="s">
        <v>132</v>
      </c>
      <c r="AX27" s="59"/>
    </row>
    <row r="28" spans="1:56" s="163" customFormat="1" ht="15.75" customHeight="1">
      <c r="A28" s="224">
        <v>0</v>
      </c>
      <c r="B28" s="224">
        <v>818</v>
      </c>
      <c r="C28" s="176">
        <v>0</v>
      </c>
      <c r="D28" s="9">
        <f>A28</f>
        <v>0</v>
      </c>
      <c r="E28" s="203">
        <f t="shared" ref="D28:E46" si="2">B28</f>
        <v>818</v>
      </c>
      <c r="F28" s="183">
        <v>0</v>
      </c>
      <c r="G28" s="194"/>
      <c r="H28" s="194">
        <v>3090</v>
      </c>
      <c r="I28" s="183" t="s">
        <v>140</v>
      </c>
      <c r="J28" s="225">
        <v>8</v>
      </c>
      <c r="K28" s="164">
        <v>710</v>
      </c>
      <c r="L28" s="164">
        <v>64.5</v>
      </c>
      <c r="M28" s="164">
        <v>0</v>
      </c>
      <c r="N28" s="164">
        <f>K28-2*L28-2*M28</f>
        <v>581</v>
      </c>
      <c r="O28" s="168">
        <f>0.25*PI()*(N28/1000)^2</f>
        <v>0.26511978943460601</v>
      </c>
      <c r="P28" s="168">
        <f>H28/O28/3600</f>
        <v>3.2375302317635866</v>
      </c>
      <c r="Q28" s="195">
        <f>P28*(N28/1000)/($F$13)</f>
        <v>1225901.8717468916</v>
      </c>
      <c r="R28" s="183">
        <v>2.5000000000000001E-2</v>
      </c>
      <c r="S28" s="183">
        <v>6</v>
      </c>
      <c r="T28" s="183">
        <f t="shared" ref="T28:AG43" si="3">(1.14-2*LOG($R28/$N28+9.35/($Q28*(S28^0.5))))^-2</f>
        <v>1.0387322905005731E-2</v>
      </c>
      <c r="U28" s="183">
        <f t="shared" si="3"/>
        <v>1.2353263871490177E-2</v>
      </c>
      <c r="V28" s="183">
        <f t="shared" si="3"/>
        <v>1.2225113391816624E-2</v>
      </c>
      <c r="W28" s="183">
        <f t="shared" si="3"/>
        <v>1.2232649231859313E-2</v>
      </c>
      <c r="X28" s="183">
        <f t="shared" si="3"/>
        <v>1.2232203294213248E-2</v>
      </c>
      <c r="Y28" s="183">
        <f t="shared" si="3"/>
        <v>1.2232229673032693E-2</v>
      </c>
      <c r="Z28" s="183">
        <f t="shared" si="3"/>
        <v>1.2232228112596145E-2</v>
      </c>
      <c r="AA28" s="183">
        <f t="shared" si="3"/>
        <v>1.2232228204903502E-2</v>
      </c>
      <c r="AB28" s="183">
        <f t="shared" si="3"/>
        <v>1.2232228199443074E-2</v>
      </c>
      <c r="AC28" s="183">
        <f t="shared" si="3"/>
        <v>1.2232228199766087E-2</v>
      </c>
      <c r="AD28" s="183">
        <f t="shared" si="3"/>
        <v>1.2232228199746981E-2</v>
      </c>
      <c r="AE28" s="183">
        <f t="shared" si="3"/>
        <v>1.2232228199748112E-2</v>
      </c>
      <c r="AF28" s="183">
        <f t="shared" si="3"/>
        <v>1.2232228199748044E-2</v>
      </c>
      <c r="AG28" s="196">
        <f>(1.14-2*LOG($R28/$N28+9.35/($Q28*(AF28^0.5))))^-2</f>
        <v>1.2232228199748047E-2</v>
      </c>
      <c r="AH28" s="197">
        <f>AG28*P28^2/(2*9.81*(N28/1000))</f>
        <v>1.124755444515514E-2</v>
      </c>
      <c r="AI28" s="198">
        <f>F28</f>
        <v>0</v>
      </c>
      <c r="AJ28" s="165">
        <f t="shared" ref="AJ28:AJ67" si="4">AI28*AH28</f>
        <v>0</v>
      </c>
      <c r="AK28" s="165"/>
      <c r="AL28" s="199">
        <f t="shared" ref="AL28:AL45" ca="1" si="5">(D29-D28)*AH28+AL29+AK28</f>
        <v>812.12542844641177</v>
      </c>
      <c r="AM28" s="202">
        <f t="shared" ref="AM28:AM45" si="6">(D29-D28)*AH28+AM29+AK28</f>
        <v>817.96236863196634</v>
      </c>
      <c r="AN28" s="183">
        <v>16</v>
      </c>
      <c r="AO28" s="183">
        <f>IF(I28=$AO$13,2*$AO$10*100*$AO$11*L28/K28,AN28*10)</f>
        <v>160</v>
      </c>
      <c r="AP28" s="230">
        <f>AO28+E28</f>
        <v>978</v>
      </c>
      <c r="AQ28" s="226">
        <f>AS28*AR28/9.81</f>
        <v>101.05224151572662</v>
      </c>
      <c r="AR28" s="227">
        <f>P28</f>
        <v>3.2375302317635866</v>
      </c>
      <c r="AS28" s="208">
        <f t="shared" ref="AS28:AS67" si="7">((AU28*9.81/(1000*$F$9))/((AU28/($F$14*10^8))+(AV28/AW28)))^0.5</f>
        <v>306.19713741770158</v>
      </c>
      <c r="AT28" s="228">
        <v>10000</v>
      </c>
      <c r="AU28" s="228">
        <f>AT28*100^2</f>
        <v>100000000</v>
      </c>
      <c r="AV28" s="206">
        <f>(K28+N28)/2</f>
        <v>645.5</v>
      </c>
      <c r="AW28" s="206">
        <f>L28</f>
        <v>64.5</v>
      </c>
      <c r="AX28" s="204">
        <f>AQ28+AM28</f>
        <v>919.01461014769302</v>
      </c>
      <c r="AZ28" s="200">
        <f t="shared" ref="AZ28:AZ43" si="8">AM28-E28</f>
        <v>-3.7631368033657964E-2</v>
      </c>
      <c r="BA28" s="200">
        <f>AZ28*1.5</f>
        <v>-5.6447052050486946E-2</v>
      </c>
      <c r="BB28" s="163">
        <f>AN28*1.25</f>
        <v>20</v>
      </c>
      <c r="BC28" s="183">
        <f>IF(W28=$AO$13,2*$AO$10*100*$AO$11*Z28/Y28,BB28*10)</f>
        <v>200</v>
      </c>
      <c r="BD28" s="164"/>
    </row>
    <row r="29" spans="1:56" s="163" customFormat="1" ht="12.75">
      <c r="A29" s="224">
        <v>20</v>
      </c>
      <c r="B29" s="224">
        <v>811.78</v>
      </c>
      <c r="C29" s="201">
        <f>(B29-B28)/(A29-A28)</f>
        <v>-0.31100000000000139</v>
      </c>
      <c r="D29" s="9">
        <f t="shared" si="2"/>
        <v>20</v>
      </c>
      <c r="E29" s="203">
        <f t="shared" si="2"/>
        <v>811.78</v>
      </c>
      <c r="F29" s="164">
        <f>((D29-D28)^2+(E29-E28)^2)^0.5+F28</f>
        <v>20.944889591497024</v>
      </c>
      <c r="G29" s="194"/>
      <c r="H29" s="194">
        <f>H28</f>
        <v>3090</v>
      </c>
      <c r="I29" s="183" t="s">
        <v>140</v>
      </c>
      <c r="J29" s="225">
        <f>J28</f>
        <v>8</v>
      </c>
      <c r="K29" s="164">
        <v>710</v>
      </c>
      <c r="L29" s="164">
        <v>64.5</v>
      </c>
      <c r="M29" s="164">
        <v>0</v>
      </c>
      <c r="N29" s="183">
        <f t="shared" ref="N29:N67" si="9">K29-2*L29-2*M29</f>
        <v>581</v>
      </c>
      <c r="O29" s="168">
        <f t="shared" ref="O29:O67" si="10">0.25*PI()*(N29/1000)^2</f>
        <v>0.26511978943460601</v>
      </c>
      <c r="P29" s="168">
        <f t="shared" ref="P29:P67" si="11">H29/O29/3600</f>
        <v>3.2375302317635866</v>
      </c>
      <c r="Q29" s="195">
        <f t="shared" ref="Q29:Q67" si="12">P29*(N29/1000)/($F$13)</f>
        <v>1225901.8717468916</v>
      </c>
      <c r="R29" s="183">
        <f>R28</f>
        <v>2.5000000000000001E-2</v>
      </c>
      <c r="S29" s="183">
        <v>6</v>
      </c>
      <c r="T29" s="183">
        <f t="shared" si="3"/>
        <v>1.0387322905005731E-2</v>
      </c>
      <c r="U29" s="183">
        <f t="shared" si="3"/>
        <v>1.2353263871490177E-2</v>
      </c>
      <c r="V29" s="183">
        <f t="shared" si="3"/>
        <v>1.2225113391816624E-2</v>
      </c>
      <c r="W29" s="183">
        <f t="shared" si="3"/>
        <v>1.2232649231859313E-2</v>
      </c>
      <c r="X29" s="183">
        <f t="shared" si="3"/>
        <v>1.2232203294213248E-2</v>
      </c>
      <c r="Y29" s="183">
        <f t="shared" si="3"/>
        <v>1.2232229673032693E-2</v>
      </c>
      <c r="Z29" s="183">
        <f t="shared" si="3"/>
        <v>1.2232228112596145E-2</v>
      </c>
      <c r="AA29" s="183">
        <f t="shared" si="3"/>
        <v>1.2232228204903502E-2</v>
      </c>
      <c r="AB29" s="183">
        <f t="shared" si="3"/>
        <v>1.2232228199443074E-2</v>
      </c>
      <c r="AC29" s="183">
        <f t="shared" si="3"/>
        <v>1.2232228199766087E-2</v>
      </c>
      <c r="AD29" s="183">
        <f t="shared" si="3"/>
        <v>1.2232228199746981E-2</v>
      </c>
      <c r="AE29" s="183">
        <f t="shared" si="3"/>
        <v>1.2232228199748112E-2</v>
      </c>
      <c r="AF29" s="183">
        <f t="shared" si="3"/>
        <v>1.2232228199748044E-2</v>
      </c>
      <c r="AG29" s="196">
        <f t="shared" si="3"/>
        <v>1.2232228199748047E-2</v>
      </c>
      <c r="AH29" s="197">
        <f t="shared" ref="AH29:AH42" si="13">AG29*P29^2/(2*9.81*(N29/1000))</f>
        <v>1.124755444515514E-2</v>
      </c>
      <c r="AI29" s="198">
        <f>ABS(F29-F28)</f>
        <v>20.944889591497024</v>
      </c>
      <c r="AJ29" s="165">
        <f t="shared" si="4"/>
        <v>0.23557878602812599</v>
      </c>
      <c r="AK29" s="165"/>
      <c r="AL29" s="199">
        <f t="shared" ca="1" si="5"/>
        <v>812.11570497138939</v>
      </c>
      <c r="AM29" s="202">
        <f t="shared" si="6"/>
        <v>817.7374175430632</v>
      </c>
      <c r="AN29" s="183">
        <f t="shared" ref="AN29:AN67" si="14">AN28</f>
        <v>16</v>
      </c>
      <c r="AO29" s="183">
        <f t="shared" ref="AO29:AO67" si="15">IF(I29=$AO$13,2*$AO$10*100*$AO$11*L29/K29,AN29*10)</f>
        <v>160</v>
      </c>
      <c r="AP29" s="230">
        <f t="shared" ref="AP29:AP67" si="16">AO29+E29</f>
        <v>971.78</v>
      </c>
      <c r="AQ29" s="226">
        <f t="shared" ref="AQ29:AQ67" si="17">AS29*AR29/9.81</f>
        <v>101.05224151572662</v>
      </c>
      <c r="AR29" s="227">
        <f t="shared" ref="AR29:AR67" si="18">P29</f>
        <v>3.2375302317635866</v>
      </c>
      <c r="AS29" s="208">
        <f t="shared" si="7"/>
        <v>306.19713741770158</v>
      </c>
      <c r="AT29" s="228">
        <f>AT28</f>
        <v>10000</v>
      </c>
      <c r="AU29" s="228">
        <f t="shared" ref="AU29:AU67" si="19">AT29*100^2</f>
        <v>100000000</v>
      </c>
      <c r="AV29" s="206">
        <f t="shared" ref="AV29:AV67" si="20">(K29+N29)/2</f>
        <v>645.5</v>
      </c>
      <c r="AW29" s="206">
        <f t="shared" ref="AW29:AW67" si="21">L29</f>
        <v>64.5</v>
      </c>
      <c r="AX29" s="204">
        <f t="shared" ref="AX29:AX62" si="22">AQ29+AM29</f>
        <v>918.78965905878977</v>
      </c>
      <c r="AZ29" s="200">
        <f t="shared" si="8"/>
        <v>5.9574175430632295</v>
      </c>
      <c r="BA29" s="200">
        <f t="shared" ref="BA29:BA43" si="23">AZ29*1.5</f>
        <v>8.9361263145948442</v>
      </c>
      <c r="BB29" s="163">
        <f t="shared" ref="BB29:BB43" si="24">AN29*1.25</f>
        <v>20</v>
      </c>
      <c r="BC29" s="183">
        <f t="shared" ref="BC29:BC43" si="25">IF(W29=$AO$13,2*$AO$10*100*$AO$11*Z29/Y29,BB29*10)</f>
        <v>200</v>
      </c>
      <c r="BD29" s="164">
        <f t="shared" ref="BD29:BD43" si="26">BC29+E29</f>
        <v>1011.78</v>
      </c>
    </row>
    <row r="30" spans="1:56" s="163" customFormat="1" ht="12.75">
      <c r="A30" s="224">
        <v>40</v>
      </c>
      <c r="B30" s="224">
        <v>811.56</v>
      </c>
      <c r="C30" s="201">
        <f t="shared" ref="C30:C67" si="27">(B30-B29)/(A30-A29)</f>
        <v>-1.1000000000001365E-2</v>
      </c>
      <c r="D30" s="9">
        <f t="shared" si="2"/>
        <v>40</v>
      </c>
      <c r="E30" s="203">
        <f t="shared" si="2"/>
        <v>811.56</v>
      </c>
      <c r="F30" s="164">
        <f t="shared" ref="F30:F67" si="28">((D30-D29)^2+(E30-E29)^2)^0.5+F29</f>
        <v>40.946099554896733</v>
      </c>
      <c r="G30" s="194"/>
      <c r="H30" s="194">
        <f t="shared" ref="H30:M42" si="29">H29</f>
        <v>3090</v>
      </c>
      <c r="I30" s="183" t="s">
        <v>140</v>
      </c>
      <c r="J30" s="225">
        <f t="shared" ref="J30:J67" si="30">J29</f>
        <v>8</v>
      </c>
      <c r="K30" s="164">
        <v>710</v>
      </c>
      <c r="L30" s="164">
        <v>64.5</v>
      </c>
      <c r="M30" s="164">
        <f t="shared" si="29"/>
        <v>0</v>
      </c>
      <c r="N30" s="183">
        <f t="shared" si="9"/>
        <v>581</v>
      </c>
      <c r="O30" s="168">
        <f t="shared" si="10"/>
        <v>0.26511978943460601</v>
      </c>
      <c r="P30" s="168">
        <f t="shared" si="11"/>
        <v>3.2375302317635866</v>
      </c>
      <c r="Q30" s="195">
        <f t="shared" si="12"/>
        <v>1225901.8717468916</v>
      </c>
      <c r="R30" s="183">
        <f t="shared" ref="R30:R42" si="31">R29</f>
        <v>2.5000000000000001E-2</v>
      </c>
      <c r="S30" s="183">
        <v>7</v>
      </c>
      <c r="T30" s="183">
        <f t="shared" si="3"/>
        <v>1.0378100153553749E-2</v>
      </c>
      <c r="U30" s="183">
        <f t="shared" si="3"/>
        <v>1.2353936556817841E-2</v>
      </c>
      <c r="V30" s="183">
        <f t="shared" si="3"/>
        <v>1.2225074099365098E-2</v>
      </c>
      <c r="W30" s="183">
        <f t="shared" si="3"/>
        <v>1.2232651557935226E-2</v>
      </c>
      <c r="X30" s="183">
        <f t="shared" si="3"/>
        <v>1.22322031566207E-2</v>
      </c>
      <c r="Y30" s="183">
        <f t="shared" si="3"/>
        <v>1.2232229681171981E-2</v>
      </c>
      <c r="Z30" s="183">
        <f t="shared" si="3"/>
        <v>1.2232228112114671E-2</v>
      </c>
      <c r="AA30" s="183">
        <f t="shared" si="3"/>
        <v>1.2232228204931984E-2</v>
      </c>
      <c r="AB30" s="183">
        <f t="shared" si="3"/>
        <v>1.2232228199441392E-2</v>
      </c>
      <c r="AC30" s="183">
        <f t="shared" si="3"/>
        <v>1.2232228199766187E-2</v>
      </c>
      <c r="AD30" s="183">
        <f t="shared" si="3"/>
        <v>1.2232228199746972E-2</v>
      </c>
      <c r="AE30" s="183">
        <f t="shared" si="3"/>
        <v>1.2232228199748112E-2</v>
      </c>
      <c r="AF30" s="183">
        <f t="shared" si="3"/>
        <v>1.2232228199748044E-2</v>
      </c>
      <c r="AG30" s="196">
        <f t="shared" si="3"/>
        <v>1.2232228199748047E-2</v>
      </c>
      <c r="AH30" s="197">
        <f t="shared" si="13"/>
        <v>1.124755444515514E-2</v>
      </c>
      <c r="AI30" s="198">
        <f t="shared" ref="AI30:AI42" si="32">ABS(F30-F29)</f>
        <v>20.00120996339971</v>
      </c>
      <c r="AJ30" s="165">
        <f t="shared" si="4"/>
        <v>0.22496469803231767</v>
      </c>
      <c r="AK30" s="165"/>
      <c r="AL30" s="199">
        <f t="shared" ca="1" si="5"/>
        <v>812.10598149636701</v>
      </c>
      <c r="AM30" s="202">
        <f t="shared" si="6"/>
        <v>817.51246645416006</v>
      </c>
      <c r="AN30" s="183">
        <f t="shared" si="14"/>
        <v>16</v>
      </c>
      <c r="AO30" s="183">
        <f t="shared" si="15"/>
        <v>160</v>
      </c>
      <c r="AP30" s="230">
        <f t="shared" si="16"/>
        <v>971.56</v>
      </c>
      <c r="AQ30" s="226">
        <f t="shared" si="17"/>
        <v>101.05224151572662</v>
      </c>
      <c r="AR30" s="227">
        <f t="shared" si="18"/>
        <v>3.2375302317635866</v>
      </c>
      <c r="AS30" s="208">
        <f t="shared" si="7"/>
        <v>306.19713741770158</v>
      </c>
      <c r="AT30" s="228">
        <f t="shared" ref="AT30:AT67" si="33">AT29</f>
        <v>10000</v>
      </c>
      <c r="AU30" s="228">
        <f t="shared" si="19"/>
        <v>100000000</v>
      </c>
      <c r="AV30" s="206">
        <f t="shared" si="20"/>
        <v>645.5</v>
      </c>
      <c r="AW30" s="206">
        <f t="shared" si="21"/>
        <v>64.5</v>
      </c>
      <c r="AX30" s="204">
        <f t="shared" si="22"/>
        <v>918.56470796988674</v>
      </c>
      <c r="AZ30" s="200">
        <f t="shared" si="8"/>
        <v>5.9524664541601169</v>
      </c>
      <c r="BA30" s="200">
        <f t="shared" si="23"/>
        <v>8.9286996812401753</v>
      </c>
      <c r="BB30" s="163">
        <f t="shared" si="24"/>
        <v>20</v>
      </c>
      <c r="BC30" s="183">
        <f t="shared" si="25"/>
        <v>200</v>
      </c>
      <c r="BD30" s="164">
        <f t="shared" si="26"/>
        <v>1011.56</v>
      </c>
    </row>
    <row r="31" spans="1:56" s="163" customFormat="1" ht="12.75">
      <c r="A31" s="224">
        <v>60</v>
      </c>
      <c r="B31" s="224">
        <v>811.34</v>
      </c>
      <c r="C31" s="201">
        <f t="shared" si="27"/>
        <v>-1.099999999999568E-2</v>
      </c>
      <c r="D31" s="9">
        <f t="shared" si="2"/>
        <v>60</v>
      </c>
      <c r="E31" s="203">
        <f t="shared" si="2"/>
        <v>811.34</v>
      </c>
      <c r="F31" s="164">
        <f t="shared" si="28"/>
        <v>60.94730951829645</v>
      </c>
      <c r="G31" s="194"/>
      <c r="H31" s="194">
        <f t="shared" ref="H31" si="34">H30</f>
        <v>3090</v>
      </c>
      <c r="I31" s="183" t="s">
        <v>140</v>
      </c>
      <c r="J31" s="225">
        <f t="shared" si="30"/>
        <v>8</v>
      </c>
      <c r="K31" s="164">
        <v>710</v>
      </c>
      <c r="L31" s="164">
        <v>64.5</v>
      </c>
      <c r="M31" s="164">
        <f t="shared" ref="M31:M41" si="35">M29</f>
        <v>0</v>
      </c>
      <c r="N31" s="183">
        <f t="shared" si="9"/>
        <v>581</v>
      </c>
      <c r="O31" s="168">
        <f t="shared" si="10"/>
        <v>0.26511978943460601</v>
      </c>
      <c r="P31" s="168">
        <f t="shared" si="11"/>
        <v>3.2375302317635866</v>
      </c>
      <c r="Q31" s="195">
        <f t="shared" si="12"/>
        <v>1225901.8717468916</v>
      </c>
      <c r="R31" s="183">
        <f>R29</f>
        <v>2.5000000000000001E-2</v>
      </c>
      <c r="S31" s="183">
        <v>8</v>
      </c>
      <c r="T31" s="183">
        <f t="shared" si="3"/>
        <v>1.03706410674282E-2</v>
      </c>
      <c r="U31" s="183">
        <f t="shared" si="3"/>
        <v>1.2354481162135694E-2</v>
      </c>
      <c r="V31" s="183">
        <f t="shared" si="3"/>
        <v>1.2225042290246563E-2</v>
      </c>
      <c r="W31" s="183">
        <f t="shared" si="3"/>
        <v>1.2232653441011926E-2</v>
      </c>
      <c r="X31" s="183">
        <f t="shared" si="3"/>
        <v>1.2232203045232561E-2</v>
      </c>
      <c r="Y31" s="183">
        <f t="shared" si="3"/>
        <v>1.2232229687761142E-2</v>
      </c>
      <c r="Z31" s="183">
        <f t="shared" si="3"/>
        <v>1.2232228111724886E-2</v>
      </c>
      <c r="AA31" s="183">
        <f t="shared" si="3"/>
        <v>1.223222820495504E-2</v>
      </c>
      <c r="AB31" s="183">
        <f t="shared" si="3"/>
        <v>1.2232228199440026E-2</v>
      </c>
      <c r="AC31" s="183">
        <f t="shared" si="3"/>
        <v>1.2232228199766267E-2</v>
      </c>
      <c r="AD31" s="183">
        <f t="shared" si="3"/>
        <v>1.2232228199746967E-2</v>
      </c>
      <c r="AE31" s="183">
        <f t="shared" si="3"/>
        <v>1.2232228199748112E-2</v>
      </c>
      <c r="AF31" s="183">
        <f t="shared" si="3"/>
        <v>1.2232228199748044E-2</v>
      </c>
      <c r="AG31" s="196">
        <f t="shared" si="3"/>
        <v>1.2232228199748047E-2</v>
      </c>
      <c r="AH31" s="197">
        <f t="shared" si="13"/>
        <v>1.124755444515514E-2</v>
      </c>
      <c r="AI31" s="198">
        <f t="shared" si="32"/>
        <v>20.001209963399717</v>
      </c>
      <c r="AJ31" s="165">
        <f t="shared" si="4"/>
        <v>0.22496469803231775</v>
      </c>
      <c r="AK31" s="165"/>
      <c r="AL31" s="199">
        <f t="shared" ca="1" si="5"/>
        <v>812.08544634357054</v>
      </c>
      <c r="AM31" s="202">
        <f t="shared" si="6"/>
        <v>817.28751536525692</v>
      </c>
      <c r="AN31" s="183">
        <f t="shared" si="14"/>
        <v>16</v>
      </c>
      <c r="AO31" s="183">
        <f t="shared" si="15"/>
        <v>160</v>
      </c>
      <c r="AP31" s="230">
        <f t="shared" si="16"/>
        <v>971.34</v>
      </c>
      <c r="AQ31" s="226">
        <f t="shared" si="17"/>
        <v>101.05224151572662</v>
      </c>
      <c r="AR31" s="227">
        <f t="shared" si="18"/>
        <v>3.2375302317635866</v>
      </c>
      <c r="AS31" s="208">
        <f>((AU31*9.81/(1000*$F$9))/((AU31/($F$14*10^8))+(AV31/AW31)))^0.5</f>
        <v>306.19713741770158</v>
      </c>
      <c r="AT31" s="228">
        <f t="shared" si="33"/>
        <v>10000</v>
      </c>
      <c r="AU31" s="228">
        <f t="shared" si="19"/>
        <v>100000000</v>
      </c>
      <c r="AV31" s="206">
        <f t="shared" si="20"/>
        <v>645.5</v>
      </c>
      <c r="AW31" s="206">
        <f t="shared" si="21"/>
        <v>64.5</v>
      </c>
      <c r="AX31" s="204">
        <f t="shared" si="22"/>
        <v>918.33975688098349</v>
      </c>
      <c r="AZ31" s="200">
        <f t="shared" si="8"/>
        <v>5.9475153652568906</v>
      </c>
      <c r="BA31" s="200">
        <f t="shared" si="23"/>
        <v>8.9212730478853359</v>
      </c>
      <c r="BB31" s="163">
        <f t="shared" si="24"/>
        <v>20</v>
      </c>
      <c r="BC31" s="183">
        <f t="shared" si="25"/>
        <v>200</v>
      </c>
      <c r="BD31" s="164">
        <f t="shared" si="26"/>
        <v>1011.34</v>
      </c>
    </row>
    <row r="32" spans="1:56" s="163" customFormat="1" ht="12.75">
      <c r="A32" s="224">
        <v>80</v>
      </c>
      <c r="B32" s="224">
        <v>811.12</v>
      </c>
      <c r="C32" s="201">
        <f t="shared" si="27"/>
        <v>-1.1000000000001365E-2</v>
      </c>
      <c r="D32" s="9">
        <f t="shared" si="2"/>
        <v>80</v>
      </c>
      <c r="E32" s="203">
        <f t="shared" si="2"/>
        <v>811.12</v>
      </c>
      <c r="F32" s="164">
        <f t="shared" si="28"/>
        <v>80.948519481696167</v>
      </c>
      <c r="G32" s="194"/>
      <c r="H32" s="194">
        <f t="shared" ref="H32" si="36">H31</f>
        <v>3090</v>
      </c>
      <c r="I32" s="183" t="s">
        <v>140</v>
      </c>
      <c r="J32" s="225">
        <f t="shared" si="30"/>
        <v>8</v>
      </c>
      <c r="K32" s="164">
        <v>710</v>
      </c>
      <c r="L32" s="164">
        <v>64.5</v>
      </c>
      <c r="M32" s="164">
        <f t="shared" si="35"/>
        <v>0</v>
      </c>
      <c r="N32" s="183">
        <f t="shared" si="9"/>
        <v>581</v>
      </c>
      <c r="O32" s="168">
        <f t="shared" si="10"/>
        <v>0.26511978943460601</v>
      </c>
      <c r="P32" s="168">
        <f t="shared" si="11"/>
        <v>3.2375302317635866</v>
      </c>
      <c r="Q32" s="195">
        <f t="shared" si="12"/>
        <v>1225901.8717468916</v>
      </c>
      <c r="R32" s="183">
        <f t="shared" ref="R32:R41" si="37">R30</f>
        <v>2.5000000000000001E-2</v>
      </c>
      <c r="S32" s="183">
        <v>9</v>
      </c>
      <c r="T32" s="183">
        <f t="shared" si="3"/>
        <v>1.0364445683767197E-2</v>
      </c>
      <c r="U32" s="183">
        <f t="shared" si="3"/>
        <v>1.2354933881225013E-2</v>
      </c>
      <c r="V32" s="183">
        <f t="shared" si="3"/>
        <v>1.2225015849354407E-2</v>
      </c>
      <c r="W32" s="183">
        <f t="shared" si="3"/>
        <v>1.2232655006298304E-2</v>
      </c>
      <c r="X32" s="183">
        <f t="shared" si="3"/>
        <v>1.2232202952642438E-2</v>
      </c>
      <c r="Y32" s="183">
        <f t="shared" si="3"/>
        <v>1.2232229693238311E-2</v>
      </c>
      <c r="Z32" s="183">
        <f t="shared" si="3"/>
        <v>1.2232228111400888E-2</v>
      </c>
      <c r="AA32" s="183">
        <f t="shared" si="3"/>
        <v>1.2232228204974209E-2</v>
      </c>
      <c r="AB32" s="183">
        <f t="shared" si="3"/>
        <v>1.2232228199438892E-2</v>
      </c>
      <c r="AC32" s="183">
        <f t="shared" si="3"/>
        <v>1.2232228199766331E-2</v>
      </c>
      <c r="AD32" s="183">
        <f t="shared" si="3"/>
        <v>1.2232228199746962E-2</v>
      </c>
      <c r="AE32" s="183">
        <f t="shared" si="3"/>
        <v>1.2232228199748112E-2</v>
      </c>
      <c r="AF32" s="183">
        <f t="shared" si="3"/>
        <v>1.2232228199748044E-2</v>
      </c>
      <c r="AG32" s="196">
        <f t="shared" si="3"/>
        <v>1.2232228199748047E-2</v>
      </c>
      <c r="AH32" s="197">
        <f t="shared" si="13"/>
        <v>1.124755444515514E-2</v>
      </c>
      <c r="AI32" s="198">
        <f t="shared" si="32"/>
        <v>20.001209963399717</v>
      </c>
      <c r="AJ32" s="165">
        <f t="shared" si="4"/>
        <v>0.22496469803231775</v>
      </c>
      <c r="AK32" s="165"/>
      <c r="AL32" s="199">
        <f t="shared" ca="1" si="5"/>
        <v>812.06491119077407</v>
      </c>
      <c r="AM32" s="202">
        <f t="shared" si="6"/>
        <v>817.06256427635378</v>
      </c>
      <c r="AN32" s="183">
        <f t="shared" si="14"/>
        <v>16</v>
      </c>
      <c r="AO32" s="183">
        <f t="shared" si="15"/>
        <v>160</v>
      </c>
      <c r="AP32" s="230">
        <f t="shared" si="16"/>
        <v>971.12</v>
      </c>
      <c r="AQ32" s="226">
        <f t="shared" si="17"/>
        <v>101.05224151572662</v>
      </c>
      <c r="AR32" s="227">
        <f t="shared" si="18"/>
        <v>3.2375302317635866</v>
      </c>
      <c r="AS32" s="208">
        <f t="shared" si="7"/>
        <v>306.19713741770158</v>
      </c>
      <c r="AT32" s="228">
        <f t="shared" si="33"/>
        <v>10000</v>
      </c>
      <c r="AU32" s="228">
        <f t="shared" si="19"/>
        <v>100000000</v>
      </c>
      <c r="AV32" s="206">
        <f t="shared" si="20"/>
        <v>645.5</v>
      </c>
      <c r="AW32" s="206">
        <f t="shared" si="21"/>
        <v>64.5</v>
      </c>
      <c r="AX32" s="204">
        <f t="shared" si="22"/>
        <v>918.11480579208046</v>
      </c>
      <c r="AZ32" s="200"/>
      <c r="BA32" s="200"/>
      <c r="BC32" s="183"/>
      <c r="BD32" s="164"/>
    </row>
    <row r="33" spans="1:56" s="163" customFormat="1" ht="12.75">
      <c r="A33" s="224">
        <v>100</v>
      </c>
      <c r="B33" s="224">
        <v>810.9</v>
      </c>
      <c r="C33" s="201">
        <f t="shared" si="27"/>
        <v>-1.1000000000001365E-2</v>
      </c>
      <c r="D33" s="9">
        <f t="shared" si="2"/>
        <v>100</v>
      </c>
      <c r="E33" s="203">
        <f t="shared" si="2"/>
        <v>810.9</v>
      </c>
      <c r="F33" s="164">
        <f t="shared" si="28"/>
        <v>100.94972944509588</v>
      </c>
      <c r="G33" s="194"/>
      <c r="H33" s="194">
        <f t="shared" ref="H33" si="38">H32</f>
        <v>3090</v>
      </c>
      <c r="I33" s="183" t="s">
        <v>140</v>
      </c>
      <c r="J33" s="225">
        <f t="shared" si="30"/>
        <v>8</v>
      </c>
      <c r="K33" s="164">
        <v>710</v>
      </c>
      <c r="L33" s="164">
        <v>64.5</v>
      </c>
      <c r="M33" s="164">
        <f t="shared" si="35"/>
        <v>0</v>
      </c>
      <c r="N33" s="183">
        <f>K33-2*L33-2*M33</f>
        <v>581</v>
      </c>
      <c r="O33" s="168">
        <f t="shared" si="10"/>
        <v>0.26511978943460601</v>
      </c>
      <c r="P33" s="168">
        <f t="shared" si="11"/>
        <v>3.2375302317635866</v>
      </c>
      <c r="Q33" s="195">
        <f t="shared" si="12"/>
        <v>1225901.8717468916</v>
      </c>
      <c r="R33" s="183">
        <f t="shared" si="37"/>
        <v>2.5000000000000001E-2</v>
      </c>
      <c r="S33" s="183">
        <v>10</v>
      </c>
      <c r="T33" s="183">
        <f t="shared" si="3"/>
        <v>1.035919253438632E-2</v>
      </c>
      <c r="U33" s="183">
        <f t="shared" si="3"/>
        <v>1.2355318018115843E-2</v>
      </c>
      <c r="V33" s="183">
        <f t="shared" si="3"/>
        <v>1.222499341495387E-2</v>
      </c>
      <c r="W33" s="183">
        <f t="shared" si="3"/>
        <v>1.2232656334405966E-2</v>
      </c>
      <c r="X33" s="183">
        <f t="shared" si="3"/>
        <v>1.2232202874081969E-2</v>
      </c>
      <c r="Y33" s="183">
        <f t="shared" si="3"/>
        <v>1.2232229697885554E-2</v>
      </c>
      <c r="Z33" s="183">
        <f t="shared" si="3"/>
        <v>1.2232228111125983E-2</v>
      </c>
      <c r="AA33" s="183">
        <f t="shared" si="3"/>
        <v>1.2232228204990469E-2</v>
      </c>
      <c r="AB33" s="183">
        <f t="shared" si="3"/>
        <v>1.2232228199437931E-2</v>
      </c>
      <c r="AC33" s="183">
        <f t="shared" si="3"/>
        <v>1.2232228199766389E-2</v>
      </c>
      <c r="AD33" s="183">
        <f t="shared" si="3"/>
        <v>1.2232228199746962E-2</v>
      </c>
      <c r="AE33" s="183">
        <f t="shared" si="3"/>
        <v>1.2232228199748112E-2</v>
      </c>
      <c r="AF33" s="183">
        <f t="shared" si="3"/>
        <v>1.2232228199748044E-2</v>
      </c>
      <c r="AG33" s="196">
        <f t="shared" si="3"/>
        <v>1.2232228199748047E-2</v>
      </c>
      <c r="AH33" s="197">
        <f t="shared" si="13"/>
        <v>1.124755444515514E-2</v>
      </c>
      <c r="AI33" s="198">
        <f t="shared" si="32"/>
        <v>20.001209963399717</v>
      </c>
      <c r="AJ33" s="165">
        <f t="shared" si="4"/>
        <v>0.22496469803231775</v>
      </c>
      <c r="AK33" s="165"/>
      <c r="AL33" s="199">
        <f t="shared" ca="1" si="5"/>
        <v>812.0443760379776</v>
      </c>
      <c r="AM33" s="202">
        <f t="shared" si="6"/>
        <v>816.83761318745064</v>
      </c>
      <c r="AN33" s="183">
        <f t="shared" si="14"/>
        <v>16</v>
      </c>
      <c r="AO33" s="183">
        <f t="shared" si="15"/>
        <v>160</v>
      </c>
      <c r="AP33" s="230">
        <f t="shared" si="16"/>
        <v>970.9</v>
      </c>
      <c r="AQ33" s="226">
        <f t="shared" si="17"/>
        <v>101.05224151572662</v>
      </c>
      <c r="AR33" s="227">
        <f t="shared" si="18"/>
        <v>3.2375302317635866</v>
      </c>
      <c r="AS33" s="208">
        <f t="shared" si="7"/>
        <v>306.19713741770158</v>
      </c>
      <c r="AT33" s="228">
        <f t="shared" si="33"/>
        <v>10000</v>
      </c>
      <c r="AU33" s="228">
        <f t="shared" si="19"/>
        <v>100000000</v>
      </c>
      <c r="AV33" s="206">
        <f t="shared" si="20"/>
        <v>645.5</v>
      </c>
      <c r="AW33" s="206">
        <f t="shared" si="21"/>
        <v>64.5</v>
      </c>
      <c r="AX33" s="204">
        <f t="shared" si="22"/>
        <v>917.88985470317721</v>
      </c>
      <c r="AZ33" s="200"/>
      <c r="BA33" s="200"/>
      <c r="BC33" s="183"/>
      <c r="BD33" s="164"/>
    </row>
    <row r="34" spans="1:56" s="163" customFormat="1" ht="12.75">
      <c r="A34" s="224">
        <v>120</v>
      </c>
      <c r="B34" s="224">
        <v>810.68</v>
      </c>
      <c r="C34" s="201">
        <f t="shared" si="27"/>
        <v>-1.1000000000001365E-2</v>
      </c>
      <c r="D34" s="9">
        <f t="shared" si="2"/>
        <v>120</v>
      </c>
      <c r="E34" s="203">
        <f t="shared" si="2"/>
        <v>810.68</v>
      </c>
      <c r="F34" s="164">
        <f t="shared" si="28"/>
        <v>120.9509394084956</v>
      </c>
      <c r="G34" s="194"/>
      <c r="H34" s="194">
        <f t="shared" ref="H34" si="39">H33</f>
        <v>3090</v>
      </c>
      <c r="I34" s="183" t="s">
        <v>140</v>
      </c>
      <c r="J34" s="225">
        <f t="shared" si="30"/>
        <v>8</v>
      </c>
      <c r="K34" s="164">
        <v>710</v>
      </c>
      <c r="L34" s="164">
        <v>64.5</v>
      </c>
      <c r="M34" s="164">
        <f t="shared" si="35"/>
        <v>0</v>
      </c>
      <c r="N34" s="183">
        <f t="shared" si="9"/>
        <v>581</v>
      </c>
      <c r="O34" s="168">
        <f t="shared" si="10"/>
        <v>0.26511978943460601</v>
      </c>
      <c r="P34" s="168">
        <f>H34/O34/3600</f>
        <v>3.2375302317635866</v>
      </c>
      <c r="Q34" s="195">
        <f t="shared" si="12"/>
        <v>1225901.8717468916</v>
      </c>
      <c r="R34" s="183">
        <f t="shared" si="37"/>
        <v>2.5000000000000001E-2</v>
      </c>
      <c r="S34" s="183">
        <v>11</v>
      </c>
      <c r="T34" s="183">
        <f t="shared" si="3"/>
        <v>1.0354664220100245E-2</v>
      </c>
      <c r="U34" s="183">
        <f t="shared" si="3"/>
        <v>1.235564935067426E-2</v>
      </c>
      <c r="V34" s="183">
        <f t="shared" si="3"/>
        <v>1.2224974065154985E-2</v>
      </c>
      <c r="W34" s="183">
        <f t="shared" si="3"/>
        <v>1.2232657479908931E-2</v>
      </c>
      <c r="X34" s="183">
        <f t="shared" si="3"/>
        <v>1.223220280632298E-2</v>
      </c>
      <c r="Y34" s="183">
        <f t="shared" si="3"/>
        <v>1.2232229701893834E-2</v>
      </c>
      <c r="Z34" s="183">
        <f t="shared" si="3"/>
        <v>1.2232228110888869E-2</v>
      </c>
      <c r="AA34" s="183">
        <f t="shared" si="3"/>
        <v>1.2232228205004494E-2</v>
      </c>
      <c r="AB34" s="183">
        <f t="shared" si="3"/>
        <v>1.2232228199437098E-2</v>
      </c>
      <c r="AC34" s="183">
        <f t="shared" si="3"/>
        <v>1.2232228199766437E-2</v>
      </c>
      <c r="AD34" s="183">
        <f t="shared" si="3"/>
        <v>1.2232228199746956E-2</v>
      </c>
      <c r="AE34" s="183">
        <f t="shared" si="3"/>
        <v>1.2232228199748112E-2</v>
      </c>
      <c r="AF34" s="183">
        <f t="shared" si="3"/>
        <v>1.2232228199748044E-2</v>
      </c>
      <c r="AG34" s="196">
        <f t="shared" si="3"/>
        <v>1.2232228199748047E-2</v>
      </c>
      <c r="AH34" s="197">
        <f t="shared" si="13"/>
        <v>1.124755444515514E-2</v>
      </c>
      <c r="AI34" s="198">
        <f t="shared" si="32"/>
        <v>20.001209963399717</v>
      </c>
      <c r="AJ34" s="165">
        <f t="shared" si="4"/>
        <v>0.22496469803231775</v>
      </c>
      <c r="AK34" s="165"/>
      <c r="AL34" s="199">
        <f t="shared" ca="1" si="5"/>
        <v>812.0412063209792</v>
      </c>
      <c r="AM34" s="202">
        <f t="shared" si="6"/>
        <v>816.6126620985475</v>
      </c>
      <c r="AN34" s="183">
        <f t="shared" si="14"/>
        <v>16</v>
      </c>
      <c r="AO34" s="183">
        <f t="shared" si="15"/>
        <v>160</v>
      </c>
      <c r="AP34" s="230">
        <f t="shared" si="16"/>
        <v>970.68</v>
      </c>
      <c r="AQ34" s="226">
        <f t="shared" si="17"/>
        <v>101.05224151572662</v>
      </c>
      <c r="AR34" s="227">
        <f t="shared" si="18"/>
        <v>3.2375302317635866</v>
      </c>
      <c r="AS34" s="208">
        <f t="shared" si="7"/>
        <v>306.19713741770158</v>
      </c>
      <c r="AT34" s="228">
        <f t="shared" si="33"/>
        <v>10000</v>
      </c>
      <c r="AU34" s="228">
        <f t="shared" si="19"/>
        <v>100000000</v>
      </c>
      <c r="AV34" s="206">
        <f t="shared" si="20"/>
        <v>645.5</v>
      </c>
      <c r="AW34" s="206">
        <f t="shared" si="21"/>
        <v>64.5</v>
      </c>
      <c r="AX34" s="204">
        <f t="shared" si="22"/>
        <v>917.66490361427418</v>
      </c>
      <c r="AZ34" s="200"/>
      <c r="BA34" s="200"/>
      <c r="BC34" s="183"/>
      <c r="BD34" s="164"/>
    </row>
    <row r="35" spans="1:56" s="163" customFormat="1" ht="12.75">
      <c r="A35" s="224">
        <v>140</v>
      </c>
      <c r="B35" s="224">
        <v>810.46</v>
      </c>
      <c r="C35" s="201">
        <f t="shared" si="27"/>
        <v>-1.099999999999568E-2</v>
      </c>
      <c r="D35" s="9">
        <f t="shared" si="2"/>
        <v>140</v>
      </c>
      <c r="E35" s="203">
        <f t="shared" si="2"/>
        <v>810.46</v>
      </c>
      <c r="F35" s="164">
        <f t="shared" si="28"/>
        <v>140.9521493718953</v>
      </c>
      <c r="G35" s="194"/>
      <c r="H35" s="194">
        <f t="shared" ref="H35" si="40">H34</f>
        <v>3090</v>
      </c>
      <c r="I35" s="183" t="s">
        <v>140</v>
      </c>
      <c r="J35" s="225">
        <f t="shared" si="30"/>
        <v>8</v>
      </c>
      <c r="K35" s="164">
        <v>710</v>
      </c>
      <c r="L35" s="164">
        <v>64.5</v>
      </c>
      <c r="M35" s="164">
        <f t="shared" si="35"/>
        <v>0</v>
      </c>
      <c r="N35" s="183">
        <f t="shared" si="9"/>
        <v>581</v>
      </c>
      <c r="O35" s="168">
        <f t="shared" si="10"/>
        <v>0.26511978943460601</v>
      </c>
      <c r="P35" s="168">
        <f t="shared" si="11"/>
        <v>3.2375302317635866</v>
      </c>
      <c r="Q35" s="195">
        <f t="shared" si="12"/>
        <v>1225901.8717468916</v>
      </c>
      <c r="R35" s="183">
        <f t="shared" si="37"/>
        <v>2.5000000000000001E-2</v>
      </c>
      <c r="S35" s="183">
        <v>12</v>
      </c>
      <c r="T35" s="183">
        <f t="shared" si="3"/>
        <v>1.0350707723226982E-2</v>
      </c>
      <c r="U35" s="183">
        <f t="shared" si="3"/>
        <v>1.235593899506803E-2</v>
      </c>
      <c r="V35" s="183">
        <f t="shared" si="3"/>
        <v>1.2224957150486685E-2</v>
      </c>
      <c r="W35" s="183">
        <f t="shared" si="3"/>
        <v>1.2232658481254717E-2</v>
      </c>
      <c r="X35" s="183">
        <f t="shared" si="3"/>
        <v>1.2232202747091199E-2</v>
      </c>
      <c r="Y35" s="183">
        <f t="shared" si="3"/>
        <v>1.2232229705397689E-2</v>
      </c>
      <c r="Z35" s="183">
        <f t="shared" si="3"/>
        <v>1.2232228110681602E-2</v>
      </c>
      <c r="AA35" s="183">
        <f t="shared" si="3"/>
        <v>1.2232228205016755E-2</v>
      </c>
      <c r="AB35" s="183">
        <f t="shared" si="3"/>
        <v>1.2232228199436378E-2</v>
      </c>
      <c r="AC35" s="183">
        <f t="shared" si="3"/>
        <v>1.2232228199766481E-2</v>
      </c>
      <c r="AD35" s="183">
        <f t="shared" si="3"/>
        <v>1.2232228199746956E-2</v>
      </c>
      <c r="AE35" s="183">
        <f t="shared" si="3"/>
        <v>1.2232228199748112E-2</v>
      </c>
      <c r="AF35" s="183">
        <f t="shared" si="3"/>
        <v>1.2232228199748044E-2</v>
      </c>
      <c r="AG35" s="196">
        <f t="shared" si="3"/>
        <v>1.2232228199748047E-2</v>
      </c>
      <c r="AH35" s="197">
        <f t="shared" si="13"/>
        <v>1.124755444515514E-2</v>
      </c>
      <c r="AI35" s="198">
        <f t="shared" si="32"/>
        <v>20.001209963399702</v>
      </c>
      <c r="AJ35" s="165">
        <f t="shared" si="4"/>
        <v>0.22496469803231761</v>
      </c>
      <c r="AK35" s="165"/>
      <c r="AL35" s="199">
        <f t="shared" ca="1" si="5"/>
        <v>812.0380366039808</v>
      </c>
      <c r="AM35" s="202">
        <f t="shared" si="6"/>
        <v>816.38771100964436</v>
      </c>
      <c r="AN35" s="183">
        <f t="shared" si="14"/>
        <v>16</v>
      </c>
      <c r="AO35" s="183">
        <f t="shared" si="15"/>
        <v>160</v>
      </c>
      <c r="AP35" s="230">
        <f t="shared" si="16"/>
        <v>970.46</v>
      </c>
      <c r="AQ35" s="226">
        <f t="shared" si="17"/>
        <v>101.05224151572662</v>
      </c>
      <c r="AR35" s="227">
        <f t="shared" si="18"/>
        <v>3.2375302317635866</v>
      </c>
      <c r="AS35" s="208">
        <f t="shared" si="7"/>
        <v>306.19713741770158</v>
      </c>
      <c r="AT35" s="228">
        <f t="shared" si="33"/>
        <v>10000</v>
      </c>
      <c r="AU35" s="228">
        <f t="shared" si="19"/>
        <v>100000000</v>
      </c>
      <c r="AV35" s="206">
        <f t="shared" si="20"/>
        <v>645.5</v>
      </c>
      <c r="AW35" s="206">
        <f t="shared" si="21"/>
        <v>64.5</v>
      </c>
      <c r="AX35" s="204">
        <f t="shared" si="22"/>
        <v>917.43995252537093</v>
      </c>
      <c r="AZ35" s="200"/>
      <c r="BA35" s="200"/>
      <c r="BC35" s="183"/>
      <c r="BD35" s="164"/>
    </row>
    <row r="36" spans="1:56" s="163" customFormat="1" ht="12.75">
      <c r="A36" s="224">
        <v>160</v>
      </c>
      <c r="B36" s="224">
        <v>810.24</v>
      </c>
      <c r="C36" s="201">
        <f t="shared" si="27"/>
        <v>-1.1000000000001365E-2</v>
      </c>
      <c r="D36" s="9">
        <f t="shared" si="2"/>
        <v>160</v>
      </c>
      <c r="E36" s="203">
        <f t="shared" si="2"/>
        <v>810.24</v>
      </c>
      <c r="F36" s="164">
        <f t="shared" si="28"/>
        <v>160.953359335295</v>
      </c>
      <c r="G36" s="194"/>
      <c r="H36" s="194">
        <f t="shared" ref="H36" si="41">H35</f>
        <v>3090</v>
      </c>
      <c r="I36" s="183" t="s">
        <v>140</v>
      </c>
      <c r="J36" s="225">
        <f t="shared" si="30"/>
        <v>8</v>
      </c>
      <c r="K36" s="164">
        <v>710</v>
      </c>
      <c r="L36" s="164">
        <v>64.5</v>
      </c>
      <c r="M36" s="164">
        <f t="shared" si="35"/>
        <v>0</v>
      </c>
      <c r="N36" s="183">
        <f t="shared" si="9"/>
        <v>581</v>
      </c>
      <c r="O36" s="168">
        <f t="shared" si="10"/>
        <v>0.26511978943460601</v>
      </c>
      <c r="P36" s="168">
        <f t="shared" si="11"/>
        <v>3.2375302317635866</v>
      </c>
      <c r="Q36" s="195">
        <f t="shared" si="12"/>
        <v>1225901.8717468916</v>
      </c>
      <c r="R36" s="183">
        <f t="shared" si="37"/>
        <v>2.5000000000000001E-2</v>
      </c>
      <c r="S36" s="183">
        <v>13</v>
      </c>
      <c r="T36" s="183">
        <f t="shared" si="3"/>
        <v>1.0347211785295468E-2</v>
      </c>
      <c r="U36" s="183">
        <f t="shared" si="3"/>
        <v>1.2356195040626334E-2</v>
      </c>
      <c r="V36" s="183">
        <f t="shared" si="3"/>
        <v>1.2224942198347959E-2</v>
      </c>
      <c r="W36" s="183">
        <f t="shared" si="3"/>
        <v>1.2232659366420529E-2</v>
      </c>
      <c r="X36" s="183">
        <f t="shared" si="3"/>
        <v>1.2232202694731728E-2</v>
      </c>
      <c r="Y36" s="183">
        <f t="shared" si="3"/>
        <v>1.2232229708495015E-2</v>
      </c>
      <c r="Z36" s="183">
        <f t="shared" si="3"/>
        <v>1.2232228110498379E-2</v>
      </c>
      <c r="AA36" s="183">
        <f t="shared" si="3"/>
        <v>1.2232228205027593E-2</v>
      </c>
      <c r="AB36" s="183">
        <f t="shared" si="3"/>
        <v>1.2232228199435733E-2</v>
      </c>
      <c r="AC36" s="183">
        <f t="shared" si="3"/>
        <v>1.2232228199766519E-2</v>
      </c>
      <c r="AD36" s="183">
        <f t="shared" si="3"/>
        <v>1.2232228199746953E-2</v>
      </c>
      <c r="AE36" s="183">
        <f t="shared" si="3"/>
        <v>1.2232228199748112E-2</v>
      </c>
      <c r="AF36" s="183">
        <f t="shared" si="3"/>
        <v>1.2232228199748044E-2</v>
      </c>
      <c r="AG36" s="196">
        <f t="shared" si="3"/>
        <v>1.2232228199748047E-2</v>
      </c>
      <c r="AH36" s="197">
        <f t="shared" si="13"/>
        <v>1.124755444515514E-2</v>
      </c>
      <c r="AI36" s="198">
        <f t="shared" si="32"/>
        <v>20.001209963399702</v>
      </c>
      <c r="AJ36" s="165">
        <f t="shared" si="4"/>
        <v>0.22496469803231761</v>
      </c>
      <c r="AK36" s="165"/>
      <c r="AL36" s="199">
        <f t="shared" ca="1" si="5"/>
        <v>812.0348668869824</v>
      </c>
      <c r="AM36" s="202">
        <f t="shared" si="6"/>
        <v>816.16275992074122</v>
      </c>
      <c r="AN36" s="183">
        <f t="shared" si="14"/>
        <v>16</v>
      </c>
      <c r="AO36" s="183">
        <f t="shared" si="15"/>
        <v>160</v>
      </c>
      <c r="AP36" s="230">
        <f t="shared" si="16"/>
        <v>970.24</v>
      </c>
      <c r="AQ36" s="226">
        <f t="shared" si="17"/>
        <v>101.05224151572662</v>
      </c>
      <c r="AR36" s="227">
        <f t="shared" si="18"/>
        <v>3.2375302317635866</v>
      </c>
      <c r="AS36" s="208">
        <f t="shared" si="7"/>
        <v>306.19713741770158</v>
      </c>
      <c r="AT36" s="228">
        <f t="shared" si="33"/>
        <v>10000</v>
      </c>
      <c r="AU36" s="228">
        <f t="shared" si="19"/>
        <v>100000000</v>
      </c>
      <c r="AV36" s="206">
        <f t="shared" si="20"/>
        <v>645.5</v>
      </c>
      <c r="AW36" s="206">
        <f t="shared" si="21"/>
        <v>64.5</v>
      </c>
      <c r="AX36" s="204">
        <f t="shared" si="22"/>
        <v>917.2150014364679</v>
      </c>
      <c r="AZ36" s="200"/>
      <c r="BA36" s="200"/>
      <c r="BC36" s="183"/>
      <c r="BD36" s="164"/>
    </row>
    <row r="37" spans="1:56" s="163" customFormat="1" ht="12.75">
      <c r="A37" s="224">
        <v>180</v>
      </c>
      <c r="B37" s="224">
        <v>810.02</v>
      </c>
      <c r="C37" s="201">
        <f t="shared" si="27"/>
        <v>-1.1000000000001365E-2</v>
      </c>
      <c r="D37" s="9">
        <f t="shared" si="2"/>
        <v>180</v>
      </c>
      <c r="E37" s="203">
        <f t="shared" si="2"/>
        <v>810.02</v>
      </c>
      <c r="F37" s="164">
        <f t="shared" si="28"/>
        <v>180.95456929869471</v>
      </c>
      <c r="G37" s="194"/>
      <c r="H37" s="194">
        <f t="shared" ref="H37" si="42">H36</f>
        <v>3090</v>
      </c>
      <c r="I37" s="183" t="s">
        <v>140</v>
      </c>
      <c r="J37" s="225">
        <f t="shared" si="30"/>
        <v>8</v>
      </c>
      <c r="K37" s="164">
        <v>710</v>
      </c>
      <c r="L37" s="164">
        <v>64.5</v>
      </c>
      <c r="M37" s="164">
        <f t="shared" si="35"/>
        <v>0</v>
      </c>
      <c r="N37" s="183">
        <f t="shared" si="9"/>
        <v>581</v>
      </c>
      <c r="O37" s="168">
        <f t="shared" si="10"/>
        <v>0.26511978943460601</v>
      </c>
      <c r="P37" s="168">
        <f t="shared" si="11"/>
        <v>3.2375302317635866</v>
      </c>
      <c r="Q37" s="195">
        <f t="shared" si="12"/>
        <v>1225901.8717468916</v>
      </c>
      <c r="R37" s="183">
        <f t="shared" si="37"/>
        <v>2.5000000000000001E-2</v>
      </c>
      <c r="S37" s="183">
        <v>14</v>
      </c>
      <c r="T37" s="183">
        <f t="shared" si="3"/>
        <v>1.034409330249993E-2</v>
      </c>
      <c r="U37" s="183">
        <f t="shared" si="3"/>
        <v>1.2356423534086071E-2</v>
      </c>
      <c r="V37" s="183">
        <f t="shared" si="3"/>
        <v>1.2224928855487788E-2</v>
      </c>
      <c r="W37" s="183">
        <f t="shared" si="3"/>
        <v>1.2232660156318303E-2</v>
      </c>
      <c r="X37" s="183">
        <f t="shared" si="3"/>
        <v>1.2232202648007569E-2</v>
      </c>
      <c r="Y37" s="183">
        <f t="shared" si="3"/>
        <v>1.2232229711258981E-2</v>
      </c>
      <c r="Z37" s="183">
        <f t="shared" si="3"/>
        <v>1.2232228110334874E-2</v>
      </c>
      <c r="AA37" s="183">
        <f t="shared" si="3"/>
        <v>1.2232228205037268E-2</v>
      </c>
      <c r="AB37" s="183">
        <f t="shared" si="3"/>
        <v>1.2232228199435162E-2</v>
      </c>
      <c r="AC37" s="183">
        <f t="shared" si="3"/>
        <v>1.2232228199766553E-2</v>
      </c>
      <c r="AD37" s="183">
        <f t="shared" si="3"/>
        <v>1.2232228199746953E-2</v>
      </c>
      <c r="AE37" s="183">
        <f t="shared" si="3"/>
        <v>1.2232228199748112E-2</v>
      </c>
      <c r="AF37" s="183">
        <f t="shared" si="3"/>
        <v>1.2232228199748044E-2</v>
      </c>
      <c r="AG37" s="196">
        <f t="shared" si="3"/>
        <v>1.2232228199748047E-2</v>
      </c>
      <c r="AH37" s="197">
        <f t="shared" si="13"/>
        <v>1.124755444515514E-2</v>
      </c>
      <c r="AI37" s="198">
        <f t="shared" si="32"/>
        <v>20.001209963399702</v>
      </c>
      <c r="AJ37" s="165">
        <f t="shared" si="4"/>
        <v>0.22496469803231761</v>
      </c>
      <c r="AK37" s="165"/>
      <c r="AL37" s="199">
        <f t="shared" ca="1" si="5"/>
        <v>812.031697169984</v>
      </c>
      <c r="AM37" s="202">
        <f t="shared" si="6"/>
        <v>815.93780883183808</v>
      </c>
      <c r="AN37" s="183">
        <f t="shared" si="14"/>
        <v>16</v>
      </c>
      <c r="AO37" s="183">
        <f t="shared" si="15"/>
        <v>160</v>
      </c>
      <c r="AP37" s="230">
        <f t="shared" si="16"/>
        <v>970.02</v>
      </c>
      <c r="AQ37" s="226">
        <f t="shared" si="17"/>
        <v>101.05224151572662</v>
      </c>
      <c r="AR37" s="227">
        <f t="shared" si="18"/>
        <v>3.2375302317635866</v>
      </c>
      <c r="AS37" s="208">
        <f t="shared" si="7"/>
        <v>306.19713741770158</v>
      </c>
      <c r="AT37" s="228">
        <f t="shared" si="33"/>
        <v>10000</v>
      </c>
      <c r="AU37" s="228">
        <f t="shared" si="19"/>
        <v>100000000</v>
      </c>
      <c r="AV37" s="206">
        <f t="shared" si="20"/>
        <v>645.5</v>
      </c>
      <c r="AW37" s="206">
        <f t="shared" si="21"/>
        <v>64.5</v>
      </c>
      <c r="AX37" s="204">
        <f t="shared" si="22"/>
        <v>916.99005034756465</v>
      </c>
      <c r="AZ37" s="200"/>
      <c r="BA37" s="200"/>
      <c r="BC37" s="183"/>
      <c r="BD37" s="164"/>
    </row>
    <row r="38" spans="1:56" s="163" customFormat="1" ht="12.75">
      <c r="A38" s="224">
        <v>200</v>
      </c>
      <c r="B38" s="224">
        <v>809.8</v>
      </c>
      <c r="C38" s="201">
        <f t="shared" si="27"/>
        <v>-1.1000000000001365E-2</v>
      </c>
      <c r="D38" s="9">
        <f t="shared" si="2"/>
        <v>200</v>
      </c>
      <c r="E38" s="203">
        <f t="shared" si="2"/>
        <v>809.8</v>
      </c>
      <c r="F38" s="164">
        <f t="shared" si="28"/>
        <v>200.95577926209441</v>
      </c>
      <c r="G38" s="194"/>
      <c r="H38" s="194">
        <f t="shared" ref="H38" si="43">H37</f>
        <v>3090</v>
      </c>
      <c r="I38" s="183" t="s">
        <v>140</v>
      </c>
      <c r="J38" s="225">
        <f t="shared" si="30"/>
        <v>8</v>
      </c>
      <c r="K38" s="164">
        <v>710</v>
      </c>
      <c r="L38" s="164">
        <v>64.5</v>
      </c>
      <c r="M38" s="164">
        <f t="shared" si="35"/>
        <v>0</v>
      </c>
      <c r="N38" s="183">
        <f t="shared" si="9"/>
        <v>581</v>
      </c>
      <c r="O38" s="168">
        <f t="shared" si="10"/>
        <v>0.26511978943460601</v>
      </c>
      <c r="P38" s="168">
        <f t="shared" si="11"/>
        <v>3.2375302317635866</v>
      </c>
      <c r="Q38" s="195">
        <f t="shared" si="12"/>
        <v>1225901.8717468916</v>
      </c>
      <c r="R38" s="183">
        <f t="shared" si="37"/>
        <v>2.5000000000000001E-2</v>
      </c>
      <c r="S38" s="183">
        <v>15</v>
      </c>
      <c r="T38" s="183">
        <f t="shared" si="3"/>
        <v>1.0341288775745389E-2</v>
      </c>
      <c r="U38" s="183">
        <f t="shared" si="3"/>
        <v>1.2356629098745558E-2</v>
      </c>
      <c r="V38" s="183">
        <f t="shared" si="3"/>
        <v>1.2224916851823494E-2</v>
      </c>
      <c r="W38" s="183">
        <f t="shared" si="3"/>
        <v>1.2232660866936584E-2</v>
      </c>
      <c r="X38" s="183">
        <f t="shared" si="3"/>
        <v>1.2232202605972969E-2</v>
      </c>
      <c r="Y38" s="183">
        <f t="shared" si="3"/>
        <v>1.2232229713745536E-2</v>
      </c>
      <c r="Z38" s="183">
        <f t="shared" si="3"/>
        <v>1.2232228110187785E-2</v>
      </c>
      <c r="AA38" s="183">
        <f t="shared" si="3"/>
        <v>1.2232228205045969E-2</v>
      </c>
      <c r="AB38" s="183">
        <f t="shared" si="3"/>
        <v>1.2232228199434647E-2</v>
      </c>
      <c r="AC38" s="183">
        <f t="shared" si="3"/>
        <v>1.2232228199766586E-2</v>
      </c>
      <c r="AD38" s="183">
        <f t="shared" si="3"/>
        <v>1.2232228199746948E-2</v>
      </c>
      <c r="AE38" s="183">
        <f t="shared" si="3"/>
        <v>1.2232228199748112E-2</v>
      </c>
      <c r="AF38" s="183">
        <f t="shared" si="3"/>
        <v>1.2232228199748044E-2</v>
      </c>
      <c r="AG38" s="196">
        <f t="shared" si="3"/>
        <v>1.2232228199748047E-2</v>
      </c>
      <c r="AH38" s="197">
        <f t="shared" si="13"/>
        <v>1.124755444515514E-2</v>
      </c>
      <c r="AI38" s="198">
        <f t="shared" si="32"/>
        <v>20.001209963399702</v>
      </c>
      <c r="AJ38" s="165">
        <f t="shared" si="4"/>
        <v>0.22496469803231761</v>
      </c>
      <c r="AK38" s="165"/>
      <c r="AL38" s="199">
        <f t="shared" ca="1" si="5"/>
        <v>812.0285274529856</v>
      </c>
      <c r="AM38" s="202">
        <f t="shared" si="6"/>
        <v>815.71285774293494</v>
      </c>
      <c r="AN38" s="183">
        <f t="shared" si="14"/>
        <v>16</v>
      </c>
      <c r="AO38" s="183">
        <f>IF(I38=$AO$13,2*$AO$10*100*$AO$11*L38/K38,AN38*10)</f>
        <v>160</v>
      </c>
      <c r="AP38" s="230">
        <f t="shared" si="16"/>
        <v>969.8</v>
      </c>
      <c r="AQ38" s="226">
        <f t="shared" si="17"/>
        <v>101.05224151572662</v>
      </c>
      <c r="AR38" s="227">
        <f t="shared" si="18"/>
        <v>3.2375302317635866</v>
      </c>
      <c r="AS38" s="208">
        <f t="shared" si="7"/>
        <v>306.19713741770158</v>
      </c>
      <c r="AT38" s="228">
        <f t="shared" si="33"/>
        <v>10000</v>
      </c>
      <c r="AU38" s="228">
        <f t="shared" si="19"/>
        <v>100000000</v>
      </c>
      <c r="AV38" s="206">
        <f t="shared" si="20"/>
        <v>645.5</v>
      </c>
      <c r="AW38" s="206">
        <f t="shared" si="21"/>
        <v>64.5</v>
      </c>
      <c r="AX38" s="204">
        <f t="shared" si="22"/>
        <v>916.76509925866162</v>
      </c>
      <c r="AZ38" s="200"/>
      <c r="BA38" s="200"/>
      <c r="BC38" s="183"/>
      <c r="BD38" s="164"/>
    </row>
    <row r="39" spans="1:56" s="163" customFormat="1" ht="12.75">
      <c r="A39" s="229">
        <v>220</v>
      </c>
      <c r="B39" s="229">
        <v>809.58</v>
      </c>
      <c r="C39" s="201">
        <f t="shared" si="27"/>
        <v>-1.099999999999568E-2</v>
      </c>
      <c r="D39" s="9">
        <f t="shared" si="2"/>
        <v>220</v>
      </c>
      <c r="E39" s="203">
        <f t="shared" si="2"/>
        <v>809.58</v>
      </c>
      <c r="F39" s="164">
        <f t="shared" si="28"/>
        <v>220.95698922549411</v>
      </c>
      <c r="G39" s="194"/>
      <c r="H39" s="194">
        <f t="shared" ref="H39" si="44">H38</f>
        <v>3090</v>
      </c>
      <c r="I39" s="183" t="s">
        <v>140</v>
      </c>
      <c r="J39" s="225">
        <f t="shared" si="30"/>
        <v>8</v>
      </c>
      <c r="K39" s="164">
        <v>710</v>
      </c>
      <c r="L39" s="164">
        <v>64.5</v>
      </c>
      <c r="M39" s="164">
        <f t="shared" si="35"/>
        <v>0</v>
      </c>
      <c r="N39" s="183">
        <f t="shared" si="9"/>
        <v>581</v>
      </c>
      <c r="O39" s="168">
        <f t="shared" si="10"/>
        <v>0.26511978943460601</v>
      </c>
      <c r="P39" s="168">
        <f t="shared" si="11"/>
        <v>3.2375302317635866</v>
      </c>
      <c r="Q39" s="195">
        <f t="shared" si="12"/>
        <v>1225901.8717468916</v>
      </c>
      <c r="R39" s="183">
        <f t="shared" si="37"/>
        <v>2.5000000000000001E-2</v>
      </c>
      <c r="S39" s="183">
        <v>16</v>
      </c>
      <c r="T39" s="183">
        <f t="shared" si="3"/>
        <v>1.0338748735305754E-2</v>
      </c>
      <c r="U39" s="183">
        <f t="shared" si="3"/>
        <v>1.235681533854939E-2</v>
      </c>
      <c r="V39" s="183">
        <f t="shared" si="3"/>
        <v>1.2224905976828352E-2</v>
      </c>
      <c r="W39" s="183">
        <f t="shared" si="3"/>
        <v>1.2232661510738291E-2</v>
      </c>
      <c r="X39" s="183">
        <f t="shared" si="3"/>
        <v>1.2232202567890713E-2</v>
      </c>
      <c r="Y39" s="183">
        <f t="shared" si="3"/>
        <v>1.2232229715998294E-2</v>
      </c>
      <c r="Z39" s="183">
        <f t="shared" si="3"/>
        <v>1.2232228110054524E-2</v>
      </c>
      <c r="AA39" s="183">
        <f t="shared" si="3"/>
        <v>1.223222820505385E-2</v>
      </c>
      <c r="AB39" s="183">
        <f t="shared" si="3"/>
        <v>1.2232228199434182E-2</v>
      </c>
      <c r="AC39" s="183">
        <f t="shared" si="3"/>
        <v>1.2232228199766611E-2</v>
      </c>
      <c r="AD39" s="183">
        <f t="shared" si="3"/>
        <v>1.2232228199746948E-2</v>
      </c>
      <c r="AE39" s="183">
        <f t="shared" si="3"/>
        <v>1.2232228199748112E-2</v>
      </c>
      <c r="AF39" s="183">
        <f t="shared" si="3"/>
        <v>1.2232228199748044E-2</v>
      </c>
      <c r="AG39" s="196">
        <f t="shared" si="3"/>
        <v>1.2232228199748047E-2</v>
      </c>
      <c r="AH39" s="197">
        <f t="shared" si="13"/>
        <v>1.124755444515514E-2</v>
      </c>
      <c r="AI39" s="198">
        <f t="shared" si="32"/>
        <v>20.001209963399702</v>
      </c>
      <c r="AJ39" s="165">
        <f t="shared" si="4"/>
        <v>0.22496469803231761</v>
      </c>
      <c r="AK39" s="165"/>
      <c r="AL39" s="199">
        <f t="shared" ca="1" si="5"/>
        <v>812.0253577359872</v>
      </c>
      <c r="AM39" s="202">
        <f t="shared" si="6"/>
        <v>815.4879066540318</v>
      </c>
      <c r="AN39" s="183">
        <f t="shared" si="14"/>
        <v>16</v>
      </c>
      <c r="AO39" s="183">
        <f t="shared" si="15"/>
        <v>160</v>
      </c>
      <c r="AP39" s="230">
        <f t="shared" si="16"/>
        <v>969.58</v>
      </c>
      <c r="AQ39" s="226">
        <f t="shared" si="17"/>
        <v>101.05224151572662</v>
      </c>
      <c r="AR39" s="227">
        <f t="shared" si="18"/>
        <v>3.2375302317635866</v>
      </c>
      <c r="AS39" s="208">
        <f t="shared" si="7"/>
        <v>306.19713741770158</v>
      </c>
      <c r="AT39" s="228">
        <f t="shared" si="33"/>
        <v>10000</v>
      </c>
      <c r="AU39" s="228">
        <f t="shared" si="19"/>
        <v>100000000</v>
      </c>
      <c r="AV39" s="206">
        <f t="shared" si="20"/>
        <v>645.5</v>
      </c>
      <c r="AW39" s="206">
        <f t="shared" si="21"/>
        <v>64.5</v>
      </c>
      <c r="AX39" s="204">
        <f t="shared" si="22"/>
        <v>916.54014816975837</v>
      </c>
      <c r="AZ39" s="200">
        <f t="shared" si="8"/>
        <v>5.9079066540317626</v>
      </c>
      <c r="BA39" s="200">
        <f t="shared" si="23"/>
        <v>8.8618599810476439</v>
      </c>
      <c r="BB39" s="163">
        <f t="shared" si="24"/>
        <v>20</v>
      </c>
      <c r="BC39" s="183">
        <f t="shared" si="25"/>
        <v>200</v>
      </c>
      <c r="BD39" s="164">
        <f t="shared" si="26"/>
        <v>1009.58</v>
      </c>
    </row>
    <row r="40" spans="1:56" s="163" customFormat="1" ht="12.75">
      <c r="A40" s="229">
        <v>240</v>
      </c>
      <c r="B40" s="229">
        <v>809.36</v>
      </c>
      <c r="C40" s="201">
        <f t="shared" si="27"/>
        <v>-1.1000000000001365E-2</v>
      </c>
      <c r="D40" s="9">
        <f t="shared" si="2"/>
        <v>240</v>
      </c>
      <c r="E40" s="203">
        <f t="shared" si="2"/>
        <v>809.36</v>
      </c>
      <c r="F40" s="164">
        <f t="shared" si="28"/>
        <v>240.95819918889381</v>
      </c>
      <c r="G40" s="194"/>
      <c r="H40" s="194">
        <f t="shared" ref="H40" si="45">H39</f>
        <v>3090</v>
      </c>
      <c r="I40" s="183" t="s">
        <v>140</v>
      </c>
      <c r="J40" s="225">
        <f t="shared" si="30"/>
        <v>8</v>
      </c>
      <c r="K40" s="164">
        <v>710</v>
      </c>
      <c r="L40" s="164">
        <v>64.5</v>
      </c>
      <c r="M40" s="164">
        <f t="shared" si="35"/>
        <v>0</v>
      </c>
      <c r="N40" s="183">
        <f t="shared" si="9"/>
        <v>581</v>
      </c>
      <c r="O40" s="168">
        <f t="shared" si="10"/>
        <v>0.26511978943460601</v>
      </c>
      <c r="P40" s="168">
        <f t="shared" si="11"/>
        <v>3.2375302317635866</v>
      </c>
      <c r="Q40" s="195">
        <f t="shared" si="12"/>
        <v>1225901.8717468916</v>
      </c>
      <c r="R40" s="183">
        <f t="shared" si="37"/>
        <v>2.5000000000000001E-2</v>
      </c>
      <c r="S40" s="183">
        <v>17</v>
      </c>
      <c r="T40" s="183">
        <f t="shared" si="3"/>
        <v>1.0336433989266008E-2</v>
      </c>
      <c r="U40" s="183">
        <f t="shared" si="3"/>
        <v>1.2356985110195152E-2</v>
      </c>
      <c r="V40" s="183">
        <f t="shared" si="3"/>
        <v>1.2224896063631979E-2</v>
      </c>
      <c r="W40" s="183">
        <f t="shared" si="3"/>
        <v>1.223266209760198E-2</v>
      </c>
      <c r="X40" s="183">
        <f t="shared" si="3"/>
        <v>1.2232202533176466E-2</v>
      </c>
      <c r="Y40" s="183">
        <f t="shared" si="3"/>
        <v>1.2232229718051813E-2</v>
      </c>
      <c r="Z40" s="183">
        <f t="shared" si="3"/>
        <v>1.2232228109933047E-2</v>
      </c>
      <c r="AA40" s="183">
        <f t="shared" si="3"/>
        <v>1.2232228205061035E-2</v>
      </c>
      <c r="AB40" s="183">
        <f t="shared" si="3"/>
        <v>1.2232228199433759E-2</v>
      </c>
      <c r="AC40" s="183">
        <f t="shared" si="3"/>
        <v>1.223222819976664E-2</v>
      </c>
      <c r="AD40" s="183">
        <f t="shared" si="3"/>
        <v>1.2232228199746948E-2</v>
      </c>
      <c r="AE40" s="183">
        <f t="shared" si="3"/>
        <v>1.2232228199748112E-2</v>
      </c>
      <c r="AF40" s="183">
        <f t="shared" si="3"/>
        <v>1.2232228199748044E-2</v>
      </c>
      <c r="AG40" s="196">
        <f t="shared" si="3"/>
        <v>1.2232228199748047E-2</v>
      </c>
      <c r="AH40" s="197">
        <f t="shared" si="13"/>
        <v>1.124755444515514E-2</v>
      </c>
      <c r="AI40" s="198">
        <f t="shared" si="32"/>
        <v>20.001209963399702</v>
      </c>
      <c r="AJ40" s="165">
        <f t="shared" si="4"/>
        <v>0.22496469803231761</v>
      </c>
      <c r="AK40" s="165"/>
      <c r="AL40" s="199">
        <f t="shared" ca="1" si="5"/>
        <v>812.0221880189888</v>
      </c>
      <c r="AM40" s="202">
        <f t="shared" si="6"/>
        <v>815.26295556512866</v>
      </c>
      <c r="AN40" s="183">
        <f t="shared" si="14"/>
        <v>16</v>
      </c>
      <c r="AO40" s="183">
        <f t="shared" si="15"/>
        <v>160</v>
      </c>
      <c r="AP40" s="230">
        <f t="shared" si="16"/>
        <v>969.36</v>
      </c>
      <c r="AQ40" s="226">
        <f t="shared" si="17"/>
        <v>101.05224151572662</v>
      </c>
      <c r="AR40" s="227">
        <f t="shared" si="18"/>
        <v>3.2375302317635866</v>
      </c>
      <c r="AS40" s="208">
        <f t="shared" si="7"/>
        <v>306.19713741770158</v>
      </c>
      <c r="AT40" s="228">
        <f t="shared" si="33"/>
        <v>10000</v>
      </c>
      <c r="AU40" s="228">
        <f t="shared" si="19"/>
        <v>100000000</v>
      </c>
      <c r="AV40" s="206">
        <f t="shared" si="20"/>
        <v>645.5</v>
      </c>
      <c r="AW40" s="206">
        <f t="shared" si="21"/>
        <v>64.5</v>
      </c>
      <c r="AX40" s="204">
        <f t="shared" si="22"/>
        <v>916.31519708085534</v>
      </c>
      <c r="AZ40" s="200">
        <f t="shared" si="8"/>
        <v>5.9029555651286501</v>
      </c>
      <c r="BA40" s="200">
        <f t="shared" si="23"/>
        <v>8.8544333476929751</v>
      </c>
      <c r="BB40" s="163">
        <f t="shared" si="24"/>
        <v>20</v>
      </c>
      <c r="BC40" s="183">
        <f t="shared" si="25"/>
        <v>200</v>
      </c>
      <c r="BD40" s="164">
        <f t="shared" si="26"/>
        <v>1009.36</v>
      </c>
    </row>
    <row r="41" spans="1:56" s="163" customFormat="1" ht="12.75">
      <c r="A41" s="229">
        <v>260</v>
      </c>
      <c r="B41" s="229">
        <v>809.14</v>
      </c>
      <c r="C41" s="201">
        <f t="shared" si="27"/>
        <v>-1.1000000000001365E-2</v>
      </c>
      <c r="D41" s="9">
        <f t="shared" si="2"/>
        <v>260</v>
      </c>
      <c r="E41" s="203">
        <f t="shared" si="2"/>
        <v>809.14</v>
      </c>
      <c r="F41" s="164">
        <f t="shared" si="28"/>
        <v>260.95940915229352</v>
      </c>
      <c r="G41" s="194"/>
      <c r="H41" s="194">
        <f t="shared" ref="H41" si="46">H40</f>
        <v>3090</v>
      </c>
      <c r="I41" s="183" t="s">
        <v>140</v>
      </c>
      <c r="J41" s="225">
        <f t="shared" si="30"/>
        <v>8</v>
      </c>
      <c r="K41" s="164">
        <v>710</v>
      </c>
      <c r="L41" s="164">
        <v>64.5</v>
      </c>
      <c r="M41" s="164">
        <f t="shared" si="35"/>
        <v>0</v>
      </c>
      <c r="N41" s="183">
        <f t="shared" si="9"/>
        <v>581</v>
      </c>
      <c r="O41" s="168">
        <f t="shared" si="10"/>
        <v>0.26511978943460601</v>
      </c>
      <c r="P41" s="168">
        <f t="shared" si="11"/>
        <v>3.2375302317635866</v>
      </c>
      <c r="Q41" s="195">
        <f t="shared" si="12"/>
        <v>1225901.8717468916</v>
      </c>
      <c r="R41" s="183">
        <f t="shared" si="37"/>
        <v>2.5000000000000001E-2</v>
      </c>
      <c r="S41" s="183">
        <v>18</v>
      </c>
      <c r="T41" s="183">
        <f t="shared" si="3"/>
        <v>1.033431302997199E-2</v>
      </c>
      <c r="U41" s="183">
        <f t="shared" si="3"/>
        <v>1.2357140711375298E-2</v>
      </c>
      <c r="V41" s="183">
        <f t="shared" si="3"/>
        <v>1.2224886978021553E-2</v>
      </c>
      <c r="W41" s="183">
        <f t="shared" si="3"/>
        <v>1.2232662635472907E-2</v>
      </c>
      <c r="X41" s="183">
        <f t="shared" si="3"/>
        <v>1.2232202501360248E-2</v>
      </c>
      <c r="Y41" s="183">
        <f t="shared" si="3"/>
        <v>1.2232229719933903E-2</v>
      </c>
      <c r="Z41" s="183">
        <f t="shared" si="3"/>
        <v>1.2232228109821712E-2</v>
      </c>
      <c r="AA41" s="183">
        <f t="shared" si="3"/>
        <v>1.2232228205067626E-2</v>
      </c>
      <c r="AB41" s="183">
        <f t="shared" si="3"/>
        <v>1.2232228199433365E-2</v>
      </c>
      <c r="AC41" s="183">
        <f t="shared" si="3"/>
        <v>1.2232228199766659E-2</v>
      </c>
      <c r="AD41" s="183">
        <f t="shared" si="3"/>
        <v>1.2232228199746942E-2</v>
      </c>
      <c r="AE41" s="183">
        <f t="shared" si="3"/>
        <v>1.2232228199748112E-2</v>
      </c>
      <c r="AF41" s="183">
        <f t="shared" si="3"/>
        <v>1.2232228199748044E-2</v>
      </c>
      <c r="AG41" s="196">
        <f t="shared" si="3"/>
        <v>1.2232228199748047E-2</v>
      </c>
      <c r="AH41" s="197">
        <f t="shared" si="13"/>
        <v>1.124755444515514E-2</v>
      </c>
      <c r="AI41" s="198">
        <f t="shared" si="32"/>
        <v>20.001209963399702</v>
      </c>
      <c r="AJ41" s="165">
        <f t="shared" si="4"/>
        <v>0.22496469803231761</v>
      </c>
      <c r="AK41" s="165"/>
      <c r="AL41" s="199">
        <f t="shared" ca="1" si="5"/>
        <v>812.0221880189888</v>
      </c>
      <c r="AM41" s="202">
        <f t="shared" si="6"/>
        <v>815.03800447622552</v>
      </c>
      <c r="AN41" s="183">
        <f t="shared" si="14"/>
        <v>16</v>
      </c>
      <c r="AO41" s="183">
        <f t="shared" si="15"/>
        <v>160</v>
      </c>
      <c r="AP41" s="230">
        <f t="shared" si="16"/>
        <v>969.14</v>
      </c>
      <c r="AQ41" s="226">
        <f t="shared" si="17"/>
        <v>101.05224151572662</v>
      </c>
      <c r="AR41" s="227">
        <f t="shared" si="18"/>
        <v>3.2375302317635866</v>
      </c>
      <c r="AS41" s="208">
        <f t="shared" si="7"/>
        <v>306.19713741770158</v>
      </c>
      <c r="AT41" s="228">
        <f t="shared" si="33"/>
        <v>10000</v>
      </c>
      <c r="AU41" s="228">
        <f t="shared" si="19"/>
        <v>100000000</v>
      </c>
      <c r="AV41" s="206">
        <f t="shared" si="20"/>
        <v>645.5</v>
      </c>
      <c r="AW41" s="206">
        <f t="shared" si="21"/>
        <v>64.5</v>
      </c>
      <c r="AX41" s="204">
        <f t="shared" si="22"/>
        <v>916.09024599195209</v>
      </c>
      <c r="AZ41" s="200">
        <f t="shared" si="8"/>
        <v>5.8980044762255375</v>
      </c>
      <c r="BA41" s="200">
        <f t="shared" si="23"/>
        <v>8.8470067143383062</v>
      </c>
      <c r="BB41" s="163">
        <f t="shared" si="24"/>
        <v>20</v>
      </c>
      <c r="BC41" s="183">
        <f t="shared" si="25"/>
        <v>200</v>
      </c>
      <c r="BD41" s="164">
        <f t="shared" si="26"/>
        <v>1009.14</v>
      </c>
    </row>
    <row r="42" spans="1:56" s="163" customFormat="1" ht="12.75">
      <c r="A42" s="229">
        <v>280</v>
      </c>
      <c r="B42" s="229">
        <v>807.89</v>
      </c>
      <c r="C42" s="201">
        <f t="shared" si="27"/>
        <v>-6.25E-2</v>
      </c>
      <c r="D42" s="9">
        <f t="shared" si="2"/>
        <v>280</v>
      </c>
      <c r="E42" s="203">
        <f t="shared" si="2"/>
        <v>807.89</v>
      </c>
      <c r="F42" s="164">
        <f t="shared" si="28"/>
        <v>280.99843357964528</v>
      </c>
      <c r="G42" s="194"/>
      <c r="H42" s="194">
        <f t="shared" ref="H42" si="47">H41</f>
        <v>3090</v>
      </c>
      <c r="I42" s="183" t="s">
        <v>140</v>
      </c>
      <c r="J42" s="225">
        <f t="shared" si="30"/>
        <v>8</v>
      </c>
      <c r="K42" s="164">
        <v>710</v>
      </c>
      <c r="L42" s="164">
        <v>64.5</v>
      </c>
      <c r="M42" s="164">
        <f t="shared" si="29"/>
        <v>0</v>
      </c>
      <c r="N42" s="183">
        <f t="shared" si="9"/>
        <v>581</v>
      </c>
      <c r="O42" s="168">
        <f t="shared" si="10"/>
        <v>0.26511978943460601</v>
      </c>
      <c r="P42" s="168">
        <f t="shared" si="11"/>
        <v>3.2375302317635866</v>
      </c>
      <c r="Q42" s="195">
        <f t="shared" si="12"/>
        <v>1225901.8717468916</v>
      </c>
      <c r="R42" s="183">
        <f t="shared" si="31"/>
        <v>2.5000000000000001E-2</v>
      </c>
      <c r="S42" s="183">
        <v>10</v>
      </c>
      <c r="T42" s="183">
        <f t="shared" si="3"/>
        <v>1.035919253438632E-2</v>
      </c>
      <c r="U42" s="183">
        <f t="shared" si="3"/>
        <v>1.2355318018115843E-2</v>
      </c>
      <c r="V42" s="183">
        <f t="shared" si="3"/>
        <v>1.222499341495387E-2</v>
      </c>
      <c r="W42" s="183">
        <f t="shared" si="3"/>
        <v>1.2232656334405966E-2</v>
      </c>
      <c r="X42" s="183">
        <f t="shared" si="3"/>
        <v>1.2232202874081969E-2</v>
      </c>
      <c r="Y42" s="183">
        <f t="shared" si="3"/>
        <v>1.2232229697885554E-2</v>
      </c>
      <c r="Z42" s="183">
        <f t="shared" si="3"/>
        <v>1.2232228111125983E-2</v>
      </c>
      <c r="AA42" s="183">
        <f t="shared" si="3"/>
        <v>1.2232228204990469E-2</v>
      </c>
      <c r="AB42" s="183">
        <f t="shared" si="3"/>
        <v>1.2232228199437931E-2</v>
      </c>
      <c r="AC42" s="183">
        <f t="shared" si="3"/>
        <v>1.2232228199766389E-2</v>
      </c>
      <c r="AD42" s="183">
        <f t="shared" si="3"/>
        <v>1.2232228199746962E-2</v>
      </c>
      <c r="AE42" s="183">
        <f t="shared" si="3"/>
        <v>1.2232228199748112E-2</v>
      </c>
      <c r="AF42" s="183">
        <f t="shared" si="3"/>
        <v>1.2232228199748044E-2</v>
      </c>
      <c r="AG42" s="196">
        <f t="shared" si="3"/>
        <v>1.2232228199748047E-2</v>
      </c>
      <c r="AH42" s="197">
        <f t="shared" si="13"/>
        <v>1.124755444515514E-2</v>
      </c>
      <c r="AI42" s="198">
        <f t="shared" si="32"/>
        <v>20.039024427351762</v>
      </c>
      <c r="AJ42" s="165">
        <f t="shared" si="4"/>
        <v>0.22539001827443275</v>
      </c>
      <c r="AK42" s="165"/>
      <c r="AL42" s="199">
        <f t="shared" ca="1" si="5"/>
        <v>812.0221880189888</v>
      </c>
      <c r="AM42" s="202">
        <f t="shared" si="6"/>
        <v>814.81305338732238</v>
      </c>
      <c r="AN42" s="183">
        <f t="shared" si="14"/>
        <v>16</v>
      </c>
      <c r="AO42" s="183">
        <f t="shared" si="15"/>
        <v>160</v>
      </c>
      <c r="AP42" s="230">
        <f t="shared" si="16"/>
        <v>967.89</v>
      </c>
      <c r="AQ42" s="226">
        <f t="shared" si="17"/>
        <v>101.05224151572662</v>
      </c>
      <c r="AR42" s="227">
        <f t="shared" si="18"/>
        <v>3.2375302317635866</v>
      </c>
      <c r="AS42" s="208">
        <f t="shared" si="7"/>
        <v>306.19713741770158</v>
      </c>
      <c r="AT42" s="228">
        <f t="shared" si="33"/>
        <v>10000</v>
      </c>
      <c r="AU42" s="228">
        <f t="shared" si="19"/>
        <v>100000000</v>
      </c>
      <c r="AV42" s="206">
        <f t="shared" si="20"/>
        <v>645.5</v>
      </c>
      <c r="AW42" s="206">
        <f t="shared" si="21"/>
        <v>64.5</v>
      </c>
      <c r="AX42" s="204">
        <f t="shared" si="22"/>
        <v>915.86529490304906</v>
      </c>
      <c r="AZ42" s="200">
        <f t="shared" si="8"/>
        <v>6.9230533873223976</v>
      </c>
      <c r="BA42" s="200">
        <f t="shared" si="23"/>
        <v>10.384580080983596</v>
      </c>
      <c r="BB42" s="163">
        <f t="shared" si="24"/>
        <v>20</v>
      </c>
      <c r="BC42" s="183">
        <f t="shared" si="25"/>
        <v>200</v>
      </c>
      <c r="BD42" s="164">
        <f t="shared" si="26"/>
        <v>1007.89</v>
      </c>
    </row>
    <row r="43" spans="1:56" s="163" customFormat="1" ht="12.75">
      <c r="A43" s="229">
        <v>300</v>
      </c>
      <c r="B43" s="229">
        <v>802.89</v>
      </c>
      <c r="C43" s="201">
        <f t="shared" si="27"/>
        <v>-0.25</v>
      </c>
      <c r="D43" s="9">
        <f t="shared" si="2"/>
        <v>300</v>
      </c>
      <c r="E43" s="203">
        <f t="shared" si="2"/>
        <v>802.89</v>
      </c>
      <c r="F43" s="164">
        <f t="shared" si="28"/>
        <v>301.61396170773361</v>
      </c>
      <c r="G43" s="194"/>
      <c r="H43" s="194">
        <f t="shared" ref="H43" si="48">H42</f>
        <v>3090</v>
      </c>
      <c r="I43" s="183" t="s">
        <v>140</v>
      </c>
      <c r="J43" s="225">
        <f t="shared" si="30"/>
        <v>8</v>
      </c>
      <c r="K43" s="164">
        <v>710</v>
      </c>
      <c r="L43" s="164">
        <v>64.5</v>
      </c>
      <c r="M43" s="164">
        <f>M29</f>
        <v>0</v>
      </c>
      <c r="N43" s="183">
        <f t="shared" si="9"/>
        <v>581</v>
      </c>
      <c r="O43" s="168">
        <f t="shared" si="10"/>
        <v>0.26511978943460601</v>
      </c>
      <c r="P43" s="168">
        <f t="shared" si="11"/>
        <v>3.2375302317635866</v>
      </c>
      <c r="Q43" s="195">
        <f t="shared" si="12"/>
        <v>1225901.8717468916</v>
      </c>
      <c r="R43" s="183">
        <f>R29</f>
        <v>2.5000000000000001E-2</v>
      </c>
      <c r="S43" s="183">
        <v>6</v>
      </c>
      <c r="T43" s="183">
        <f t="shared" si="3"/>
        <v>1.0387322905005731E-2</v>
      </c>
      <c r="U43" s="183">
        <f t="shared" si="3"/>
        <v>1.2353263871490177E-2</v>
      </c>
      <c r="V43" s="183">
        <f t="shared" si="3"/>
        <v>1.2225113391816624E-2</v>
      </c>
      <c r="W43" s="183">
        <f t="shared" si="3"/>
        <v>1.2232649231859313E-2</v>
      </c>
      <c r="X43" s="183">
        <f t="shared" si="3"/>
        <v>1.2232203294213248E-2</v>
      </c>
      <c r="Y43" s="183">
        <f t="shared" si="3"/>
        <v>1.2232229673032693E-2</v>
      </c>
      <c r="Z43" s="183">
        <f t="shared" si="3"/>
        <v>1.2232228112596145E-2</v>
      </c>
      <c r="AA43" s="183">
        <f t="shared" si="3"/>
        <v>1.2232228204903502E-2</v>
      </c>
      <c r="AB43" s="183">
        <f t="shared" si="3"/>
        <v>1.2232228199443074E-2</v>
      </c>
      <c r="AC43" s="183">
        <f t="shared" si="3"/>
        <v>1.2232228199766087E-2</v>
      </c>
      <c r="AD43" s="183">
        <f t="shared" si="3"/>
        <v>1.2232228199746981E-2</v>
      </c>
      <c r="AE43" s="183">
        <f t="shared" si="3"/>
        <v>1.2232228199748112E-2</v>
      </c>
      <c r="AF43" s="183">
        <f t="shared" si="3"/>
        <v>1.2232228199748044E-2</v>
      </c>
      <c r="AG43" s="196">
        <f t="shared" si="3"/>
        <v>1.2232228199748047E-2</v>
      </c>
      <c r="AH43" s="197">
        <f>AG43*P43^2/(2*9.81*(N43/1000))</f>
        <v>1.124755444515514E-2</v>
      </c>
      <c r="AI43" s="198">
        <f>ABS(F43-F42)</f>
        <v>20.615528128088329</v>
      </c>
      <c r="AJ43" s="165">
        <f t="shared" si="4"/>
        <v>0.2318742750363007</v>
      </c>
      <c r="AK43" s="165"/>
      <c r="AL43" s="199">
        <f t="shared" ca="1" si="5"/>
        <v>812.0221880189888</v>
      </c>
      <c r="AM43" s="202">
        <f t="shared" si="6"/>
        <v>814.58810229841924</v>
      </c>
      <c r="AN43" s="183">
        <f t="shared" si="14"/>
        <v>16</v>
      </c>
      <c r="AO43" s="183">
        <f t="shared" si="15"/>
        <v>160</v>
      </c>
      <c r="AP43" s="230">
        <f t="shared" si="16"/>
        <v>962.89</v>
      </c>
      <c r="AQ43" s="226">
        <f t="shared" si="17"/>
        <v>101.05224151572662</v>
      </c>
      <c r="AR43" s="227">
        <f t="shared" si="18"/>
        <v>3.2375302317635866</v>
      </c>
      <c r="AS43" s="208">
        <f t="shared" si="7"/>
        <v>306.19713741770158</v>
      </c>
      <c r="AT43" s="228">
        <f t="shared" si="33"/>
        <v>10000</v>
      </c>
      <c r="AU43" s="228">
        <f t="shared" si="19"/>
        <v>100000000</v>
      </c>
      <c r="AV43" s="206">
        <f t="shared" si="20"/>
        <v>645.5</v>
      </c>
      <c r="AW43" s="206">
        <f t="shared" si="21"/>
        <v>64.5</v>
      </c>
      <c r="AX43" s="204">
        <f t="shared" si="22"/>
        <v>915.64034381414581</v>
      </c>
      <c r="AZ43" s="200">
        <f t="shared" si="8"/>
        <v>11.698102298419258</v>
      </c>
      <c r="BA43" s="200">
        <f t="shared" si="23"/>
        <v>17.547153447628887</v>
      </c>
      <c r="BB43" s="163">
        <f t="shared" si="24"/>
        <v>20</v>
      </c>
      <c r="BC43" s="183">
        <f t="shared" si="25"/>
        <v>200</v>
      </c>
      <c r="BD43" s="164">
        <f t="shared" si="26"/>
        <v>1002.89</v>
      </c>
    </row>
    <row r="44" spans="1:56" ht="12.75">
      <c r="A44" s="229">
        <v>320</v>
      </c>
      <c r="B44" s="229">
        <v>802.55</v>
      </c>
      <c r="C44" s="201">
        <f t="shared" si="27"/>
        <v>-1.700000000000159E-2</v>
      </c>
      <c r="D44" s="9">
        <f t="shared" si="2"/>
        <v>320</v>
      </c>
      <c r="E44" s="203">
        <f t="shared" si="2"/>
        <v>802.55</v>
      </c>
      <c r="F44" s="164">
        <f t="shared" si="28"/>
        <v>321.6168514989613</v>
      </c>
      <c r="G44" s="194"/>
      <c r="H44" s="194">
        <f t="shared" ref="H44" si="49">H43</f>
        <v>3090</v>
      </c>
      <c r="I44" s="183" t="s">
        <v>140</v>
      </c>
      <c r="J44" s="225">
        <f t="shared" si="30"/>
        <v>8</v>
      </c>
      <c r="K44" s="164">
        <v>710</v>
      </c>
      <c r="L44" s="164">
        <v>64.5</v>
      </c>
      <c r="M44" s="164">
        <f t="shared" ref="M44:M66" si="50">M30</f>
        <v>0</v>
      </c>
      <c r="N44" s="183">
        <f t="shared" si="9"/>
        <v>581</v>
      </c>
      <c r="O44" s="168">
        <f t="shared" si="10"/>
        <v>0.26511978943460601</v>
      </c>
      <c r="P44" s="168">
        <f t="shared" si="11"/>
        <v>3.2375302317635866</v>
      </c>
      <c r="Q44" s="195">
        <f t="shared" si="12"/>
        <v>1225901.8717468916</v>
      </c>
      <c r="R44" s="183">
        <f t="shared" ref="R44:R66" si="51">R30</f>
        <v>2.5000000000000001E-2</v>
      </c>
      <c r="S44" s="183">
        <v>7</v>
      </c>
      <c r="T44" s="183">
        <f t="shared" ref="T44:AG59" si="52">(1.14-2*LOG($R44/$N44+9.35/($Q44*(S44^0.5))))^-2</f>
        <v>1.0378100153553749E-2</v>
      </c>
      <c r="U44" s="183">
        <f t="shared" si="52"/>
        <v>1.2353936556817841E-2</v>
      </c>
      <c r="V44" s="183">
        <f t="shared" si="52"/>
        <v>1.2225074099365098E-2</v>
      </c>
      <c r="W44" s="183">
        <f t="shared" si="52"/>
        <v>1.2232651557935226E-2</v>
      </c>
      <c r="X44" s="183">
        <f t="shared" si="52"/>
        <v>1.22322031566207E-2</v>
      </c>
      <c r="Y44" s="183">
        <f t="shared" si="52"/>
        <v>1.2232229681171981E-2</v>
      </c>
      <c r="Z44" s="183">
        <f t="shared" si="52"/>
        <v>1.2232228112114671E-2</v>
      </c>
      <c r="AA44" s="183">
        <f t="shared" si="52"/>
        <v>1.2232228204931984E-2</v>
      </c>
      <c r="AB44" s="183">
        <f t="shared" si="52"/>
        <v>1.2232228199441392E-2</v>
      </c>
      <c r="AC44" s="183">
        <f t="shared" si="52"/>
        <v>1.2232228199766187E-2</v>
      </c>
      <c r="AD44" s="183">
        <f t="shared" si="52"/>
        <v>1.2232228199746972E-2</v>
      </c>
      <c r="AE44" s="183">
        <f t="shared" si="52"/>
        <v>1.2232228199748112E-2</v>
      </c>
      <c r="AF44" s="183">
        <f t="shared" si="52"/>
        <v>1.2232228199748044E-2</v>
      </c>
      <c r="AG44" s="196">
        <f t="shared" si="52"/>
        <v>1.2232228199748047E-2</v>
      </c>
      <c r="AH44" s="197">
        <f t="shared" ref="AH44:AH67" si="53">AG44*P44^2/(2*9.81*(N44/1000))</f>
        <v>1.124755444515514E-2</v>
      </c>
      <c r="AI44" s="198">
        <f t="shared" ref="AI44:AI67" si="54">ABS(F44-F43)</f>
        <v>20.002889791227688</v>
      </c>
      <c r="AJ44" s="165">
        <f t="shared" si="4"/>
        <v>0.22498359198727136</v>
      </c>
      <c r="AK44" s="165"/>
      <c r="AL44" s="199">
        <f t="shared" ca="1" si="5"/>
        <v>812.0221880189888</v>
      </c>
      <c r="AM44" s="202">
        <f t="shared" si="6"/>
        <v>814.3631512095161</v>
      </c>
      <c r="AN44" s="183">
        <f t="shared" si="14"/>
        <v>16</v>
      </c>
      <c r="AO44" s="183">
        <f t="shared" si="15"/>
        <v>160</v>
      </c>
      <c r="AP44" s="230">
        <f t="shared" si="16"/>
        <v>962.55</v>
      </c>
      <c r="AQ44" s="226">
        <f t="shared" si="17"/>
        <v>101.05224151572662</v>
      </c>
      <c r="AR44" s="227">
        <f t="shared" si="18"/>
        <v>3.2375302317635866</v>
      </c>
      <c r="AS44" s="208">
        <f t="shared" si="7"/>
        <v>306.19713741770158</v>
      </c>
      <c r="AT44" s="228">
        <f t="shared" si="33"/>
        <v>10000</v>
      </c>
      <c r="AU44" s="228">
        <f t="shared" si="19"/>
        <v>100000000</v>
      </c>
      <c r="AV44" s="206">
        <f t="shared" si="20"/>
        <v>645.5</v>
      </c>
      <c r="AW44" s="206">
        <f t="shared" si="21"/>
        <v>64.5</v>
      </c>
      <c r="AX44" s="204">
        <f t="shared" si="22"/>
        <v>915.41539272524278</v>
      </c>
    </row>
    <row r="45" spans="1:56" ht="12.75">
      <c r="A45" s="229">
        <v>340</v>
      </c>
      <c r="B45" s="229">
        <v>802.35</v>
      </c>
      <c r="C45" s="201">
        <f t="shared" si="27"/>
        <v>-9.9999999999965897E-3</v>
      </c>
      <c r="D45" s="9">
        <f t="shared" si="2"/>
        <v>340</v>
      </c>
      <c r="E45" s="203">
        <f t="shared" si="2"/>
        <v>802.35</v>
      </c>
      <c r="F45" s="164">
        <f t="shared" si="28"/>
        <v>341.61785147396256</v>
      </c>
      <c r="G45" s="194"/>
      <c r="H45" s="194">
        <f t="shared" ref="H45" si="55">H44</f>
        <v>3090</v>
      </c>
      <c r="I45" s="183" t="s">
        <v>140</v>
      </c>
      <c r="J45" s="225">
        <f t="shared" si="30"/>
        <v>8</v>
      </c>
      <c r="K45" s="164">
        <v>710</v>
      </c>
      <c r="L45" s="164">
        <v>64.5</v>
      </c>
      <c r="M45" s="164">
        <f t="shared" si="50"/>
        <v>0</v>
      </c>
      <c r="N45" s="183">
        <f t="shared" si="9"/>
        <v>581</v>
      </c>
      <c r="O45" s="168">
        <f t="shared" si="10"/>
        <v>0.26511978943460601</v>
      </c>
      <c r="P45" s="168">
        <f t="shared" si="11"/>
        <v>3.2375302317635866</v>
      </c>
      <c r="Q45" s="195">
        <f t="shared" si="12"/>
        <v>1225901.8717468916</v>
      </c>
      <c r="R45" s="183">
        <f t="shared" si="51"/>
        <v>2.5000000000000001E-2</v>
      </c>
      <c r="S45" s="183">
        <v>8</v>
      </c>
      <c r="T45" s="183">
        <f t="shared" si="52"/>
        <v>1.03706410674282E-2</v>
      </c>
      <c r="U45" s="183">
        <f t="shared" si="52"/>
        <v>1.2354481162135694E-2</v>
      </c>
      <c r="V45" s="183">
        <f t="shared" si="52"/>
        <v>1.2225042290246563E-2</v>
      </c>
      <c r="W45" s="183">
        <f t="shared" si="52"/>
        <v>1.2232653441011926E-2</v>
      </c>
      <c r="X45" s="183">
        <f t="shared" si="52"/>
        <v>1.2232203045232561E-2</v>
      </c>
      <c r="Y45" s="183">
        <f t="shared" si="52"/>
        <v>1.2232229687761142E-2</v>
      </c>
      <c r="Z45" s="183">
        <f t="shared" si="52"/>
        <v>1.2232228111724886E-2</v>
      </c>
      <c r="AA45" s="183">
        <f t="shared" si="52"/>
        <v>1.223222820495504E-2</v>
      </c>
      <c r="AB45" s="183">
        <f t="shared" si="52"/>
        <v>1.2232228199440026E-2</v>
      </c>
      <c r="AC45" s="183">
        <f t="shared" si="52"/>
        <v>1.2232228199766267E-2</v>
      </c>
      <c r="AD45" s="183">
        <f t="shared" si="52"/>
        <v>1.2232228199746967E-2</v>
      </c>
      <c r="AE45" s="183">
        <f t="shared" si="52"/>
        <v>1.2232228199748112E-2</v>
      </c>
      <c r="AF45" s="183">
        <f t="shared" si="52"/>
        <v>1.2232228199748044E-2</v>
      </c>
      <c r="AG45" s="196">
        <f t="shared" si="52"/>
        <v>1.2232228199748047E-2</v>
      </c>
      <c r="AH45" s="197">
        <f t="shared" si="53"/>
        <v>1.124755444515514E-2</v>
      </c>
      <c r="AI45" s="198">
        <f t="shared" si="54"/>
        <v>20.000999975001264</v>
      </c>
      <c r="AJ45" s="165">
        <f t="shared" si="4"/>
        <v>0.22496233617637332</v>
      </c>
      <c r="AK45" s="165"/>
      <c r="AL45" s="199">
        <f t="shared" ca="1" si="5"/>
        <v>812.0063394339968</v>
      </c>
      <c r="AM45" s="202">
        <f t="shared" si="6"/>
        <v>814.13820012061296</v>
      </c>
      <c r="AN45" s="183">
        <f t="shared" si="14"/>
        <v>16</v>
      </c>
      <c r="AO45" s="183">
        <f t="shared" si="15"/>
        <v>160</v>
      </c>
      <c r="AP45" s="230">
        <f t="shared" si="16"/>
        <v>962.35</v>
      </c>
      <c r="AQ45" s="226">
        <f t="shared" si="17"/>
        <v>101.05224151572662</v>
      </c>
      <c r="AR45" s="227">
        <f t="shared" si="18"/>
        <v>3.2375302317635866</v>
      </c>
      <c r="AS45" s="208">
        <f t="shared" si="7"/>
        <v>306.19713741770158</v>
      </c>
      <c r="AT45" s="228">
        <f t="shared" si="33"/>
        <v>10000</v>
      </c>
      <c r="AU45" s="228">
        <f t="shared" si="19"/>
        <v>100000000</v>
      </c>
      <c r="AV45" s="206">
        <f t="shared" si="20"/>
        <v>645.5</v>
      </c>
      <c r="AW45" s="206">
        <f t="shared" si="21"/>
        <v>64.5</v>
      </c>
      <c r="AX45" s="204">
        <f t="shared" si="22"/>
        <v>915.19044163633953</v>
      </c>
    </row>
    <row r="46" spans="1:56" ht="12.75">
      <c r="A46" s="229">
        <v>360</v>
      </c>
      <c r="B46" s="229">
        <v>802.15</v>
      </c>
      <c r="C46" s="201">
        <f t="shared" si="27"/>
        <v>-1.0000000000002274E-2</v>
      </c>
      <c r="D46" s="9">
        <f t="shared" si="2"/>
        <v>360</v>
      </c>
      <c r="E46" s="203">
        <f t="shared" si="2"/>
        <v>802.15</v>
      </c>
      <c r="F46" s="164">
        <f t="shared" si="28"/>
        <v>361.61885144896382</v>
      </c>
      <c r="G46" s="194"/>
      <c r="H46" s="194">
        <f t="shared" ref="H46" si="56">H45</f>
        <v>3090</v>
      </c>
      <c r="I46" s="183" t="s">
        <v>140</v>
      </c>
      <c r="J46" s="225">
        <f t="shared" si="30"/>
        <v>8</v>
      </c>
      <c r="K46" s="164">
        <v>710</v>
      </c>
      <c r="L46" s="164">
        <v>64.5</v>
      </c>
      <c r="M46" s="164">
        <f t="shared" si="50"/>
        <v>0</v>
      </c>
      <c r="N46" s="183">
        <f t="shared" si="9"/>
        <v>581</v>
      </c>
      <c r="O46" s="168">
        <f t="shared" si="10"/>
        <v>0.26511978943460601</v>
      </c>
      <c r="P46" s="168">
        <f t="shared" si="11"/>
        <v>3.2375302317635866</v>
      </c>
      <c r="Q46" s="195">
        <f t="shared" si="12"/>
        <v>1225901.8717468916</v>
      </c>
      <c r="R46" s="183">
        <f t="shared" si="51"/>
        <v>2.5000000000000001E-2</v>
      </c>
      <c r="S46" s="183">
        <v>9</v>
      </c>
      <c r="T46" s="183">
        <f t="shared" si="52"/>
        <v>1.0364445683767197E-2</v>
      </c>
      <c r="U46" s="183">
        <f t="shared" si="52"/>
        <v>1.2354933881225013E-2</v>
      </c>
      <c r="V46" s="183">
        <f t="shared" si="52"/>
        <v>1.2225015849354407E-2</v>
      </c>
      <c r="W46" s="183">
        <f t="shared" si="52"/>
        <v>1.2232655006298304E-2</v>
      </c>
      <c r="X46" s="183">
        <f t="shared" si="52"/>
        <v>1.2232202952642438E-2</v>
      </c>
      <c r="Y46" s="183">
        <f t="shared" si="52"/>
        <v>1.2232229693238311E-2</v>
      </c>
      <c r="Z46" s="183">
        <f t="shared" si="52"/>
        <v>1.2232228111400888E-2</v>
      </c>
      <c r="AA46" s="183">
        <f t="shared" si="52"/>
        <v>1.2232228204974209E-2</v>
      </c>
      <c r="AB46" s="183">
        <f t="shared" si="52"/>
        <v>1.2232228199438892E-2</v>
      </c>
      <c r="AC46" s="183">
        <f t="shared" si="52"/>
        <v>1.2232228199766331E-2</v>
      </c>
      <c r="AD46" s="183">
        <f t="shared" si="52"/>
        <v>1.2232228199746962E-2</v>
      </c>
      <c r="AE46" s="183">
        <f t="shared" si="52"/>
        <v>1.2232228199748112E-2</v>
      </c>
      <c r="AF46" s="183">
        <f t="shared" si="52"/>
        <v>1.2232228199748044E-2</v>
      </c>
      <c r="AG46" s="196">
        <f t="shared" si="52"/>
        <v>1.2232228199748047E-2</v>
      </c>
      <c r="AH46" s="197">
        <f t="shared" si="53"/>
        <v>1.124755444515514E-2</v>
      </c>
      <c r="AI46" s="198">
        <f t="shared" si="54"/>
        <v>20.000999975001264</v>
      </c>
      <c r="AJ46" s="165">
        <f t="shared" si="4"/>
        <v>0.22496233617637332</v>
      </c>
      <c r="AK46" s="165"/>
      <c r="AL46" s="199">
        <f ca="1">(D47-D46)*AH46+AL47+AK46</f>
        <v>812.0031697169984</v>
      </c>
      <c r="AM46" s="202">
        <f>(D47-D46)*AH46+AM47+AK46</f>
        <v>813.91324903170982</v>
      </c>
      <c r="AN46" s="183">
        <f t="shared" si="14"/>
        <v>16</v>
      </c>
      <c r="AO46" s="183">
        <f t="shared" si="15"/>
        <v>160</v>
      </c>
      <c r="AP46" s="230">
        <f t="shared" si="16"/>
        <v>962.15</v>
      </c>
      <c r="AQ46" s="226">
        <f t="shared" si="17"/>
        <v>101.05224151572662</v>
      </c>
      <c r="AR46" s="227">
        <f t="shared" si="18"/>
        <v>3.2375302317635866</v>
      </c>
      <c r="AS46" s="208">
        <f t="shared" si="7"/>
        <v>306.19713741770158</v>
      </c>
      <c r="AT46" s="228">
        <f t="shared" si="33"/>
        <v>10000</v>
      </c>
      <c r="AU46" s="228">
        <f t="shared" si="19"/>
        <v>100000000</v>
      </c>
      <c r="AV46" s="206">
        <f t="shared" si="20"/>
        <v>645.5</v>
      </c>
      <c r="AW46" s="206">
        <f t="shared" si="21"/>
        <v>64.5</v>
      </c>
      <c r="AX46" s="204">
        <f t="shared" si="22"/>
        <v>914.9654905474365</v>
      </c>
    </row>
    <row r="47" spans="1:56" ht="12.75">
      <c r="A47" s="229">
        <v>380</v>
      </c>
      <c r="B47" s="229">
        <v>800.78</v>
      </c>
      <c r="C47" s="201">
        <f t="shared" si="27"/>
        <v>-6.8500000000000227E-2</v>
      </c>
      <c r="D47" s="9">
        <f t="shared" ref="D47:E64" si="57">A47</f>
        <v>380</v>
      </c>
      <c r="E47" s="203">
        <f t="shared" si="57"/>
        <v>800.78</v>
      </c>
      <c r="F47" s="164">
        <f t="shared" si="28"/>
        <v>381.66571903469901</v>
      </c>
      <c r="G47" s="194"/>
      <c r="H47" s="194">
        <f t="shared" ref="H47" si="58">H46</f>
        <v>3090</v>
      </c>
      <c r="I47" s="183" t="s">
        <v>140</v>
      </c>
      <c r="J47" s="225">
        <f t="shared" si="30"/>
        <v>8</v>
      </c>
      <c r="K47" s="164">
        <v>710</v>
      </c>
      <c r="L47" s="164">
        <v>64.5</v>
      </c>
      <c r="M47" s="164">
        <f t="shared" si="50"/>
        <v>0</v>
      </c>
      <c r="N47" s="183">
        <f t="shared" si="9"/>
        <v>581</v>
      </c>
      <c r="O47" s="168">
        <f t="shared" si="10"/>
        <v>0.26511978943460601</v>
      </c>
      <c r="P47" s="168">
        <f t="shared" si="11"/>
        <v>3.2375302317635866</v>
      </c>
      <c r="Q47" s="195">
        <f t="shared" si="12"/>
        <v>1225901.8717468916</v>
      </c>
      <c r="R47" s="183">
        <f t="shared" si="51"/>
        <v>2.5000000000000001E-2</v>
      </c>
      <c r="S47" s="183">
        <v>10</v>
      </c>
      <c r="T47" s="183">
        <f t="shared" si="52"/>
        <v>1.035919253438632E-2</v>
      </c>
      <c r="U47" s="183">
        <f t="shared" si="52"/>
        <v>1.2355318018115843E-2</v>
      </c>
      <c r="V47" s="183">
        <f t="shared" si="52"/>
        <v>1.222499341495387E-2</v>
      </c>
      <c r="W47" s="183">
        <f t="shared" si="52"/>
        <v>1.2232656334405966E-2</v>
      </c>
      <c r="X47" s="183">
        <f t="shared" si="52"/>
        <v>1.2232202874081969E-2</v>
      </c>
      <c r="Y47" s="183">
        <f t="shared" si="52"/>
        <v>1.2232229697885554E-2</v>
      </c>
      <c r="Z47" s="183">
        <f t="shared" si="52"/>
        <v>1.2232228111125983E-2</v>
      </c>
      <c r="AA47" s="183">
        <f t="shared" si="52"/>
        <v>1.2232228204990469E-2</v>
      </c>
      <c r="AB47" s="183">
        <f t="shared" si="52"/>
        <v>1.2232228199437931E-2</v>
      </c>
      <c r="AC47" s="183">
        <f t="shared" si="52"/>
        <v>1.2232228199766389E-2</v>
      </c>
      <c r="AD47" s="183">
        <f t="shared" si="52"/>
        <v>1.2232228199746962E-2</v>
      </c>
      <c r="AE47" s="183">
        <f t="shared" si="52"/>
        <v>1.2232228199748112E-2</v>
      </c>
      <c r="AF47" s="183">
        <f t="shared" si="52"/>
        <v>1.2232228199748044E-2</v>
      </c>
      <c r="AG47" s="196">
        <f t="shared" si="52"/>
        <v>1.2232228199748047E-2</v>
      </c>
      <c r="AH47" s="197">
        <f t="shared" si="53"/>
        <v>1.124755444515514E-2</v>
      </c>
      <c r="AI47" s="198">
        <f t="shared" si="54"/>
        <v>20.046867585735185</v>
      </c>
      <c r="AJ47" s="165">
        <f t="shared" si="4"/>
        <v>0.22547823462537228</v>
      </c>
      <c r="AK47" s="165"/>
      <c r="AL47" s="199">
        <f t="shared" ref="AL47:AL66" ca="1" si="59">(D48-D47)*AH47+AL48+AK47</f>
        <v>812.0031697169984</v>
      </c>
      <c r="AM47" s="202">
        <f t="shared" ref="AM47:AM62" si="60">(D48-D47)*AH47+AM48+AK47</f>
        <v>813.68829794280668</v>
      </c>
      <c r="AN47" s="183">
        <f t="shared" si="14"/>
        <v>16</v>
      </c>
      <c r="AO47" s="183">
        <f t="shared" si="15"/>
        <v>160</v>
      </c>
      <c r="AP47" s="230">
        <f t="shared" si="16"/>
        <v>960.78</v>
      </c>
      <c r="AQ47" s="226">
        <f t="shared" si="17"/>
        <v>101.05224151572662</v>
      </c>
      <c r="AR47" s="227">
        <f t="shared" si="18"/>
        <v>3.2375302317635866</v>
      </c>
      <c r="AS47" s="208">
        <f t="shared" si="7"/>
        <v>306.19713741770158</v>
      </c>
      <c r="AT47" s="228">
        <f t="shared" si="33"/>
        <v>10000</v>
      </c>
      <c r="AU47" s="228">
        <f t="shared" si="19"/>
        <v>100000000</v>
      </c>
      <c r="AV47" s="206">
        <f t="shared" si="20"/>
        <v>645.5</v>
      </c>
      <c r="AW47" s="206">
        <f t="shared" si="21"/>
        <v>64.5</v>
      </c>
      <c r="AX47" s="204">
        <f t="shared" si="22"/>
        <v>914.74053945853325</v>
      </c>
    </row>
    <row r="48" spans="1:56">
      <c r="A48" s="162">
        <v>400</v>
      </c>
      <c r="B48" s="162">
        <v>793.15</v>
      </c>
      <c r="C48" s="201">
        <f t="shared" si="27"/>
        <v>-0.38149999999999978</v>
      </c>
      <c r="D48" s="9">
        <f t="shared" si="57"/>
        <v>400</v>
      </c>
      <c r="E48" s="203">
        <f t="shared" si="57"/>
        <v>793.15</v>
      </c>
      <c r="F48" s="164">
        <f t="shared" si="28"/>
        <v>403.07172052960692</v>
      </c>
      <c r="G48" s="194"/>
      <c r="H48" s="194">
        <f t="shared" ref="H48" si="61">H47</f>
        <v>3090</v>
      </c>
      <c r="I48" s="183" t="s">
        <v>140</v>
      </c>
      <c r="J48" s="225">
        <f t="shared" si="30"/>
        <v>8</v>
      </c>
      <c r="K48" s="164">
        <v>710</v>
      </c>
      <c r="L48" s="164">
        <v>64.5</v>
      </c>
      <c r="M48" s="164">
        <f t="shared" si="50"/>
        <v>0</v>
      </c>
      <c r="N48" s="183">
        <f t="shared" si="9"/>
        <v>581</v>
      </c>
      <c r="O48" s="168">
        <f t="shared" si="10"/>
        <v>0.26511978943460601</v>
      </c>
      <c r="P48" s="168">
        <f t="shared" si="11"/>
        <v>3.2375302317635866</v>
      </c>
      <c r="Q48" s="195">
        <f t="shared" si="12"/>
        <v>1225901.8717468916</v>
      </c>
      <c r="R48" s="183">
        <f t="shared" si="51"/>
        <v>2.5000000000000001E-2</v>
      </c>
      <c r="S48" s="183">
        <v>11</v>
      </c>
      <c r="T48" s="183">
        <f t="shared" si="52"/>
        <v>1.0354664220100245E-2</v>
      </c>
      <c r="U48" s="183">
        <f t="shared" si="52"/>
        <v>1.235564935067426E-2</v>
      </c>
      <c r="V48" s="183">
        <f t="shared" si="52"/>
        <v>1.2224974065154985E-2</v>
      </c>
      <c r="W48" s="183">
        <f t="shared" si="52"/>
        <v>1.2232657479908931E-2</v>
      </c>
      <c r="X48" s="183">
        <f t="shared" si="52"/>
        <v>1.223220280632298E-2</v>
      </c>
      <c r="Y48" s="183">
        <f t="shared" si="52"/>
        <v>1.2232229701893834E-2</v>
      </c>
      <c r="Z48" s="183">
        <f t="shared" si="52"/>
        <v>1.2232228110888869E-2</v>
      </c>
      <c r="AA48" s="183">
        <f t="shared" si="52"/>
        <v>1.2232228205004494E-2</v>
      </c>
      <c r="AB48" s="183">
        <f t="shared" si="52"/>
        <v>1.2232228199437098E-2</v>
      </c>
      <c r="AC48" s="183">
        <f t="shared" si="52"/>
        <v>1.2232228199766437E-2</v>
      </c>
      <c r="AD48" s="183">
        <f t="shared" si="52"/>
        <v>1.2232228199746956E-2</v>
      </c>
      <c r="AE48" s="183">
        <f t="shared" si="52"/>
        <v>1.2232228199748112E-2</v>
      </c>
      <c r="AF48" s="183">
        <f t="shared" si="52"/>
        <v>1.2232228199748044E-2</v>
      </c>
      <c r="AG48" s="196">
        <f t="shared" si="52"/>
        <v>1.2232228199748047E-2</v>
      </c>
      <c r="AH48" s="197">
        <f t="shared" si="53"/>
        <v>1.124755444515514E-2</v>
      </c>
      <c r="AI48" s="198">
        <f t="shared" si="54"/>
        <v>21.406001494907912</v>
      </c>
      <c r="AJ48" s="165">
        <f t="shared" si="4"/>
        <v>0.24076516726704905</v>
      </c>
      <c r="AK48" s="165"/>
      <c r="AL48" s="199">
        <f t="shared" ca="1" si="59"/>
        <v>812.0031697169984</v>
      </c>
      <c r="AM48" s="202">
        <f t="shared" si="60"/>
        <v>813.46334685390354</v>
      </c>
      <c r="AN48" s="183">
        <f t="shared" si="14"/>
        <v>16</v>
      </c>
      <c r="AO48" s="183">
        <f t="shared" si="15"/>
        <v>160</v>
      </c>
      <c r="AP48" s="230">
        <f t="shared" si="16"/>
        <v>953.15</v>
      </c>
      <c r="AQ48" s="226">
        <f t="shared" si="17"/>
        <v>101.05224151572662</v>
      </c>
      <c r="AR48" s="227">
        <f t="shared" si="18"/>
        <v>3.2375302317635866</v>
      </c>
      <c r="AS48" s="208">
        <f t="shared" si="7"/>
        <v>306.19713741770158</v>
      </c>
      <c r="AT48" s="228">
        <f t="shared" si="33"/>
        <v>10000</v>
      </c>
      <c r="AU48" s="228">
        <f t="shared" si="19"/>
        <v>100000000</v>
      </c>
      <c r="AV48" s="206">
        <f t="shared" si="20"/>
        <v>645.5</v>
      </c>
      <c r="AW48" s="206">
        <f t="shared" si="21"/>
        <v>64.5</v>
      </c>
      <c r="AX48" s="204">
        <f t="shared" si="22"/>
        <v>914.51558836963022</v>
      </c>
    </row>
    <row r="49" spans="1:50">
      <c r="A49" s="162">
        <v>420</v>
      </c>
      <c r="B49" s="162">
        <v>784.99</v>
      </c>
      <c r="C49" s="201">
        <f t="shared" si="27"/>
        <v>-0.40799999999999842</v>
      </c>
      <c r="D49" s="9">
        <f t="shared" si="57"/>
        <v>420</v>
      </c>
      <c r="E49" s="203">
        <f t="shared" si="57"/>
        <v>784.99</v>
      </c>
      <c r="F49" s="164">
        <f t="shared" si="28"/>
        <v>424.6723131140709</v>
      </c>
      <c r="G49" s="194"/>
      <c r="H49" s="194">
        <f t="shared" ref="H49" si="62">H48</f>
        <v>3090</v>
      </c>
      <c r="I49" s="183" t="s">
        <v>140</v>
      </c>
      <c r="J49" s="225">
        <f t="shared" si="30"/>
        <v>8</v>
      </c>
      <c r="K49" s="164">
        <v>710</v>
      </c>
      <c r="L49" s="164">
        <v>64.5</v>
      </c>
      <c r="M49" s="164">
        <f t="shared" si="50"/>
        <v>0</v>
      </c>
      <c r="N49" s="183">
        <f t="shared" si="9"/>
        <v>581</v>
      </c>
      <c r="O49" s="168">
        <f t="shared" si="10"/>
        <v>0.26511978943460601</v>
      </c>
      <c r="P49" s="168">
        <f t="shared" si="11"/>
        <v>3.2375302317635866</v>
      </c>
      <c r="Q49" s="195">
        <f t="shared" si="12"/>
        <v>1225901.8717468916</v>
      </c>
      <c r="R49" s="183">
        <f t="shared" si="51"/>
        <v>2.5000000000000001E-2</v>
      </c>
      <c r="S49" s="183">
        <v>12</v>
      </c>
      <c r="T49" s="183">
        <f t="shared" si="52"/>
        <v>1.0350707723226982E-2</v>
      </c>
      <c r="U49" s="183">
        <f t="shared" si="52"/>
        <v>1.235593899506803E-2</v>
      </c>
      <c r="V49" s="183">
        <f t="shared" si="52"/>
        <v>1.2224957150486685E-2</v>
      </c>
      <c r="W49" s="183">
        <f t="shared" si="52"/>
        <v>1.2232658481254717E-2</v>
      </c>
      <c r="X49" s="183">
        <f t="shared" si="52"/>
        <v>1.2232202747091199E-2</v>
      </c>
      <c r="Y49" s="183">
        <f t="shared" si="52"/>
        <v>1.2232229705397689E-2</v>
      </c>
      <c r="Z49" s="183">
        <f t="shared" si="52"/>
        <v>1.2232228110681602E-2</v>
      </c>
      <c r="AA49" s="183">
        <f t="shared" si="52"/>
        <v>1.2232228205016755E-2</v>
      </c>
      <c r="AB49" s="183">
        <f t="shared" si="52"/>
        <v>1.2232228199436378E-2</v>
      </c>
      <c r="AC49" s="183">
        <f t="shared" si="52"/>
        <v>1.2232228199766481E-2</v>
      </c>
      <c r="AD49" s="183">
        <f t="shared" si="52"/>
        <v>1.2232228199746956E-2</v>
      </c>
      <c r="AE49" s="183">
        <f t="shared" si="52"/>
        <v>1.2232228199748112E-2</v>
      </c>
      <c r="AF49" s="183">
        <f t="shared" si="52"/>
        <v>1.2232228199748044E-2</v>
      </c>
      <c r="AG49" s="196">
        <f t="shared" si="52"/>
        <v>1.2232228199748047E-2</v>
      </c>
      <c r="AH49" s="197">
        <f t="shared" si="53"/>
        <v>1.124755444515514E-2</v>
      </c>
      <c r="AI49" s="198">
        <f t="shared" si="54"/>
        <v>21.600592584463982</v>
      </c>
      <c r="AJ49" s="165">
        <f t="shared" si="4"/>
        <v>0.24295384114137303</v>
      </c>
      <c r="AK49" s="165"/>
      <c r="AL49" s="199">
        <f t="shared" ca="1" si="59"/>
        <v>812.0031697169984</v>
      </c>
      <c r="AM49" s="202">
        <f t="shared" si="60"/>
        <v>813.2383957650004</v>
      </c>
      <c r="AN49" s="183">
        <f t="shared" si="14"/>
        <v>16</v>
      </c>
      <c r="AO49" s="183">
        <f t="shared" si="15"/>
        <v>160</v>
      </c>
      <c r="AP49" s="230">
        <f t="shared" si="16"/>
        <v>944.99</v>
      </c>
      <c r="AQ49" s="226">
        <f t="shared" si="17"/>
        <v>101.05224151572662</v>
      </c>
      <c r="AR49" s="227">
        <f t="shared" si="18"/>
        <v>3.2375302317635866</v>
      </c>
      <c r="AS49" s="208">
        <f t="shared" si="7"/>
        <v>306.19713741770158</v>
      </c>
      <c r="AT49" s="228">
        <f t="shared" si="33"/>
        <v>10000</v>
      </c>
      <c r="AU49" s="228">
        <f t="shared" si="19"/>
        <v>100000000</v>
      </c>
      <c r="AV49" s="206">
        <f t="shared" si="20"/>
        <v>645.5</v>
      </c>
      <c r="AW49" s="206">
        <f t="shared" si="21"/>
        <v>64.5</v>
      </c>
      <c r="AX49" s="204">
        <f t="shared" si="22"/>
        <v>914.29063728072697</v>
      </c>
    </row>
    <row r="50" spans="1:50">
      <c r="A50" s="162">
        <v>422.96999999999997</v>
      </c>
      <c r="B50" s="162">
        <v>783.1</v>
      </c>
      <c r="C50" s="201">
        <f t="shared" si="27"/>
        <v>-0.63636363636363813</v>
      </c>
      <c r="D50" s="9">
        <f t="shared" si="57"/>
        <v>422.96999999999997</v>
      </c>
      <c r="E50" s="203">
        <f t="shared" si="57"/>
        <v>783.1</v>
      </c>
      <c r="F50" s="164">
        <f t="shared" si="28"/>
        <v>428.19268241288029</v>
      </c>
      <c r="G50" s="194"/>
      <c r="H50" s="194">
        <f t="shared" ref="H50" si="63">H49</f>
        <v>3090</v>
      </c>
      <c r="I50" s="183" t="s">
        <v>140</v>
      </c>
      <c r="J50" s="225">
        <f t="shared" si="30"/>
        <v>8</v>
      </c>
      <c r="K50" s="164">
        <v>710</v>
      </c>
      <c r="L50" s="164">
        <v>64.5</v>
      </c>
      <c r="M50" s="164">
        <f t="shared" si="50"/>
        <v>0</v>
      </c>
      <c r="N50" s="183">
        <f t="shared" si="9"/>
        <v>581</v>
      </c>
      <c r="O50" s="168">
        <f t="shared" si="10"/>
        <v>0.26511978943460601</v>
      </c>
      <c r="P50" s="168">
        <f t="shared" si="11"/>
        <v>3.2375302317635866</v>
      </c>
      <c r="Q50" s="195">
        <f t="shared" si="12"/>
        <v>1225901.8717468916</v>
      </c>
      <c r="R50" s="183">
        <f t="shared" si="51"/>
        <v>2.5000000000000001E-2</v>
      </c>
      <c r="S50" s="183">
        <v>13</v>
      </c>
      <c r="T50" s="183">
        <f t="shared" si="52"/>
        <v>1.0347211785295468E-2</v>
      </c>
      <c r="U50" s="183">
        <f t="shared" si="52"/>
        <v>1.2356195040626334E-2</v>
      </c>
      <c r="V50" s="183">
        <f t="shared" si="52"/>
        <v>1.2224942198347959E-2</v>
      </c>
      <c r="W50" s="183">
        <f t="shared" si="52"/>
        <v>1.2232659366420529E-2</v>
      </c>
      <c r="X50" s="183">
        <f t="shared" si="52"/>
        <v>1.2232202694731728E-2</v>
      </c>
      <c r="Y50" s="183">
        <f t="shared" si="52"/>
        <v>1.2232229708495015E-2</v>
      </c>
      <c r="Z50" s="183">
        <f t="shared" si="52"/>
        <v>1.2232228110498379E-2</v>
      </c>
      <c r="AA50" s="183">
        <f t="shared" si="52"/>
        <v>1.2232228205027593E-2</v>
      </c>
      <c r="AB50" s="183">
        <f t="shared" si="52"/>
        <v>1.2232228199435733E-2</v>
      </c>
      <c r="AC50" s="183">
        <f t="shared" si="52"/>
        <v>1.2232228199766519E-2</v>
      </c>
      <c r="AD50" s="183">
        <f t="shared" si="52"/>
        <v>1.2232228199746953E-2</v>
      </c>
      <c r="AE50" s="183">
        <f t="shared" si="52"/>
        <v>1.2232228199748112E-2</v>
      </c>
      <c r="AF50" s="183">
        <f t="shared" si="52"/>
        <v>1.2232228199748044E-2</v>
      </c>
      <c r="AG50" s="196">
        <f t="shared" si="52"/>
        <v>1.2232228199748047E-2</v>
      </c>
      <c r="AH50" s="197">
        <f t="shared" si="53"/>
        <v>1.124755444515514E-2</v>
      </c>
      <c r="AI50" s="198">
        <f t="shared" si="54"/>
        <v>3.5203692988093849</v>
      </c>
      <c r="AJ50" s="165">
        <f t="shared" si="4"/>
        <v>3.9595545355411182E-2</v>
      </c>
      <c r="AK50" s="165"/>
      <c r="AL50" s="199">
        <f t="shared" ca="1" si="59"/>
        <v>812.0031697169984</v>
      </c>
      <c r="AM50" s="202">
        <f t="shared" si="60"/>
        <v>813.20499052829825</v>
      </c>
      <c r="AN50" s="183">
        <f t="shared" si="14"/>
        <v>16</v>
      </c>
      <c r="AO50" s="183">
        <f t="shared" si="15"/>
        <v>160</v>
      </c>
      <c r="AP50" s="230">
        <f t="shared" si="16"/>
        <v>943.1</v>
      </c>
      <c r="AQ50" s="226">
        <f t="shared" si="17"/>
        <v>101.05224151572662</v>
      </c>
      <c r="AR50" s="227">
        <f t="shared" si="18"/>
        <v>3.2375302317635866</v>
      </c>
      <c r="AS50" s="208">
        <f t="shared" si="7"/>
        <v>306.19713741770158</v>
      </c>
      <c r="AT50" s="228">
        <f t="shared" si="33"/>
        <v>10000</v>
      </c>
      <c r="AU50" s="228">
        <f t="shared" si="19"/>
        <v>100000000</v>
      </c>
      <c r="AV50" s="206">
        <f t="shared" si="20"/>
        <v>645.5</v>
      </c>
      <c r="AW50" s="206">
        <f t="shared" si="21"/>
        <v>64.5</v>
      </c>
      <c r="AX50" s="204">
        <f t="shared" si="22"/>
        <v>914.25723204402493</v>
      </c>
    </row>
    <row r="51" spans="1:50">
      <c r="A51" s="162">
        <v>525.5</v>
      </c>
      <c r="B51" s="162">
        <v>782.08</v>
      </c>
      <c r="C51" s="201">
        <f t="shared" si="27"/>
        <v>-9.9483078123474254E-3</v>
      </c>
      <c r="D51" s="9">
        <f t="shared" si="57"/>
        <v>525.5</v>
      </c>
      <c r="E51" s="203">
        <f t="shared" si="57"/>
        <v>782.08</v>
      </c>
      <c r="F51" s="164">
        <f t="shared" si="28"/>
        <v>530.72775592433788</v>
      </c>
      <c r="G51" s="194"/>
      <c r="H51" s="194">
        <f t="shared" ref="H51" si="64">H50</f>
        <v>3090</v>
      </c>
      <c r="I51" s="183" t="s">
        <v>140</v>
      </c>
      <c r="J51" s="225">
        <f t="shared" si="30"/>
        <v>8</v>
      </c>
      <c r="K51" s="164">
        <v>710</v>
      </c>
      <c r="L51" s="164">
        <v>64.5</v>
      </c>
      <c r="M51" s="164">
        <f t="shared" si="50"/>
        <v>0</v>
      </c>
      <c r="N51" s="183">
        <f t="shared" si="9"/>
        <v>581</v>
      </c>
      <c r="O51" s="168">
        <f t="shared" si="10"/>
        <v>0.26511978943460601</v>
      </c>
      <c r="P51" s="168">
        <f t="shared" si="11"/>
        <v>3.2375302317635866</v>
      </c>
      <c r="Q51" s="195">
        <f t="shared" si="12"/>
        <v>1225901.8717468916</v>
      </c>
      <c r="R51" s="183">
        <f t="shared" si="51"/>
        <v>2.5000000000000001E-2</v>
      </c>
      <c r="S51" s="183">
        <v>14</v>
      </c>
      <c r="T51" s="183">
        <f t="shared" si="52"/>
        <v>1.034409330249993E-2</v>
      </c>
      <c r="U51" s="183">
        <f t="shared" si="52"/>
        <v>1.2356423534086071E-2</v>
      </c>
      <c r="V51" s="183">
        <f t="shared" si="52"/>
        <v>1.2224928855487788E-2</v>
      </c>
      <c r="W51" s="183">
        <f t="shared" si="52"/>
        <v>1.2232660156318303E-2</v>
      </c>
      <c r="X51" s="183">
        <f t="shared" si="52"/>
        <v>1.2232202648007569E-2</v>
      </c>
      <c r="Y51" s="183">
        <f t="shared" si="52"/>
        <v>1.2232229711258981E-2</v>
      </c>
      <c r="Z51" s="183">
        <f t="shared" si="52"/>
        <v>1.2232228110334874E-2</v>
      </c>
      <c r="AA51" s="183">
        <f t="shared" si="52"/>
        <v>1.2232228205037268E-2</v>
      </c>
      <c r="AB51" s="183">
        <f t="shared" si="52"/>
        <v>1.2232228199435162E-2</v>
      </c>
      <c r="AC51" s="183">
        <f t="shared" si="52"/>
        <v>1.2232228199766553E-2</v>
      </c>
      <c r="AD51" s="183">
        <f t="shared" si="52"/>
        <v>1.2232228199746953E-2</v>
      </c>
      <c r="AE51" s="183">
        <f t="shared" si="52"/>
        <v>1.2232228199748112E-2</v>
      </c>
      <c r="AF51" s="183">
        <f t="shared" si="52"/>
        <v>1.2232228199748044E-2</v>
      </c>
      <c r="AG51" s="196">
        <f t="shared" si="52"/>
        <v>1.2232228199748047E-2</v>
      </c>
      <c r="AH51" s="197">
        <f t="shared" si="53"/>
        <v>1.124755444515514E-2</v>
      </c>
      <c r="AI51" s="198">
        <f t="shared" si="54"/>
        <v>102.5350735114576</v>
      </c>
      <c r="AJ51" s="165">
        <f t="shared" si="4"/>
        <v>1.153268821858104</v>
      </c>
      <c r="AK51" s="165"/>
      <c r="AL51" s="199">
        <f t="shared" ca="1" si="59"/>
        <v>812.0031697169984</v>
      </c>
      <c r="AM51" s="202">
        <f t="shared" si="60"/>
        <v>812.05177877103654</v>
      </c>
      <c r="AN51" s="183">
        <f t="shared" si="14"/>
        <v>16</v>
      </c>
      <c r="AO51" s="183">
        <f t="shared" si="15"/>
        <v>160</v>
      </c>
      <c r="AP51" s="230">
        <f t="shared" si="16"/>
        <v>942.08</v>
      </c>
      <c r="AQ51" s="226">
        <f t="shared" si="17"/>
        <v>101.05224151572662</v>
      </c>
      <c r="AR51" s="227">
        <f t="shared" si="18"/>
        <v>3.2375302317635866</v>
      </c>
      <c r="AS51" s="208">
        <f t="shared" si="7"/>
        <v>306.19713741770158</v>
      </c>
      <c r="AT51" s="228">
        <f t="shared" si="33"/>
        <v>10000</v>
      </c>
      <c r="AU51" s="228">
        <f t="shared" si="19"/>
        <v>100000000</v>
      </c>
      <c r="AV51" s="206">
        <f t="shared" si="20"/>
        <v>645.5</v>
      </c>
      <c r="AW51" s="206">
        <f t="shared" si="21"/>
        <v>64.5</v>
      </c>
      <c r="AX51" s="204">
        <f t="shared" si="22"/>
        <v>913.10402028676322</v>
      </c>
    </row>
    <row r="52" spans="1:50">
      <c r="A52" s="162">
        <v>544.37</v>
      </c>
      <c r="B52" s="162">
        <v>773.99</v>
      </c>
      <c r="C52" s="201">
        <f t="shared" si="27"/>
        <v>-0.42872284048754794</v>
      </c>
      <c r="D52" s="9">
        <f t="shared" si="57"/>
        <v>544.37</v>
      </c>
      <c r="E52" s="203">
        <f t="shared" si="57"/>
        <v>773.99</v>
      </c>
      <c r="F52" s="164">
        <f t="shared" si="28"/>
        <v>551.25882993423807</v>
      </c>
      <c r="G52" s="194"/>
      <c r="H52" s="194">
        <f t="shared" ref="H52" si="65">H51</f>
        <v>3090</v>
      </c>
      <c r="I52" s="183" t="s">
        <v>140</v>
      </c>
      <c r="J52" s="225">
        <f t="shared" si="30"/>
        <v>8</v>
      </c>
      <c r="K52" s="164">
        <v>710</v>
      </c>
      <c r="L52" s="164">
        <v>64.5</v>
      </c>
      <c r="M52" s="164">
        <f t="shared" si="50"/>
        <v>0</v>
      </c>
      <c r="N52" s="183">
        <f t="shared" si="9"/>
        <v>581</v>
      </c>
      <c r="O52" s="168">
        <f t="shared" si="10"/>
        <v>0.26511978943460601</v>
      </c>
      <c r="P52" s="168">
        <f t="shared" si="11"/>
        <v>3.2375302317635866</v>
      </c>
      <c r="Q52" s="195">
        <f t="shared" si="12"/>
        <v>1225901.8717468916</v>
      </c>
      <c r="R52" s="183">
        <f t="shared" si="51"/>
        <v>2.5000000000000001E-2</v>
      </c>
      <c r="S52" s="183">
        <v>15</v>
      </c>
      <c r="T52" s="183">
        <f t="shared" si="52"/>
        <v>1.0341288775745389E-2</v>
      </c>
      <c r="U52" s="183">
        <f t="shared" si="52"/>
        <v>1.2356629098745558E-2</v>
      </c>
      <c r="V52" s="183">
        <f t="shared" si="52"/>
        <v>1.2224916851823494E-2</v>
      </c>
      <c r="W52" s="183">
        <f t="shared" si="52"/>
        <v>1.2232660866936584E-2</v>
      </c>
      <c r="X52" s="183">
        <f t="shared" si="52"/>
        <v>1.2232202605972969E-2</v>
      </c>
      <c r="Y52" s="183">
        <f t="shared" si="52"/>
        <v>1.2232229713745536E-2</v>
      </c>
      <c r="Z52" s="183">
        <f t="shared" si="52"/>
        <v>1.2232228110187785E-2</v>
      </c>
      <c r="AA52" s="183">
        <f t="shared" si="52"/>
        <v>1.2232228205045969E-2</v>
      </c>
      <c r="AB52" s="183">
        <f t="shared" si="52"/>
        <v>1.2232228199434647E-2</v>
      </c>
      <c r="AC52" s="183">
        <f t="shared" si="52"/>
        <v>1.2232228199766586E-2</v>
      </c>
      <c r="AD52" s="183">
        <f t="shared" si="52"/>
        <v>1.2232228199746948E-2</v>
      </c>
      <c r="AE52" s="183">
        <f t="shared" si="52"/>
        <v>1.2232228199748112E-2</v>
      </c>
      <c r="AF52" s="183">
        <f t="shared" si="52"/>
        <v>1.2232228199748044E-2</v>
      </c>
      <c r="AG52" s="196">
        <f t="shared" si="52"/>
        <v>1.2232228199748047E-2</v>
      </c>
      <c r="AH52" s="197">
        <f t="shared" si="53"/>
        <v>1.124755444515514E-2</v>
      </c>
      <c r="AI52" s="198">
        <f t="shared" si="54"/>
        <v>20.53107400990018</v>
      </c>
      <c r="AJ52" s="165">
        <f t="shared" si="4"/>
        <v>0.23092437274386193</v>
      </c>
      <c r="AK52" s="165"/>
      <c r="AL52" s="199">
        <f t="shared" ca="1" si="59"/>
        <v>812.0031697169984</v>
      </c>
      <c r="AM52" s="202">
        <f t="shared" si="60"/>
        <v>811.8395374186565</v>
      </c>
      <c r="AN52" s="183">
        <f t="shared" si="14"/>
        <v>16</v>
      </c>
      <c r="AO52" s="183">
        <f t="shared" si="15"/>
        <v>160</v>
      </c>
      <c r="AP52" s="230">
        <f t="shared" si="16"/>
        <v>933.99</v>
      </c>
      <c r="AQ52" s="226">
        <f t="shared" si="17"/>
        <v>101.05224151572662</v>
      </c>
      <c r="AR52" s="227">
        <f t="shared" si="18"/>
        <v>3.2375302317635866</v>
      </c>
      <c r="AS52" s="208">
        <f t="shared" si="7"/>
        <v>306.19713741770158</v>
      </c>
      <c r="AT52" s="228">
        <f t="shared" si="33"/>
        <v>10000</v>
      </c>
      <c r="AU52" s="228">
        <f t="shared" si="19"/>
        <v>100000000</v>
      </c>
      <c r="AV52" s="206">
        <f t="shared" si="20"/>
        <v>645.5</v>
      </c>
      <c r="AW52" s="206">
        <f t="shared" si="21"/>
        <v>64.5</v>
      </c>
      <c r="AX52" s="204">
        <f t="shared" si="22"/>
        <v>912.89177893438318</v>
      </c>
    </row>
    <row r="53" spans="1:50">
      <c r="A53" s="162">
        <v>636.91</v>
      </c>
      <c r="B53" s="182">
        <v>773.06</v>
      </c>
      <c r="C53" s="201">
        <f t="shared" si="27"/>
        <v>-1.0049708234277761E-2</v>
      </c>
      <c r="D53" s="9">
        <f t="shared" si="57"/>
        <v>636.91</v>
      </c>
      <c r="E53" s="203">
        <f t="shared" si="57"/>
        <v>773.06</v>
      </c>
      <c r="F53" s="164">
        <f t="shared" si="28"/>
        <v>643.80350293058075</v>
      </c>
      <c r="G53" s="194"/>
      <c r="H53" s="194">
        <f t="shared" ref="H53" si="66">H52</f>
        <v>3090</v>
      </c>
      <c r="I53" s="183" t="s">
        <v>140</v>
      </c>
      <c r="J53" s="225">
        <f t="shared" si="30"/>
        <v>8</v>
      </c>
      <c r="K53" s="164">
        <v>710</v>
      </c>
      <c r="L53" s="164">
        <v>64.5</v>
      </c>
      <c r="M53" s="164">
        <f t="shared" si="50"/>
        <v>0</v>
      </c>
      <c r="N53" s="183">
        <f t="shared" si="9"/>
        <v>581</v>
      </c>
      <c r="O53" s="168">
        <f t="shared" si="10"/>
        <v>0.26511978943460601</v>
      </c>
      <c r="P53" s="168">
        <f t="shared" si="11"/>
        <v>3.2375302317635866</v>
      </c>
      <c r="Q53" s="195">
        <f t="shared" si="12"/>
        <v>1225901.8717468916</v>
      </c>
      <c r="R53" s="183">
        <f t="shared" si="51"/>
        <v>2.5000000000000001E-2</v>
      </c>
      <c r="S53" s="183">
        <v>16</v>
      </c>
      <c r="T53" s="183">
        <f t="shared" si="52"/>
        <v>1.0338748735305754E-2</v>
      </c>
      <c r="U53" s="183">
        <f t="shared" si="52"/>
        <v>1.235681533854939E-2</v>
      </c>
      <c r="V53" s="183">
        <f t="shared" si="52"/>
        <v>1.2224905976828352E-2</v>
      </c>
      <c r="W53" s="183">
        <f t="shared" si="52"/>
        <v>1.2232661510738291E-2</v>
      </c>
      <c r="X53" s="183">
        <f t="shared" si="52"/>
        <v>1.2232202567890713E-2</v>
      </c>
      <c r="Y53" s="183">
        <f t="shared" si="52"/>
        <v>1.2232229715998294E-2</v>
      </c>
      <c r="Z53" s="183">
        <f t="shared" si="52"/>
        <v>1.2232228110054524E-2</v>
      </c>
      <c r="AA53" s="183">
        <f t="shared" si="52"/>
        <v>1.223222820505385E-2</v>
      </c>
      <c r="AB53" s="183">
        <f t="shared" si="52"/>
        <v>1.2232228199434182E-2</v>
      </c>
      <c r="AC53" s="183">
        <f t="shared" si="52"/>
        <v>1.2232228199766611E-2</v>
      </c>
      <c r="AD53" s="183">
        <f t="shared" si="52"/>
        <v>1.2232228199746948E-2</v>
      </c>
      <c r="AE53" s="183">
        <f t="shared" si="52"/>
        <v>1.2232228199748112E-2</v>
      </c>
      <c r="AF53" s="183">
        <f t="shared" si="52"/>
        <v>1.2232228199748044E-2</v>
      </c>
      <c r="AG53" s="196">
        <f t="shared" si="52"/>
        <v>1.2232228199748047E-2</v>
      </c>
      <c r="AH53" s="197">
        <f t="shared" si="53"/>
        <v>1.124755444515514E-2</v>
      </c>
      <c r="AI53" s="198">
        <f t="shared" si="54"/>
        <v>92.544672996342683</v>
      </c>
      <c r="AJ53" s="165">
        <f t="shared" si="4"/>
        <v>1.0409012481354429</v>
      </c>
      <c r="AK53" s="165"/>
      <c r="AL53" s="199">
        <f t="shared" ca="1" si="59"/>
        <v>812.0031697169984</v>
      </c>
      <c r="AM53" s="202">
        <f t="shared" si="60"/>
        <v>810.79868873030182</v>
      </c>
      <c r="AN53" s="183">
        <f t="shared" si="14"/>
        <v>16</v>
      </c>
      <c r="AO53" s="183">
        <f t="shared" si="15"/>
        <v>160</v>
      </c>
      <c r="AP53" s="230">
        <f t="shared" si="16"/>
        <v>933.06</v>
      </c>
      <c r="AQ53" s="226">
        <f t="shared" si="17"/>
        <v>101.05224151572662</v>
      </c>
      <c r="AR53" s="227">
        <f t="shared" si="18"/>
        <v>3.2375302317635866</v>
      </c>
      <c r="AS53" s="208">
        <f t="shared" si="7"/>
        <v>306.19713741770158</v>
      </c>
      <c r="AT53" s="228">
        <f t="shared" si="33"/>
        <v>10000</v>
      </c>
      <c r="AU53" s="228">
        <f t="shared" si="19"/>
        <v>100000000</v>
      </c>
      <c r="AV53" s="206">
        <f t="shared" si="20"/>
        <v>645.5</v>
      </c>
      <c r="AW53" s="206">
        <f t="shared" si="21"/>
        <v>64.5</v>
      </c>
      <c r="AX53" s="204">
        <f t="shared" si="22"/>
        <v>911.85093024602838</v>
      </c>
    </row>
    <row r="54" spans="1:50">
      <c r="A54" s="162">
        <v>650.24</v>
      </c>
      <c r="B54" s="182">
        <v>770.35</v>
      </c>
      <c r="C54" s="201">
        <f t="shared" si="27"/>
        <v>-0.20330082520629514</v>
      </c>
      <c r="D54" s="9">
        <f t="shared" si="57"/>
        <v>650.24</v>
      </c>
      <c r="E54" s="203">
        <f t="shared" si="57"/>
        <v>770.35</v>
      </c>
      <c r="F54" s="164">
        <f t="shared" si="28"/>
        <v>657.40618648934958</v>
      </c>
      <c r="G54" s="194"/>
      <c r="H54" s="194">
        <f t="shared" ref="H54" si="67">H53</f>
        <v>3090</v>
      </c>
      <c r="I54" s="183" t="s">
        <v>140</v>
      </c>
      <c r="J54" s="225">
        <f t="shared" si="30"/>
        <v>8</v>
      </c>
      <c r="K54" s="164">
        <v>710</v>
      </c>
      <c r="L54" s="164">
        <v>64.5</v>
      </c>
      <c r="M54" s="164">
        <f t="shared" si="50"/>
        <v>0</v>
      </c>
      <c r="N54" s="183">
        <f t="shared" si="9"/>
        <v>581</v>
      </c>
      <c r="O54" s="168">
        <f t="shared" si="10"/>
        <v>0.26511978943460601</v>
      </c>
      <c r="P54" s="168">
        <f t="shared" si="11"/>
        <v>3.2375302317635866</v>
      </c>
      <c r="Q54" s="195">
        <f t="shared" si="12"/>
        <v>1225901.8717468916</v>
      </c>
      <c r="R54" s="183">
        <f t="shared" si="51"/>
        <v>2.5000000000000001E-2</v>
      </c>
      <c r="S54" s="183">
        <v>17</v>
      </c>
      <c r="T54" s="183">
        <f t="shared" si="52"/>
        <v>1.0336433989266008E-2</v>
      </c>
      <c r="U54" s="183">
        <f t="shared" si="52"/>
        <v>1.2356985110195152E-2</v>
      </c>
      <c r="V54" s="183">
        <f t="shared" si="52"/>
        <v>1.2224896063631979E-2</v>
      </c>
      <c r="W54" s="183">
        <f t="shared" si="52"/>
        <v>1.223266209760198E-2</v>
      </c>
      <c r="X54" s="183">
        <f t="shared" si="52"/>
        <v>1.2232202533176466E-2</v>
      </c>
      <c r="Y54" s="183">
        <f t="shared" si="52"/>
        <v>1.2232229718051813E-2</v>
      </c>
      <c r="Z54" s="183">
        <f t="shared" si="52"/>
        <v>1.2232228109933047E-2</v>
      </c>
      <c r="AA54" s="183">
        <f t="shared" si="52"/>
        <v>1.2232228205061035E-2</v>
      </c>
      <c r="AB54" s="183">
        <f t="shared" si="52"/>
        <v>1.2232228199433759E-2</v>
      </c>
      <c r="AC54" s="183">
        <f t="shared" si="52"/>
        <v>1.223222819976664E-2</v>
      </c>
      <c r="AD54" s="183">
        <f t="shared" si="52"/>
        <v>1.2232228199746948E-2</v>
      </c>
      <c r="AE54" s="183">
        <f t="shared" si="52"/>
        <v>1.2232228199748112E-2</v>
      </c>
      <c r="AF54" s="183">
        <f t="shared" si="52"/>
        <v>1.2232228199748044E-2</v>
      </c>
      <c r="AG54" s="196">
        <f t="shared" si="52"/>
        <v>1.2232228199748047E-2</v>
      </c>
      <c r="AH54" s="197">
        <f t="shared" si="53"/>
        <v>1.124755444515514E-2</v>
      </c>
      <c r="AI54" s="198">
        <f t="shared" si="54"/>
        <v>13.602683558768831</v>
      </c>
      <c r="AJ54" s="165">
        <f t="shared" si="4"/>
        <v>0.15299692392746911</v>
      </c>
      <c r="AK54" s="165"/>
      <c r="AL54" s="199">
        <f t="shared" ca="1" si="59"/>
        <v>812.0031697169984</v>
      </c>
      <c r="AM54" s="202">
        <f t="shared" si="60"/>
        <v>810.64875882954789</v>
      </c>
      <c r="AN54" s="183">
        <f t="shared" si="14"/>
        <v>16</v>
      </c>
      <c r="AO54" s="183">
        <f t="shared" si="15"/>
        <v>160</v>
      </c>
      <c r="AP54" s="230">
        <f t="shared" si="16"/>
        <v>930.35</v>
      </c>
      <c r="AQ54" s="226">
        <f t="shared" si="17"/>
        <v>101.05224151572662</v>
      </c>
      <c r="AR54" s="227">
        <f t="shared" si="18"/>
        <v>3.2375302317635866</v>
      </c>
      <c r="AS54" s="208">
        <f t="shared" si="7"/>
        <v>306.19713741770158</v>
      </c>
      <c r="AT54" s="228">
        <f t="shared" si="33"/>
        <v>10000</v>
      </c>
      <c r="AU54" s="228">
        <f t="shared" si="19"/>
        <v>100000000</v>
      </c>
      <c r="AV54" s="206">
        <f t="shared" si="20"/>
        <v>645.5</v>
      </c>
      <c r="AW54" s="206">
        <f t="shared" si="21"/>
        <v>64.5</v>
      </c>
      <c r="AX54" s="204">
        <f t="shared" si="22"/>
        <v>911.70100034527445</v>
      </c>
    </row>
    <row r="55" spans="1:50">
      <c r="A55" s="162">
        <v>686.91</v>
      </c>
      <c r="B55" s="182">
        <v>769.98</v>
      </c>
      <c r="C55" s="201">
        <f t="shared" si="27"/>
        <v>-1.0089991818925687E-2</v>
      </c>
      <c r="D55" s="9">
        <f t="shared" si="57"/>
        <v>686.91</v>
      </c>
      <c r="E55" s="203">
        <f t="shared" si="57"/>
        <v>769.98</v>
      </c>
      <c r="F55" s="164">
        <f t="shared" si="28"/>
        <v>694.07805309032858</v>
      </c>
      <c r="G55" s="194"/>
      <c r="H55" s="194">
        <f t="shared" ref="H55" si="68">H54</f>
        <v>3090</v>
      </c>
      <c r="I55" s="183" t="s">
        <v>140</v>
      </c>
      <c r="J55" s="225">
        <f t="shared" si="30"/>
        <v>8</v>
      </c>
      <c r="K55" s="164">
        <v>710</v>
      </c>
      <c r="L55" s="164">
        <v>64.5</v>
      </c>
      <c r="M55" s="164">
        <f t="shared" si="50"/>
        <v>0</v>
      </c>
      <c r="N55" s="183">
        <f t="shared" si="9"/>
        <v>581</v>
      </c>
      <c r="O55" s="168">
        <f t="shared" si="10"/>
        <v>0.26511978943460601</v>
      </c>
      <c r="P55" s="168">
        <f t="shared" si="11"/>
        <v>3.2375302317635866</v>
      </c>
      <c r="Q55" s="195">
        <f t="shared" si="12"/>
        <v>1225901.8717468916</v>
      </c>
      <c r="R55" s="183">
        <f t="shared" si="51"/>
        <v>2.5000000000000001E-2</v>
      </c>
      <c r="S55" s="183">
        <v>18</v>
      </c>
      <c r="T55" s="183">
        <f t="shared" si="52"/>
        <v>1.033431302997199E-2</v>
      </c>
      <c r="U55" s="183">
        <f t="shared" si="52"/>
        <v>1.2357140711375298E-2</v>
      </c>
      <c r="V55" s="183">
        <f t="shared" si="52"/>
        <v>1.2224886978021553E-2</v>
      </c>
      <c r="W55" s="183">
        <f t="shared" si="52"/>
        <v>1.2232662635472907E-2</v>
      </c>
      <c r="X55" s="183">
        <f t="shared" si="52"/>
        <v>1.2232202501360248E-2</v>
      </c>
      <c r="Y55" s="183">
        <f t="shared" si="52"/>
        <v>1.2232229719933903E-2</v>
      </c>
      <c r="Z55" s="183">
        <f t="shared" si="52"/>
        <v>1.2232228109821712E-2</v>
      </c>
      <c r="AA55" s="183">
        <f t="shared" si="52"/>
        <v>1.2232228205067626E-2</v>
      </c>
      <c r="AB55" s="183">
        <f t="shared" si="52"/>
        <v>1.2232228199433365E-2</v>
      </c>
      <c r="AC55" s="183">
        <f t="shared" si="52"/>
        <v>1.2232228199766659E-2</v>
      </c>
      <c r="AD55" s="183">
        <f t="shared" si="52"/>
        <v>1.2232228199746942E-2</v>
      </c>
      <c r="AE55" s="183">
        <f t="shared" si="52"/>
        <v>1.2232228199748112E-2</v>
      </c>
      <c r="AF55" s="183">
        <f t="shared" si="52"/>
        <v>1.2232228199748044E-2</v>
      </c>
      <c r="AG55" s="196">
        <f t="shared" si="52"/>
        <v>1.2232228199748047E-2</v>
      </c>
      <c r="AH55" s="197">
        <f t="shared" si="53"/>
        <v>1.124755444515514E-2</v>
      </c>
      <c r="AI55" s="198">
        <f t="shared" si="54"/>
        <v>36.671866600979001</v>
      </c>
      <c r="AJ55" s="165">
        <f t="shared" si="4"/>
        <v>0.41246881619997766</v>
      </c>
      <c r="AK55" s="165"/>
      <c r="AL55" s="199">
        <f t="shared" ca="1" si="59"/>
        <v>812.0031697169984</v>
      </c>
      <c r="AM55" s="202">
        <f t="shared" si="60"/>
        <v>810.23631100804403</v>
      </c>
      <c r="AN55" s="183">
        <f t="shared" si="14"/>
        <v>16</v>
      </c>
      <c r="AO55" s="183">
        <f t="shared" si="15"/>
        <v>160</v>
      </c>
      <c r="AP55" s="230">
        <f t="shared" si="16"/>
        <v>929.98</v>
      </c>
      <c r="AQ55" s="226">
        <f t="shared" si="17"/>
        <v>101.05224151572662</v>
      </c>
      <c r="AR55" s="227">
        <f t="shared" si="18"/>
        <v>3.2375302317635866</v>
      </c>
      <c r="AS55" s="208">
        <f t="shared" si="7"/>
        <v>306.19713741770158</v>
      </c>
      <c r="AT55" s="228">
        <f t="shared" si="33"/>
        <v>10000</v>
      </c>
      <c r="AU55" s="228">
        <f t="shared" si="19"/>
        <v>100000000</v>
      </c>
      <c r="AV55" s="206">
        <f t="shared" si="20"/>
        <v>645.5</v>
      </c>
      <c r="AW55" s="206">
        <f t="shared" si="21"/>
        <v>64.5</v>
      </c>
      <c r="AX55" s="204">
        <f t="shared" si="22"/>
        <v>911.2885525237707</v>
      </c>
    </row>
    <row r="56" spans="1:50">
      <c r="A56" s="162">
        <v>716.09999999999991</v>
      </c>
      <c r="B56" s="182">
        <v>763.58</v>
      </c>
      <c r="C56" s="201">
        <f t="shared" si="27"/>
        <v>-0.21925316889345633</v>
      </c>
      <c r="D56" s="9">
        <f t="shared" si="57"/>
        <v>716.09999999999991</v>
      </c>
      <c r="E56" s="203">
        <f t="shared" si="57"/>
        <v>763.58</v>
      </c>
      <c r="F56" s="164">
        <f t="shared" si="28"/>
        <v>723.96142806706098</v>
      </c>
      <c r="G56" s="194"/>
      <c r="H56" s="194">
        <f t="shared" ref="H56" si="69">H55</f>
        <v>3090</v>
      </c>
      <c r="I56" s="183" t="s">
        <v>140</v>
      </c>
      <c r="J56" s="225">
        <f t="shared" si="30"/>
        <v>8</v>
      </c>
      <c r="K56" s="164">
        <v>710</v>
      </c>
      <c r="L56" s="164">
        <v>64.5</v>
      </c>
      <c r="M56" s="164">
        <f t="shared" si="50"/>
        <v>0</v>
      </c>
      <c r="N56" s="183">
        <f t="shared" si="9"/>
        <v>581</v>
      </c>
      <c r="O56" s="168">
        <f t="shared" si="10"/>
        <v>0.26511978943460601</v>
      </c>
      <c r="P56" s="168">
        <f t="shared" si="11"/>
        <v>3.2375302317635866</v>
      </c>
      <c r="Q56" s="195">
        <f t="shared" si="12"/>
        <v>1225901.8717468916</v>
      </c>
      <c r="R56" s="183">
        <f t="shared" si="51"/>
        <v>2.5000000000000001E-2</v>
      </c>
      <c r="S56" s="183">
        <v>19</v>
      </c>
      <c r="T56" s="183">
        <f t="shared" si="52"/>
        <v>1.0332360198327046E-2</v>
      </c>
      <c r="U56" s="183">
        <f t="shared" si="52"/>
        <v>1.2357284014095547E-2</v>
      </c>
      <c r="V56" s="183">
        <f t="shared" si="52"/>
        <v>1.2224878610652412E-2</v>
      </c>
      <c r="W56" s="183">
        <f t="shared" si="52"/>
        <v>1.2232663130824181E-2</v>
      </c>
      <c r="X56" s="183">
        <f t="shared" si="52"/>
        <v>1.223220247205916E-2</v>
      </c>
      <c r="Y56" s="183">
        <f t="shared" si="52"/>
        <v>1.2232229721667209E-2</v>
      </c>
      <c r="Z56" s="183">
        <f t="shared" si="52"/>
        <v>1.2232228109719181E-2</v>
      </c>
      <c r="AA56" s="183">
        <f t="shared" si="52"/>
        <v>1.2232228205073685E-2</v>
      </c>
      <c r="AB56" s="183">
        <f t="shared" si="52"/>
        <v>1.2232228199433008E-2</v>
      </c>
      <c r="AC56" s="183">
        <f t="shared" si="52"/>
        <v>1.2232228199766682E-2</v>
      </c>
      <c r="AD56" s="183">
        <f t="shared" si="52"/>
        <v>1.2232228199746942E-2</v>
      </c>
      <c r="AE56" s="183">
        <f t="shared" si="52"/>
        <v>1.2232228199748112E-2</v>
      </c>
      <c r="AF56" s="183">
        <f t="shared" si="52"/>
        <v>1.2232228199748044E-2</v>
      </c>
      <c r="AG56" s="196">
        <f t="shared" si="52"/>
        <v>1.2232228199748047E-2</v>
      </c>
      <c r="AH56" s="197">
        <f t="shared" si="53"/>
        <v>1.124755444515514E-2</v>
      </c>
      <c r="AI56" s="198">
        <f t="shared" si="54"/>
        <v>29.883374976732398</v>
      </c>
      <c r="AJ56" s="165">
        <f t="shared" si="4"/>
        <v>0.33611488705578435</v>
      </c>
      <c r="AK56" s="165"/>
      <c r="AL56" s="199">
        <f t="shared" ca="1" si="59"/>
        <v>812.0031697169984</v>
      </c>
      <c r="AM56" s="202">
        <f t="shared" si="60"/>
        <v>809.90799489378992</v>
      </c>
      <c r="AN56" s="183">
        <f t="shared" si="14"/>
        <v>16</v>
      </c>
      <c r="AO56" s="183">
        <f t="shared" si="15"/>
        <v>160</v>
      </c>
      <c r="AP56" s="230">
        <f t="shared" si="16"/>
        <v>923.58</v>
      </c>
      <c r="AQ56" s="226">
        <f t="shared" si="17"/>
        <v>101.05224151572662</v>
      </c>
      <c r="AR56" s="227">
        <f t="shared" si="18"/>
        <v>3.2375302317635866</v>
      </c>
      <c r="AS56" s="208">
        <f t="shared" si="7"/>
        <v>306.19713741770158</v>
      </c>
      <c r="AT56" s="228">
        <f t="shared" si="33"/>
        <v>10000</v>
      </c>
      <c r="AU56" s="228">
        <f t="shared" si="19"/>
        <v>100000000</v>
      </c>
      <c r="AV56" s="206">
        <f t="shared" si="20"/>
        <v>645.5</v>
      </c>
      <c r="AW56" s="206">
        <f t="shared" si="21"/>
        <v>64.5</v>
      </c>
      <c r="AX56" s="204">
        <f t="shared" si="22"/>
        <v>910.96023640951648</v>
      </c>
    </row>
    <row r="57" spans="1:50">
      <c r="A57" s="162">
        <v>727.97</v>
      </c>
      <c r="B57" s="182">
        <v>757.55</v>
      </c>
      <c r="C57" s="201">
        <f t="shared" si="27"/>
        <v>-0.50800336983993477</v>
      </c>
      <c r="D57" s="9">
        <f t="shared" si="57"/>
        <v>727.97</v>
      </c>
      <c r="E57" s="203">
        <f t="shared" si="57"/>
        <v>757.55</v>
      </c>
      <c r="F57" s="164">
        <f t="shared" si="28"/>
        <v>737.27524795468162</v>
      </c>
      <c r="G57" s="194"/>
      <c r="H57" s="194">
        <f t="shared" ref="H57" si="70">H56</f>
        <v>3090</v>
      </c>
      <c r="I57" s="183" t="s">
        <v>140</v>
      </c>
      <c r="J57" s="225">
        <f t="shared" si="30"/>
        <v>8</v>
      </c>
      <c r="K57" s="164">
        <v>710</v>
      </c>
      <c r="L57" s="164">
        <v>64.5</v>
      </c>
      <c r="M57" s="164">
        <f t="shared" si="50"/>
        <v>0</v>
      </c>
      <c r="N57" s="183">
        <f t="shared" si="9"/>
        <v>581</v>
      </c>
      <c r="O57" s="168">
        <f t="shared" si="10"/>
        <v>0.26511978943460601</v>
      </c>
      <c r="P57" s="168">
        <f t="shared" si="11"/>
        <v>3.2375302317635866</v>
      </c>
      <c r="Q57" s="195">
        <f t="shared" si="12"/>
        <v>1225901.8717468916</v>
      </c>
      <c r="R57" s="183">
        <f t="shared" si="51"/>
        <v>2.5000000000000001E-2</v>
      </c>
      <c r="S57" s="183">
        <v>20</v>
      </c>
      <c r="T57" s="183">
        <f t="shared" si="52"/>
        <v>1.0330554357325578E-2</v>
      </c>
      <c r="U57" s="183">
        <f t="shared" si="52"/>
        <v>1.2357416561063738E-2</v>
      </c>
      <c r="V57" s="183">
        <f t="shared" si="52"/>
        <v>1.2224870871416544E-2</v>
      </c>
      <c r="W57" s="183">
        <f t="shared" si="52"/>
        <v>1.2232663588990125E-2</v>
      </c>
      <c r="X57" s="183">
        <f t="shared" si="52"/>
        <v>1.2232202444957666E-2</v>
      </c>
      <c r="Y57" s="183">
        <f t="shared" si="52"/>
        <v>1.2232229723270399E-2</v>
      </c>
      <c r="Z57" s="183">
        <f t="shared" si="52"/>
        <v>1.2232228109624344E-2</v>
      </c>
      <c r="AA57" s="183">
        <f t="shared" si="52"/>
        <v>1.22322282050793E-2</v>
      </c>
      <c r="AB57" s="183">
        <f t="shared" si="52"/>
        <v>1.2232228199432676E-2</v>
      </c>
      <c r="AC57" s="183">
        <f t="shared" si="52"/>
        <v>1.2232228199766701E-2</v>
      </c>
      <c r="AD57" s="183">
        <f t="shared" si="52"/>
        <v>1.2232228199746942E-2</v>
      </c>
      <c r="AE57" s="183">
        <f t="shared" si="52"/>
        <v>1.2232228199748112E-2</v>
      </c>
      <c r="AF57" s="183">
        <f t="shared" si="52"/>
        <v>1.2232228199748044E-2</v>
      </c>
      <c r="AG57" s="196">
        <f t="shared" si="52"/>
        <v>1.2232228199748047E-2</v>
      </c>
      <c r="AH57" s="197">
        <f t="shared" si="53"/>
        <v>1.124755444515514E-2</v>
      </c>
      <c r="AI57" s="198">
        <f t="shared" si="54"/>
        <v>13.313819887620639</v>
      </c>
      <c r="AJ57" s="165">
        <f t="shared" si="4"/>
        <v>0.14974791405900242</v>
      </c>
      <c r="AK57" s="165"/>
      <c r="AL57" s="199">
        <f t="shared" ca="1" si="59"/>
        <v>812.0031697169984</v>
      </c>
      <c r="AM57" s="202">
        <f t="shared" si="60"/>
        <v>809.77448642252591</v>
      </c>
      <c r="AN57" s="183">
        <f t="shared" si="14"/>
        <v>16</v>
      </c>
      <c r="AO57" s="183">
        <f t="shared" si="15"/>
        <v>160</v>
      </c>
      <c r="AP57" s="230">
        <f t="shared" si="16"/>
        <v>917.55</v>
      </c>
      <c r="AQ57" s="226">
        <f t="shared" si="17"/>
        <v>101.05224151572662</v>
      </c>
      <c r="AR57" s="227">
        <f t="shared" si="18"/>
        <v>3.2375302317635866</v>
      </c>
      <c r="AS57" s="208">
        <f t="shared" si="7"/>
        <v>306.19713741770158</v>
      </c>
      <c r="AT57" s="228">
        <f t="shared" si="33"/>
        <v>10000</v>
      </c>
      <c r="AU57" s="228">
        <f t="shared" si="19"/>
        <v>100000000</v>
      </c>
      <c r="AV57" s="206">
        <f t="shared" si="20"/>
        <v>645.5</v>
      </c>
      <c r="AW57" s="206">
        <f t="shared" si="21"/>
        <v>64.5</v>
      </c>
      <c r="AX57" s="204">
        <f t="shared" si="22"/>
        <v>910.82672793825259</v>
      </c>
    </row>
    <row r="58" spans="1:50">
      <c r="A58" s="162">
        <v>732.67</v>
      </c>
      <c r="B58" s="182">
        <v>757.55</v>
      </c>
      <c r="C58" s="201">
        <f t="shared" si="27"/>
        <v>0</v>
      </c>
      <c r="D58" s="9">
        <f t="shared" si="57"/>
        <v>732.67</v>
      </c>
      <c r="E58" s="203">
        <f t="shared" si="57"/>
        <v>757.55</v>
      </c>
      <c r="F58" s="164">
        <f t="shared" si="28"/>
        <v>741.97524795468155</v>
      </c>
      <c r="G58" s="194"/>
      <c r="H58" s="194">
        <f t="shared" ref="H58" si="71">H57</f>
        <v>3090</v>
      </c>
      <c r="I58" s="183" t="s">
        <v>140</v>
      </c>
      <c r="J58" s="225">
        <f t="shared" si="30"/>
        <v>8</v>
      </c>
      <c r="K58" s="164">
        <v>710</v>
      </c>
      <c r="L58" s="164">
        <v>64.5</v>
      </c>
      <c r="M58" s="164">
        <f t="shared" si="50"/>
        <v>0</v>
      </c>
      <c r="N58" s="183">
        <f t="shared" si="9"/>
        <v>581</v>
      </c>
      <c r="O58" s="168">
        <f t="shared" si="10"/>
        <v>0.26511978943460601</v>
      </c>
      <c r="P58" s="168">
        <f t="shared" si="11"/>
        <v>3.2375302317635866</v>
      </c>
      <c r="Q58" s="195">
        <f t="shared" si="12"/>
        <v>1225901.8717468916</v>
      </c>
      <c r="R58" s="183">
        <f t="shared" si="51"/>
        <v>2.5000000000000001E-2</v>
      </c>
      <c r="S58" s="183">
        <v>21</v>
      </c>
      <c r="T58" s="183">
        <f t="shared" si="52"/>
        <v>1.0328877915824833E-2</v>
      </c>
      <c r="U58" s="183">
        <f t="shared" si="52"/>
        <v>1.2357539636664659E-2</v>
      </c>
      <c r="V58" s="183">
        <f t="shared" si="52"/>
        <v>1.2224863685296071E-2</v>
      </c>
      <c r="W58" s="183">
        <f t="shared" si="52"/>
        <v>1.2232664014411747E-2</v>
      </c>
      <c r="X58" s="183">
        <f t="shared" si="52"/>
        <v>1.2232202419793069E-2</v>
      </c>
      <c r="Y58" s="183">
        <f t="shared" si="52"/>
        <v>1.2232229724759009E-2</v>
      </c>
      <c r="Z58" s="183">
        <f t="shared" si="52"/>
        <v>1.2232228109536286E-2</v>
      </c>
      <c r="AA58" s="183">
        <f t="shared" si="52"/>
        <v>1.2232228205084506E-2</v>
      </c>
      <c r="AB58" s="183">
        <f t="shared" si="52"/>
        <v>1.2232228199432369E-2</v>
      </c>
      <c r="AC58" s="183">
        <f t="shared" si="52"/>
        <v>1.223222819976672E-2</v>
      </c>
      <c r="AD58" s="183">
        <f t="shared" si="52"/>
        <v>1.2232228199746942E-2</v>
      </c>
      <c r="AE58" s="183">
        <f t="shared" si="52"/>
        <v>1.2232228199748112E-2</v>
      </c>
      <c r="AF58" s="183">
        <f t="shared" si="52"/>
        <v>1.2232228199748044E-2</v>
      </c>
      <c r="AG58" s="196">
        <f t="shared" si="52"/>
        <v>1.2232228199748047E-2</v>
      </c>
      <c r="AH58" s="197">
        <f t="shared" si="53"/>
        <v>1.124755444515514E-2</v>
      </c>
      <c r="AI58" s="198">
        <f t="shared" si="54"/>
        <v>4.6999999999999318</v>
      </c>
      <c r="AJ58" s="165">
        <f t="shared" si="4"/>
        <v>5.2863505892228393E-2</v>
      </c>
      <c r="AK58" s="165"/>
      <c r="AL58" s="199">
        <f t="shared" ca="1" si="59"/>
        <v>812.0031697169984</v>
      </c>
      <c r="AM58" s="202">
        <f t="shared" si="60"/>
        <v>809.72162291663369</v>
      </c>
      <c r="AN58" s="183">
        <f t="shared" si="14"/>
        <v>16</v>
      </c>
      <c r="AO58" s="183">
        <f t="shared" si="15"/>
        <v>160</v>
      </c>
      <c r="AP58" s="230">
        <f t="shared" si="16"/>
        <v>917.55</v>
      </c>
      <c r="AQ58" s="226">
        <f t="shared" si="17"/>
        <v>101.05224151572662</v>
      </c>
      <c r="AR58" s="227">
        <f t="shared" si="18"/>
        <v>3.2375302317635866</v>
      </c>
      <c r="AS58" s="208">
        <f t="shared" si="7"/>
        <v>306.19713741770158</v>
      </c>
      <c r="AT58" s="228">
        <f t="shared" si="33"/>
        <v>10000</v>
      </c>
      <c r="AU58" s="228">
        <f t="shared" si="19"/>
        <v>100000000</v>
      </c>
      <c r="AV58" s="206">
        <f t="shared" si="20"/>
        <v>645.5</v>
      </c>
      <c r="AW58" s="206">
        <f t="shared" si="21"/>
        <v>64.5</v>
      </c>
      <c r="AX58" s="204">
        <f t="shared" si="22"/>
        <v>910.77386443236037</v>
      </c>
    </row>
    <row r="59" spans="1:50">
      <c r="A59" s="162">
        <v>736.06999999999994</v>
      </c>
      <c r="B59" s="182">
        <v>757.55</v>
      </c>
      <c r="C59" s="201">
        <f t="shared" si="27"/>
        <v>0</v>
      </c>
      <c r="D59" s="9">
        <f t="shared" si="57"/>
        <v>736.06999999999994</v>
      </c>
      <c r="E59" s="203">
        <f t="shared" si="57"/>
        <v>757.55</v>
      </c>
      <c r="F59" s="164">
        <f t="shared" si="28"/>
        <v>745.37524795468153</v>
      </c>
      <c r="G59" s="194"/>
      <c r="H59" s="194">
        <f t="shared" ref="H59" si="72">H58</f>
        <v>3090</v>
      </c>
      <c r="I59" s="183" t="s">
        <v>140</v>
      </c>
      <c r="J59" s="225">
        <f t="shared" si="30"/>
        <v>8</v>
      </c>
      <c r="K59" s="164">
        <v>710</v>
      </c>
      <c r="L59" s="164">
        <v>64.5</v>
      </c>
      <c r="M59" s="164">
        <f t="shared" si="50"/>
        <v>0</v>
      </c>
      <c r="N59" s="183">
        <f t="shared" si="9"/>
        <v>581</v>
      </c>
      <c r="O59" s="168">
        <f t="shared" si="10"/>
        <v>0.26511978943460601</v>
      </c>
      <c r="P59" s="168">
        <f t="shared" si="11"/>
        <v>3.2375302317635866</v>
      </c>
      <c r="Q59" s="195">
        <f t="shared" si="12"/>
        <v>1225901.8717468916</v>
      </c>
      <c r="R59" s="183">
        <f t="shared" si="51"/>
        <v>2.5000000000000001E-2</v>
      </c>
      <c r="S59" s="183">
        <v>22</v>
      </c>
      <c r="T59" s="183">
        <f t="shared" si="52"/>
        <v>1.032731609823009E-2</v>
      </c>
      <c r="U59" s="183">
        <f t="shared" si="52"/>
        <v>1.2357654320081256E-2</v>
      </c>
      <c r="V59" s="183">
        <f t="shared" si="52"/>
        <v>1.2224856989259781E-2</v>
      </c>
      <c r="W59" s="183">
        <f t="shared" si="52"/>
        <v>1.2232664410820448E-2</v>
      </c>
      <c r="X59" s="183">
        <f t="shared" si="52"/>
        <v>1.2232202396344649E-2</v>
      </c>
      <c r="Y59" s="183">
        <f t="shared" si="52"/>
        <v>1.2232229726146101E-2</v>
      </c>
      <c r="Z59" s="183">
        <f t="shared" si="52"/>
        <v>1.2232228109454233E-2</v>
      </c>
      <c r="AA59" s="183">
        <f t="shared" si="52"/>
        <v>1.223222820508936E-2</v>
      </c>
      <c r="AB59" s="183">
        <f t="shared" si="52"/>
        <v>1.2232228199432081E-2</v>
      </c>
      <c r="AC59" s="183">
        <f t="shared" si="52"/>
        <v>1.2232228199766736E-2</v>
      </c>
      <c r="AD59" s="183">
        <f t="shared" si="52"/>
        <v>1.2232228199746937E-2</v>
      </c>
      <c r="AE59" s="183">
        <f t="shared" si="52"/>
        <v>1.2232228199748112E-2</v>
      </c>
      <c r="AF59" s="183">
        <f t="shared" si="52"/>
        <v>1.2232228199748044E-2</v>
      </c>
      <c r="AG59" s="196">
        <f t="shared" si="52"/>
        <v>1.2232228199748047E-2</v>
      </c>
      <c r="AH59" s="197">
        <f t="shared" si="53"/>
        <v>1.124755444515514E-2</v>
      </c>
      <c r="AI59" s="198">
        <f t="shared" si="54"/>
        <v>3.3999999999999773</v>
      </c>
      <c r="AJ59" s="165">
        <f t="shared" si="4"/>
        <v>3.824168511352722E-2</v>
      </c>
      <c r="AK59" s="165"/>
      <c r="AL59" s="199">
        <f t="shared" ca="1" si="59"/>
        <v>812.0031697169984</v>
      </c>
      <c r="AM59" s="202">
        <f t="shared" si="60"/>
        <v>809.68338123152012</v>
      </c>
      <c r="AN59" s="183">
        <f t="shared" si="14"/>
        <v>16</v>
      </c>
      <c r="AO59" s="183">
        <f t="shared" si="15"/>
        <v>160</v>
      </c>
      <c r="AP59" s="230">
        <f t="shared" si="16"/>
        <v>917.55</v>
      </c>
      <c r="AQ59" s="226">
        <f t="shared" si="17"/>
        <v>101.05224151572662</v>
      </c>
      <c r="AR59" s="227">
        <f t="shared" si="18"/>
        <v>3.2375302317635866</v>
      </c>
      <c r="AS59" s="208">
        <f t="shared" si="7"/>
        <v>306.19713741770158</v>
      </c>
      <c r="AT59" s="228">
        <f t="shared" si="33"/>
        <v>10000</v>
      </c>
      <c r="AU59" s="228">
        <f t="shared" si="19"/>
        <v>100000000</v>
      </c>
      <c r="AV59" s="206">
        <f t="shared" si="20"/>
        <v>645.5</v>
      </c>
      <c r="AW59" s="206">
        <f t="shared" si="21"/>
        <v>64.5</v>
      </c>
      <c r="AX59" s="204">
        <f t="shared" si="22"/>
        <v>910.73562274724668</v>
      </c>
    </row>
    <row r="60" spans="1:50">
      <c r="A60" s="162">
        <v>736.06999999999994</v>
      </c>
      <c r="B60" s="182">
        <v>757.55</v>
      </c>
      <c r="C60" s="201" t="e">
        <f t="shared" si="27"/>
        <v>#DIV/0!</v>
      </c>
      <c r="D60" s="9">
        <f t="shared" si="57"/>
        <v>736.06999999999994</v>
      </c>
      <c r="E60" s="203">
        <f t="shared" si="57"/>
        <v>757.55</v>
      </c>
      <c r="F60" s="164">
        <f t="shared" si="28"/>
        <v>745.37524795468153</v>
      </c>
      <c r="G60" s="194"/>
      <c r="H60" s="194">
        <f t="shared" ref="H60" si="73">H59</f>
        <v>3090</v>
      </c>
      <c r="I60" s="183" t="s">
        <v>140</v>
      </c>
      <c r="J60" s="225">
        <f t="shared" si="30"/>
        <v>8</v>
      </c>
      <c r="K60" s="164">
        <v>710</v>
      </c>
      <c r="L60" s="164">
        <v>64.5</v>
      </c>
      <c r="M60" s="164">
        <f t="shared" si="50"/>
        <v>0</v>
      </c>
      <c r="N60" s="183">
        <f t="shared" si="9"/>
        <v>581</v>
      </c>
      <c r="O60" s="168">
        <f t="shared" si="10"/>
        <v>0.26511978943460601</v>
      </c>
      <c r="P60" s="168">
        <f t="shared" si="11"/>
        <v>3.2375302317635866</v>
      </c>
      <c r="Q60" s="195">
        <f t="shared" si="12"/>
        <v>1225901.8717468916</v>
      </c>
      <c r="R60" s="183">
        <f t="shared" si="51"/>
        <v>2.5000000000000001E-2</v>
      </c>
      <c r="S60" s="183">
        <v>23</v>
      </c>
      <c r="T60" s="183">
        <f t="shared" ref="T60:AG67" si="74">(1.14-2*LOG($R60/$N60+9.35/($Q60*(S60^0.5))))^-2</f>
        <v>1.0325856390063662E-2</v>
      </c>
      <c r="U60" s="183">
        <f t="shared" si="74"/>
        <v>1.235776152564017E-2</v>
      </c>
      <c r="V60" s="183">
        <f t="shared" si="74"/>
        <v>1.2224850729906183E-2</v>
      </c>
      <c r="W60" s="183">
        <f t="shared" si="74"/>
        <v>1.2232664781377561E-2</v>
      </c>
      <c r="X60" s="183">
        <f t="shared" si="74"/>
        <v>1.2232202374425407E-2</v>
      </c>
      <c r="Y60" s="183">
        <f t="shared" si="74"/>
        <v>1.2232229727442732E-2</v>
      </c>
      <c r="Z60" s="183">
        <f t="shared" si="74"/>
        <v>1.2232228109377529E-2</v>
      </c>
      <c r="AA60" s="183">
        <f t="shared" si="74"/>
        <v>1.2232228205093896E-2</v>
      </c>
      <c r="AB60" s="183">
        <f t="shared" si="74"/>
        <v>1.2232228199431813E-2</v>
      </c>
      <c r="AC60" s="183">
        <f t="shared" si="74"/>
        <v>1.2232228199766755E-2</v>
      </c>
      <c r="AD60" s="183">
        <f t="shared" si="74"/>
        <v>1.2232228199746937E-2</v>
      </c>
      <c r="AE60" s="183">
        <f t="shared" si="74"/>
        <v>1.2232228199748112E-2</v>
      </c>
      <c r="AF60" s="183">
        <f t="shared" si="74"/>
        <v>1.2232228199748044E-2</v>
      </c>
      <c r="AG60" s="196">
        <f t="shared" si="74"/>
        <v>1.2232228199748047E-2</v>
      </c>
      <c r="AH60" s="197">
        <f t="shared" si="53"/>
        <v>1.124755444515514E-2</v>
      </c>
      <c r="AI60" s="198">
        <f t="shared" si="54"/>
        <v>0</v>
      </c>
      <c r="AJ60" s="165">
        <f t="shared" si="4"/>
        <v>0</v>
      </c>
      <c r="AK60" s="165">
        <f>(AK22+AJ22)*(P60^2)/(2*9.81)</f>
        <v>43.383891991961335</v>
      </c>
      <c r="AL60" s="199">
        <f t="shared" ca="1" si="59"/>
        <v>812.0031697169984</v>
      </c>
      <c r="AM60" s="202">
        <f t="shared" si="60"/>
        <v>809.68338123152012</v>
      </c>
      <c r="AN60" s="183">
        <f t="shared" si="14"/>
        <v>16</v>
      </c>
      <c r="AO60" s="183">
        <f t="shared" si="15"/>
        <v>160</v>
      </c>
      <c r="AP60" s="230">
        <f t="shared" si="16"/>
        <v>917.55</v>
      </c>
      <c r="AQ60" s="226">
        <f t="shared" si="17"/>
        <v>101.05224151572662</v>
      </c>
      <c r="AR60" s="227">
        <f t="shared" si="18"/>
        <v>3.2375302317635866</v>
      </c>
      <c r="AS60" s="208">
        <f t="shared" si="7"/>
        <v>306.19713741770158</v>
      </c>
      <c r="AT60" s="228">
        <f t="shared" si="33"/>
        <v>10000</v>
      </c>
      <c r="AU60" s="228">
        <f t="shared" si="19"/>
        <v>100000000</v>
      </c>
      <c r="AV60" s="206">
        <f t="shared" si="20"/>
        <v>645.5</v>
      </c>
      <c r="AW60" s="206">
        <f t="shared" si="21"/>
        <v>64.5</v>
      </c>
      <c r="AX60" s="204">
        <f t="shared" si="22"/>
        <v>910.73562274724668</v>
      </c>
    </row>
    <row r="61" spans="1:50">
      <c r="A61" s="162">
        <v>736.06999999999994</v>
      </c>
      <c r="B61" s="182">
        <v>757.55</v>
      </c>
      <c r="C61" s="201" t="e">
        <f t="shared" si="27"/>
        <v>#DIV/0!</v>
      </c>
      <c r="D61" s="9">
        <f t="shared" si="57"/>
        <v>736.06999999999994</v>
      </c>
      <c r="E61" s="203">
        <f t="shared" si="57"/>
        <v>757.55</v>
      </c>
      <c r="F61" s="164">
        <f t="shared" si="28"/>
        <v>745.37524795468153</v>
      </c>
      <c r="G61" s="194"/>
      <c r="H61" s="194">
        <f t="shared" ref="H61" si="75">H60</f>
        <v>3090</v>
      </c>
      <c r="I61" s="183" t="s">
        <v>140</v>
      </c>
      <c r="J61" s="225">
        <f t="shared" si="30"/>
        <v>8</v>
      </c>
      <c r="K61" s="164">
        <v>710</v>
      </c>
      <c r="L61" s="164">
        <v>64.5</v>
      </c>
      <c r="M61" s="164">
        <f t="shared" si="50"/>
        <v>0</v>
      </c>
      <c r="N61" s="183">
        <f t="shared" si="9"/>
        <v>581</v>
      </c>
      <c r="O61" s="168">
        <f t="shared" si="10"/>
        <v>0.26511978943460601</v>
      </c>
      <c r="P61" s="168">
        <f t="shared" si="11"/>
        <v>3.2375302317635866</v>
      </c>
      <c r="Q61" s="195">
        <f t="shared" si="12"/>
        <v>1225901.8717468916</v>
      </c>
      <c r="R61" s="183">
        <f t="shared" si="51"/>
        <v>2.5000000000000001E-2</v>
      </c>
      <c r="S61" s="183">
        <v>24</v>
      </c>
      <c r="T61" s="183">
        <f t="shared" si="74"/>
        <v>1.0324488111439703E-2</v>
      </c>
      <c r="U61" s="183">
        <f t="shared" si="74"/>
        <v>1.2357862033862264E-2</v>
      </c>
      <c r="V61" s="183">
        <f t="shared" si="74"/>
        <v>1.2224844861649597E-2</v>
      </c>
      <c r="W61" s="183">
        <f t="shared" si="74"/>
        <v>1.2232665128781746E-2</v>
      </c>
      <c r="X61" s="183">
        <f t="shared" si="74"/>
        <v>1.2232202353875708E-2</v>
      </c>
      <c r="Y61" s="183">
        <f t="shared" si="74"/>
        <v>1.2232229728658348E-2</v>
      </c>
      <c r="Z61" s="183">
        <f t="shared" si="74"/>
        <v>1.2232228109305621E-2</v>
      </c>
      <c r="AA61" s="183">
        <f t="shared" si="74"/>
        <v>1.2232228205098152E-2</v>
      </c>
      <c r="AB61" s="183">
        <f t="shared" si="74"/>
        <v>1.2232228199431561E-2</v>
      </c>
      <c r="AC61" s="183">
        <f t="shared" si="74"/>
        <v>1.223222819976677E-2</v>
      </c>
      <c r="AD61" s="183">
        <f t="shared" si="74"/>
        <v>1.2232228199746937E-2</v>
      </c>
      <c r="AE61" s="183">
        <f t="shared" si="74"/>
        <v>1.2232228199748112E-2</v>
      </c>
      <c r="AF61" s="183">
        <f t="shared" si="74"/>
        <v>1.2232228199748044E-2</v>
      </c>
      <c r="AG61" s="196">
        <f t="shared" si="74"/>
        <v>1.2232228199748047E-2</v>
      </c>
      <c r="AH61" s="197">
        <f t="shared" si="53"/>
        <v>1.124755444515514E-2</v>
      </c>
      <c r="AI61" s="198">
        <f t="shared" si="54"/>
        <v>0</v>
      </c>
      <c r="AJ61" s="165">
        <f t="shared" si="4"/>
        <v>0</v>
      </c>
      <c r="AK61" s="165">
        <v>8.6999999999999993</v>
      </c>
      <c r="AL61" s="199">
        <f t="shared" ca="1" si="59"/>
        <v>812.0031697169984</v>
      </c>
      <c r="AM61" s="202">
        <f t="shared" si="60"/>
        <v>766.29948923955874</v>
      </c>
      <c r="AN61" s="183">
        <f t="shared" si="14"/>
        <v>16</v>
      </c>
      <c r="AO61" s="183">
        <f t="shared" si="15"/>
        <v>160</v>
      </c>
      <c r="AP61" s="230">
        <f t="shared" si="16"/>
        <v>917.55</v>
      </c>
      <c r="AQ61" s="226">
        <f t="shared" si="17"/>
        <v>101.05224151572662</v>
      </c>
      <c r="AR61" s="227">
        <f t="shared" si="18"/>
        <v>3.2375302317635866</v>
      </c>
      <c r="AS61" s="208">
        <f t="shared" si="7"/>
        <v>306.19713741770158</v>
      </c>
      <c r="AT61" s="228">
        <f t="shared" si="33"/>
        <v>10000</v>
      </c>
      <c r="AU61" s="228">
        <f t="shared" si="19"/>
        <v>100000000</v>
      </c>
      <c r="AV61" s="206">
        <f t="shared" si="20"/>
        <v>645.5</v>
      </c>
      <c r="AW61" s="206">
        <f t="shared" si="21"/>
        <v>64.5</v>
      </c>
      <c r="AX61" s="204">
        <f t="shared" si="22"/>
        <v>867.35173075528542</v>
      </c>
    </row>
    <row r="62" spans="1:50">
      <c r="A62" s="162">
        <v>736.06999999999994</v>
      </c>
      <c r="B62" s="182">
        <v>757.55</v>
      </c>
      <c r="C62" s="201" t="e">
        <f t="shared" si="27"/>
        <v>#DIV/0!</v>
      </c>
      <c r="D62" s="9">
        <f t="shared" si="57"/>
        <v>736.06999999999994</v>
      </c>
      <c r="E62" s="203">
        <f t="shared" si="57"/>
        <v>757.55</v>
      </c>
      <c r="F62" s="164">
        <f t="shared" si="28"/>
        <v>745.37524795468153</v>
      </c>
      <c r="G62" s="194"/>
      <c r="H62" s="194">
        <f t="shared" ref="H62" si="76">H61</f>
        <v>3090</v>
      </c>
      <c r="I62" s="183" t="s">
        <v>140</v>
      </c>
      <c r="J62" s="225">
        <f t="shared" si="30"/>
        <v>8</v>
      </c>
      <c r="K62" s="164">
        <v>710</v>
      </c>
      <c r="L62" s="164">
        <v>64.5</v>
      </c>
      <c r="M62" s="164">
        <f t="shared" si="50"/>
        <v>0</v>
      </c>
      <c r="N62" s="183">
        <f t="shared" si="9"/>
        <v>581</v>
      </c>
      <c r="O62" s="168">
        <f t="shared" si="10"/>
        <v>0.26511978943460601</v>
      </c>
      <c r="P62" s="168">
        <f t="shared" si="11"/>
        <v>3.2375302317635866</v>
      </c>
      <c r="Q62" s="195">
        <f t="shared" si="12"/>
        <v>1225901.8717468916</v>
      </c>
      <c r="R62" s="183">
        <f t="shared" si="51"/>
        <v>2.5000000000000001E-2</v>
      </c>
      <c r="S62" s="183">
        <v>25</v>
      </c>
      <c r="T62" s="183">
        <f t="shared" si="74"/>
        <v>1.0323202084963914E-2</v>
      </c>
      <c r="U62" s="183">
        <f t="shared" si="74"/>
        <v>1.2357956515648241E-2</v>
      </c>
      <c r="V62" s="183">
        <f t="shared" si="74"/>
        <v>1.2224839345307284E-2</v>
      </c>
      <c r="W62" s="183">
        <f t="shared" si="74"/>
        <v>1.2232665455352598E-2</v>
      </c>
      <c r="X62" s="183">
        <f t="shared" si="74"/>
        <v>1.2232202334558351E-2</v>
      </c>
      <c r="Y62" s="183">
        <f t="shared" si="74"/>
        <v>1.2232229729801068E-2</v>
      </c>
      <c r="Z62" s="183">
        <f t="shared" si="74"/>
        <v>1.2232228109238024E-2</v>
      </c>
      <c r="AA62" s="183">
        <f t="shared" si="74"/>
        <v>1.223222820510215E-2</v>
      </c>
      <c r="AB62" s="183">
        <f t="shared" si="74"/>
        <v>1.2232228199431325E-2</v>
      </c>
      <c r="AC62" s="183">
        <f t="shared" si="74"/>
        <v>1.2232228199766782E-2</v>
      </c>
      <c r="AD62" s="183">
        <f t="shared" si="74"/>
        <v>1.2232228199746937E-2</v>
      </c>
      <c r="AE62" s="183">
        <f t="shared" si="74"/>
        <v>1.2232228199748112E-2</v>
      </c>
      <c r="AF62" s="183">
        <f t="shared" si="74"/>
        <v>1.2232228199748044E-2</v>
      </c>
      <c r="AG62" s="196">
        <f t="shared" si="74"/>
        <v>1.2232228199748047E-2</v>
      </c>
      <c r="AH62" s="197">
        <f t="shared" si="53"/>
        <v>1.124755444515514E-2</v>
      </c>
      <c r="AI62" s="198">
        <f t="shared" si="54"/>
        <v>0</v>
      </c>
      <c r="AJ62" s="165">
        <f t="shared" si="4"/>
        <v>0</v>
      </c>
      <c r="AK62" s="165"/>
      <c r="AL62" s="199">
        <f t="shared" ca="1" si="59"/>
        <v>812.0031697169984</v>
      </c>
      <c r="AM62" s="202">
        <f t="shared" si="60"/>
        <v>757.59948923955869</v>
      </c>
      <c r="AN62" s="183">
        <f t="shared" si="14"/>
        <v>16</v>
      </c>
      <c r="AO62" s="183">
        <f t="shared" si="15"/>
        <v>160</v>
      </c>
      <c r="AP62" s="230">
        <f t="shared" si="16"/>
        <v>917.55</v>
      </c>
      <c r="AQ62" s="226">
        <f t="shared" si="17"/>
        <v>101.05224151572662</v>
      </c>
      <c r="AR62" s="227">
        <f t="shared" si="18"/>
        <v>3.2375302317635866</v>
      </c>
      <c r="AS62" s="208">
        <f t="shared" si="7"/>
        <v>306.19713741770158</v>
      </c>
      <c r="AT62" s="228">
        <f t="shared" si="33"/>
        <v>10000</v>
      </c>
      <c r="AU62" s="228">
        <f t="shared" si="19"/>
        <v>100000000</v>
      </c>
      <c r="AV62" s="206">
        <f t="shared" si="20"/>
        <v>645.5</v>
      </c>
      <c r="AW62" s="206">
        <f t="shared" si="21"/>
        <v>64.5</v>
      </c>
      <c r="AX62" s="204">
        <f t="shared" si="22"/>
        <v>858.65173075528537</v>
      </c>
    </row>
    <row r="63" spans="1:50">
      <c r="A63" s="162">
        <v>740.46999999999991</v>
      </c>
      <c r="B63" s="182">
        <v>757.55</v>
      </c>
      <c r="C63" s="201">
        <f t="shared" si="27"/>
        <v>0</v>
      </c>
      <c r="D63" s="9">
        <f t="shared" si="57"/>
        <v>740.46999999999991</v>
      </c>
      <c r="E63" s="203">
        <f t="shared" si="57"/>
        <v>757.55</v>
      </c>
      <c r="F63" s="164">
        <f t="shared" si="28"/>
        <v>749.7752479546815</v>
      </c>
      <c r="G63" s="194"/>
      <c r="H63" s="194">
        <f t="shared" ref="H63" si="77">H62</f>
        <v>3090</v>
      </c>
      <c r="I63" s="183" t="s">
        <v>140</v>
      </c>
      <c r="J63" s="225">
        <f t="shared" si="30"/>
        <v>8</v>
      </c>
      <c r="K63" s="164">
        <v>710</v>
      </c>
      <c r="L63" s="164">
        <v>64.5</v>
      </c>
      <c r="M63" s="164">
        <f t="shared" si="50"/>
        <v>0</v>
      </c>
      <c r="N63" s="183">
        <f t="shared" si="9"/>
        <v>581</v>
      </c>
      <c r="O63" s="168">
        <f t="shared" si="10"/>
        <v>0.26511978943460601</v>
      </c>
      <c r="P63" s="168">
        <f t="shared" si="11"/>
        <v>3.2375302317635866</v>
      </c>
      <c r="Q63" s="195">
        <f t="shared" si="12"/>
        <v>1225901.8717468916</v>
      </c>
      <c r="R63" s="183">
        <f t="shared" si="51"/>
        <v>2.5000000000000001E-2</v>
      </c>
      <c r="S63" s="183">
        <v>26</v>
      </c>
      <c r="T63" s="183">
        <f t="shared" si="74"/>
        <v>1.0321990374300911E-2</v>
      </c>
      <c r="U63" s="183">
        <f t="shared" si="74"/>
        <v>1.2358045551324595E-2</v>
      </c>
      <c r="V63" s="183">
        <f t="shared" si="74"/>
        <v>1.2224834146986874E-2</v>
      </c>
      <c r="W63" s="183">
        <f t="shared" si="74"/>
        <v>1.2232665763096525E-2</v>
      </c>
      <c r="X63" s="183">
        <f t="shared" si="74"/>
        <v>1.2232202316354641E-2</v>
      </c>
      <c r="Y63" s="183">
        <f t="shared" si="74"/>
        <v>1.2232229730877909E-2</v>
      </c>
      <c r="Z63" s="183">
        <f t="shared" si="74"/>
        <v>1.2232228109174325E-2</v>
      </c>
      <c r="AA63" s="183">
        <f t="shared" si="74"/>
        <v>1.2232228205105918E-2</v>
      </c>
      <c r="AB63" s="183">
        <f t="shared" si="74"/>
        <v>1.22322281994311E-2</v>
      </c>
      <c r="AC63" s="183">
        <f t="shared" si="74"/>
        <v>1.2232228199766793E-2</v>
      </c>
      <c r="AD63" s="183">
        <f t="shared" si="74"/>
        <v>1.2232228199746937E-2</v>
      </c>
      <c r="AE63" s="183">
        <f t="shared" si="74"/>
        <v>1.2232228199748112E-2</v>
      </c>
      <c r="AF63" s="183">
        <f t="shared" si="74"/>
        <v>1.2232228199748044E-2</v>
      </c>
      <c r="AG63" s="196">
        <f t="shared" si="74"/>
        <v>1.2232228199748047E-2</v>
      </c>
      <c r="AH63" s="197">
        <f t="shared" si="53"/>
        <v>1.124755444515514E-2</v>
      </c>
      <c r="AI63" s="198">
        <f t="shared" si="54"/>
        <v>4.3999999999999773</v>
      </c>
      <c r="AJ63" s="165">
        <f t="shared" si="4"/>
        <v>4.9489239558682362E-2</v>
      </c>
      <c r="AK63" s="165"/>
      <c r="AL63" s="199">
        <f t="shared" ca="1" si="59"/>
        <v>812.0031697169984</v>
      </c>
      <c r="AM63" s="202">
        <f t="shared" ref="AM63:AM66" si="78">E63</f>
        <v>757.55</v>
      </c>
      <c r="AN63" s="183">
        <f t="shared" si="14"/>
        <v>16</v>
      </c>
      <c r="AO63" s="183">
        <f t="shared" si="15"/>
        <v>160</v>
      </c>
      <c r="AP63" s="230">
        <f t="shared" si="16"/>
        <v>917.55</v>
      </c>
      <c r="AQ63" s="226">
        <f t="shared" si="17"/>
        <v>101.05224151572662</v>
      </c>
      <c r="AR63" s="227">
        <f t="shared" si="18"/>
        <v>3.2375302317635866</v>
      </c>
      <c r="AS63" s="208">
        <f t="shared" si="7"/>
        <v>306.19713741770158</v>
      </c>
      <c r="AT63" s="228">
        <f t="shared" si="33"/>
        <v>10000</v>
      </c>
      <c r="AU63" s="228">
        <f t="shared" si="19"/>
        <v>100000000</v>
      </c>
      <c r="AV63" s="206">
        <f t="shared" si="20"/>
        <v>645.5</v>
      </c>
      <c r="AW63" s="206">
        <f t="shared" si="21"/>
        <v>64.5</v>
      </c>
      <c r="AX63" s="204">
        <f t="shared" ref="AX63:AX66" si="79">E63</f>
        <v>757.55</v>
      </c>
    </row>
    <row r="64" spans="1:50">
      <c r="A64" s="162">
        <v>743.51</v>
      </c>
      <c r="B64" s="162">
        <v>757.55</v>
      </c>
      <c r="C64" s="201">
        <f t="shared" si="27"/>
        <v>0</v>
      </c>
      <c r="D64" s="9">
        <f t="shared" si="57"/>
        <v>743.51</v>
      </c>
      <c r="E64" s="203">
        <f t="shared" si="57"/>
        <v>757.55</v>
      </c>
      <c r="F64" s="164">
        <f t="shared" si="28"/>
        <v>752.81524795468158</v>
      </c>
      <c r="G64" s="194"/>
      <c r="H64" s="194">
        <f t="shared" ref="H64" si="80">H63</f>
        <v>3090</v>
      </c>
      <c r="I64" s="183" t="s">
        <v>140</v>
      </c>
      <c r="J64" s="225">
        <f t="shared" si="30"/>
        <v>8</v>
      </c>
      <c r="K64" s="164">
        <v>710</v>
      </c>
      <c r="L64" s="164">
        <v>64.5</v>
      </c>
      <c r="M64" s="164">
        <f t="shared" si="50"/>
        <v>0</v>
      </c>
      <c r="N64" s="183">
        <f t="shared" si="9"/>
        <v>581</v>
      </c>
      <c r="O64" s="168">
        <f t="shared" si="10"/>
        <v>0.26511978943460601</v>
      </c>
      <c r="P64" s="168">
        <f t="shared" si="11"/>
        <v>3.2375302317635866</v>
      </c>
      <c r="Q64" s="195">
        <f t="shared" si="12"/>
        <v>1225901.8717468916</v>
      </c>
      <c r="R64" s="183">
        <f t="shared" si="51"/>
        <v>2.5000000000000001E-2</v>
      </c>
      <c r="S64" s="183">
        <v>27</v>
      </c>
      <c r="T64" s="183">
        <f t="shared" si="74"/>
        <v>1.032084607629377E-2</v>
      </c>
      <c r="U64" s="183">
        <f t="shared" si="74"/>
        <v>1.2358129645793175E-2</v>
      </c>
      <c r="V64" s="183">
        <f t="shared" si="74"/>
        <v>1.2224829237201414E-2</v>
      </c>
      <c r="W64" s="183">
        <f t="shared" si="74"/>
        <v>1.2232666053759157E-2</v>
      </c>
      <c r="X64" s="183">
        <f t="shared" si="74"/>
        <v>1.2232202299161334E-2</v>
      </c>
      <c r="Y64" s="183">
        <f t="shared" si="74"/>
        <v>1.2232229731894979E-2</v>
      </c>
      <c r="Z64" s="183">
        <f t="shared" si="74"/>
        <v>1.223222810911416E-2</v>
      </c>
      <c r="AA64" s="183">
        <f t="shared" si="74"/>
        <v>1.2232228205109479E-2</v>
      </c>
      <c r="AB64" s="183">
        <f t="shared" si="74"/>
        <v>1.223222819943089E-2</v>
      </c>
      <c r="AC64" s="183">
        <f t="shared" si="74"/>
        <v>1.2232228199766809E-2</v>
      </c>
      <c r="AD64" s="183">
        <f t="shared" si="74"/>
        <v>1.2232228199746937E-2</v>
      </c>
      <c r="AE64" s="183">
        <f t="shared" si="74"/>
        <v>1.2232228199748112E-2</v>
      </c>
      <c r="AF64" s="183">
        <f t="shared" si="74"/>
        <v>1.2232228199748044E-2</v>
      </c>
      <c r="AG64" s="196">
        <f t="shared" si="74"/>
        <v>1.2232228199748047E-2</v>
      </c>
      <c r="AH64" s="197">
        <f t="shared" si="53"/>
        <v>1.124755444515514E-2</v>
      </c>
      <c r="AI64" s="198">
        <f t="shared" si="54"/>
        <v>3.0400000000000773</v>
      </c>
      <c r="AJ64" s="165">
        <f t="shared" si="4"/>
        <v>3.4192565513272495E-2</v>
      </c>
      <c r="AK64" s="165"/>
      <c r="AL64" s="199">
        <f t="shared" ca="1" si="59"/>
        <v>812.0031697169984</v>
      </c>
      <c r="AM64" s="202">
        <f t="shared" si="78"/>
        <v>757.55</v>
      </c>
      <c r="AN64" s="183">
        <f t="shared" si="14"/>
        <v>16</v>
      </c>
      <c r="AO64" s="183">
        <f t="shared" si="15"/>
        <v>160</v>
      </c>
      <c r="AP64" s="230">
        <f t="shared" si="16"/>
        <v>917.55</v>
      </c>
      <c r="AQ64" s="226">
        <f t="shared" si="17"/>
        <v>101.05224151572662</v>
      </c>
      <c r="AR64" s="227">
        <f t="shared" si="18"/>
        <v>3.2375302317635866</v>
      </c>
      <c r="AS64" s="208">
        <f t="shared" si="7"/>
        <v>306.19713741770158</v>
      </c>
      <c r="AT64" s="228">
        <f t="shared" si="33"/>
        <v>10000</v>
      </c>
      <c r="AU64" s="228">
        <f t="shared" si="19"/>
        <v>100000000</v>
      </c>
      <c r="AV64" s="206">
        <f t="shared" si="20"/>
        <v>645.5</v>
      </c>
      <c r="AW64" s="206">
        <f t="shared" si="21"/>
        <v>64.5</v>
      </c>
      <c r="AX64" s="204">
        <f t="shared" si="79"/>
        <v>757.55</v>
      </c>
    </row>
    <row r="65" spans="1:50">
      <c r="A65" s="162">
        <v>776.56999999999994</v>
      </c>
      <c r="B65" s="162">
        <v>754.23</v>
      </c>
      <c r="C65" s="201">
        <f t="shared" si="27"/>
        <v>-0.10042347247428741</v>
      </c>
      <c r="D65" s="9">
        <f t="shared" ref="D65:E67" si="81">A65</f>
        <v>776.56999999999994</v>
      </c>
      <c r="E65" s="203">
        <f t="shared" si="81"/>
        <v>754.23</v>
      </c>
      <c r="F65" s="164">
        <f t="shared" si="28"/>
        <v>786.04153273044301</v>
      </c>
      <c r="G65" s="194"/>
      <c r="H65" s="194">
        <f t="shared" ref="H65" si="82">H64</f>
        <v>3090</v>
      </c>
      <c r="I65" s="183" t="s">
        <v>140</v>
      </c>
      <c r="J65" s="225">
        <f t="shared" si="30"/>
        <v>8</v>
      </c>
      <c r="K65" s="164">
        <v>710</v>
      </c>
      <c r="L65" s="164">
        <v>64.5</v>
      </c>
      <c r="M65" s="164">
        <f t="shared" si="50"/>
        <v>0</v>
      </c>
      <c r="N65" s="183">
        <f t="shared" si="9"/>
        <v>581</v>
      </c>
      <c r="O65" s="168">
        <f t="shared" si="10"/>
        <v>0.26511978943460601</v>
      </c>
      <c r="P65" s="168">
        <f t="shared" si="11"/>
        <v>3.2375302317635866</v>
      </c>
      <c r="Q65" s="195">
        <f t="shared" si="12"/>
        <v>1225901.8717468916</v>
      </c>
      <c r="R65" s="183">
        <f t="shared" si="51"/>
        <v>2.5000000000000001E-2</v>
      </c>
      <c r="S65" s="183">
        <v>28</v>
      </c>
      <c r="T65" s="183">
        <f t="shared" si="74"/>
        <v>1.0319763154132819E-2</v>
      </c>
      <c r="U65" s="183">
        <f t="shared" si="74"/>
        <v>1.2358209240693011E-2</v>
      </c>
      <c r="V65" s="183">
        <f t="shared" si="74"/>
        <v>1.2224824590158959E-2</v>
      </c>
      <c r="W65" s="183">
        <f t="shared" si="74"/>
        <v>1.2232666328867358E-2</v>
      </c>
      <c r="X65" s="183">
        <f t="shared" si="74"/>
        <v>1.2232202282888099E-2</v>
      </c>
      <c r="Y65" s="183">
        <f t="shared" si="74"/>
        <v>1.2232229732857623E-2</v>
      </c>
      <c r="Z65" s="183">
        <f t="shared" si="74"/>
        <v>1.2232228109057214E-2</v>
      </c>
      <c r="AA65" s="183">
        <f t="shared" si="74"/>
        <v>1.2232228205112848E-2</v>
      </c>
      <c r="AB65" s="183">
        <f t="shared" si="74"/>
        <v>1.2232228199430692E-2</v>
      </c>
      <c r="AC65" s="183">
        <f t="shared" si="74"/>
        <v>1.2232228199766817E-2</v>
      </c>
      <c r="AD65" s="183">
        <f t="shared" si="74"/>
        <v>1.2232228199746937E-2</v>
      </c>
      <c r="AE65" s="183">
        <f t="shared" si="74"/>
        <v>1.2232228199748112E-2</v>
      </c>
      <c r="AF65" s="183">
        <f t="shared" si="74"/>
        <v>1.2232228199748044E-2</v>
      </c>
      <c r="AG65" s="196">
        <f t="shared" si="74"/>
        <v>1.2232228199748047E-2</v>
      </c>
      <c r="AH65" s="197">
        <f t="shared" si="53"/>
        <v>1.124755444515514E-2</v>
      </c>
      <c r="AI65" s="198">
        <f t="shared" si="54"/>
        <v>33.226284775761428</v>
      </c>
      <c r="AJ65" s="165">
        <f t="shared" si="4"/>
        <v>0.37371444702560602</v>
      </c>
      <c r="AK65" s="165"/>
      <c r="AL65" s="199">
        <f t="shared" ca="1" si="59"/>
        <v>812.0031697169984</v>
      </c>
      <c r="AM65" s="202">
        <f t="shared" si="78"/>
        <v>754.23</v>
      </c>
      <c r="AN65" s="183">
        <f t="shared" si="14"/>
        <v>16</v>
      </c>
      <c r="AO65" s="183">
        <f t="shared" si="15"/>
        <v>160</v>
      </c>
      <c r="AP65" s="230">
        <f t="shared" si="16"/>
        <v>914.23</v>
      </c>
      <c r="AQ65" s="226">
        <f t="shared" si="17"/>
        <v>101.05224151572662</v>
      </c>
      <c r="AR65" s="227">
        <f t="shared" si="18"/>
        <v>3.2375302317635866</v>
      </c>
      <c r="AS65" s="208">
        <f t="shared" si="7"/>
        <v>306.19713741770158</v>
      </c>
      <c r="AT65" s="228">
        <f t="shared" si="33"/>
        <v>10000</v>
      </c>
      <c r="AU65" s="228">
        <f t="shared" si="19"/>
        <v>100000000</v>
      </c>
      <c r="AV65" s="206">
        <f t="shared" si="20"/>
        <v>645.5</v>
      </c>
      <c r="AW65" s="206">
        <f t="shared" si="21"/>
        <v>64.5</v>
      </c>
      <c r="AX65" s="204">
        <f t="shared" si="79"/>
        <v>754.23</v>
      </c>
    </row>
    <row r="66" spans="1:50">
      <c r="A66" s="162">
        <v>776.84999999999991</v>
      </c>
      <c r="B66" s="162">
        <v>753.25</v>
      </c>
      <c r="C66" s="201">
        <f t="shared" si="27"/>
        <v>-3.5000000000004059</v>
      </c>
      <c r="D66" s="9">
        <f t="shared" si="81"/>
        <v>776.84999999999991</v>
      </c>
      <c r="E66" s="203">
        <f t="shared" si="81"/>
        <v>753.25</v>
      </c>
      <c r="F66" s="164">
        <f t="shared" si="28"/>
        <v>787.06074811494227</v>
      </c>
      <c r="G66" s="194"/>
      <c r="H66" s="194">
        <f t="shared" ref="H66" si="83">H65</f>
        <v>3090</v>
      </c>
      <c r="I66" s="183" t="s">
        <v>140</v>
      </c>
      <c r="J66" s="225">
        <f t="shared" si="30"/>
        <v>8</v>
      </c>
      <c r="K66" s="164">
        <v>710</v>
      </c>
      <c r="L66" s="164">
        <v>64.5</v>
      </c>
      <c r="M66" s="164">
        <f t="shared" si="50"/>
        <v>0</v>
      </c>
      <c r="N66" s="183">
        <f t="shared" si="9"/>
        <v>581</v>
      </c>
      <c r="O66" s="168">
        <f t="shared" si="10"/>
        <v>0.26511978943460601</v>
      </c>
      <c r="P66" s="168">
        <f t="shared" si="11"/>
        <v>3.2375302317635866</v>
      </c>
      <c r="Q66" s="195">
        <f t="shared" si="12"/>
        <v>1225901.8717468916</v>
      </c>
      <c r="R66" s="183">
        <f t="shared" si="51"/>
        <v>2.5000000000000001E-2</v>
      </c>
      <c r="S66" s="183">
        <v>29</v>
      </c>
      <c r="T66" s="183">
        <f t="shared" si="74"/>
        <v>1.0318736302322939E-2</v>
      </c>
      <c r="U66" s="183">
        <f t="shared" si="74"/>
        <v>1.2358284724246995E-2</v>
      </c>
      <c r="V66" s="183">
        <f t="shared" si="74"/>
        <v>1.2224820183187398E-2</v>
      </c>
      <c r="W66" s="183">
        <f t="shared" si="74"/>
        <v>1.2232666589763318E-2</v>
      </c>
      <c r="X66" s="183">
        <f t="shared" si="74"/>
        <v>1.2232202267455554E-2</v>
      </c>
      <c r="Y66" s="183">
        <f t="shared" si="74"/>
        <v>1.2232229733770531E-2</v>
      </c>
      <c r="Z66" s="183">
        <f t="shared" si="74"/>
        <v>1.2232228109003209E-2</v>
      </c>
      <c r="AA66" s="183">
        <f t="shared" si="74"/>
        <v>1.223222820511604E-2</v>
      </c>
      <c r="AB66" s="183">
        <f t="shared" si="74"/>
        <v>1.2232228199430505E-2</v>
      </c>
      <c r="AC66" s="183">
        <f t="shared" si="74"/>
        <v>1.2232228199766831E-2</v>
      </c>
      <c r="AD66" s="183">
        <f t="shared" si="74"/>
        <v>1.2232228199746934E-2</v>
      </c>
      <c r="AE66" s="183">
        <f t="shared" si="74"/>
        <v>1.2232228199748112E-2</v>
      </c>
      <c r="AF66" s="183">
        <f t="shared" si="74"/>
        <v>1.2232228199748044E-2</v>
      </c>
      <c r="AG66" s="196">
        <f t="shared" si="74"/>
        <v>1.2232228199748047E-2</v>
      </c>
      <c r="AH66" s="197">
        <f t="shared" si="53"/>
        <v>1.124755444515514E-2</v>
      </c>
      <c r="AI66" s="198">
        <f t="shared" si="54"/>
        <v>1.0192153844992617</v>
      </c>
      <c r="AJ66" s="165">
        <f t="shared" si="4"/>
        <v>1.1463680528495177E-2</v>
      </c>
      <c r="AK66" s="165"/>
      <c r="AL66" s="199">
        <f t="shared" ca="1" si="59"/>
        <v>812.0031697169984</v>
      </c>
      <c r="AM66" s="202">
        <f t="shared" si="78"/>
        <v>753.25</v>
      </c>
      <c r="AN66" s="183">
        <f t="shared" si="14"/>
        <v>16</v>
      </c>
      <c r="AO66" s="183">
        <f t="shared" si="15"/>
        <v>160</v>
      </c>
      <c r="AP66" s="230">
        <f t="shared" si="16"/>
        <v>913.25</v>
      </c>
      <c r="AQ66" s="226">
        <f t="shared" si="17"/>
        <v>101.05224151572662</v>
      </c>
      <c r="AR66" s="227">
        <f t="shared" si="18"/>
        <v>3.2375302317635866</v>
      </c>
      <c r="AS66" s="208">
        <f t="shared" si="7"/>
        <v>306.19713741770158</v>
      </c>
      <c r="AT66" s="228">
        <f t="shared" si="33"/>
        <v>10000</v>
      </c>
      <c r="AU66" s="228">
        <f t="shared" si="19"/>
        <v>100000000</v>
      </c>
      <c r="AV66" s="206">
        <f t="shared" si="20"/>
        <v>645.5</v>
      </c>
      <c r="AW66" s="206">
        <f t="shared" si="21"/>
        <v>64.5</v>
      </c>
      <c r="AX66" s="204">
        <f t="shared" si="79"/>
        <v>753.25</v>
      </c>
    </row>
    <row r="67" spans="1:50">
      <c r="A67" s="162">
        <v>799.31</v>
      </c>
      <c r="B67" s="162">
        <v>753.14</v>
      </c>
      <c r="C67" s="201">
        <f t="shared" si="27"/>
        <v>-4.8975957257352386E-3</v>
      </c>
      <c r="D67" s="9">
        <f t="shared" si="81"/>
        <v>799.31</v>
      </c>
      <c r="E67" s="203">
        <f t="shared" si="81"/>
        <v>753.14</v>
      </c>
      <c r="F67" s="164">
        <f t="shared" si="28"/>
        <v>809.52101748109192</v>
      </c>
      <c r="G67" s="194"/>
      <c r="H67" s="194">
        <f t="shared" ref="H67" si="84">H66</f>
        <v>3090</v>
      </c>
      <c r="I67" s="183" t="s">
        <v>140</v>
      </c>
      <c r="J67" s="225">
        <f t="shared" si="30"/>
        <v>8</v>
      </c>
      <c r="K67" s="164">
        <v>710</v>
      </c>
      <c r="L67" s="164">
        <v>64.5</v>
      </c>
      <c r="M67" s="164">
        <f t="shared" ref="M67" si="85">M50</f>
        <v>0</v>
      </c>
      <c r="N67" s="183">
        <f t="shared" si="9"/>
        <v>581</v>
      </c>
      <c r="O67" s="168">
        <f t="shared" si="10"/>
        <v>0.26511978943460601</v>
      </c>
      <c r="P67" s="168">
        <f t="shared" si="11"/>
        <v>3.2375302317635866</v>
      </c>
      <c r="Q67" s="195">
        <f t="shared" si="12"/>
        <v>1225901.8717468916</v>
      </c>
      <c r="R67" s="183">
        <f>R50</f>
        <v>2.5000000000000001E-2</v>
      </c>
      <c r="S67" s="183">
        <v>27</v>
      </c>
      <c r="T67" s="183">
        <f t="shared" si="74"/>
        <v>1.032084607629377E-2</v>
      </c>
      <c r="U67" s="183">
        <f t="shared" si="74"/>
        <v>1.2358129645793175E-2</v>
      </c>
      <c r="V67" s="183">
        <f t="shared" si="74"/>
        <v>1.2224829237201414E-2</v>
      </c>
      <c r="W67" s="183">
        <f t="shared" si="74"/>
        <v>1.2232666053759157E-2</v>
      </c>
      <c r="X67" s="183">
        <f t="shared" si="74"/>
        <v>1.2232202299161334E-2</v>
      </c>
      <c r="Y67" s="183">
        <f t="shared" si="74"/>
        <v>1.2232229731894979E-2</v>
      </c>
      <c r="Z67" s="183">
        <f t="shared" si="74"/>
        <v>1.223222810911416E-2</v>
      </c>
      <c r="AA67" s="183">
        <f t="shared" si="74"/>
        <v>1.2232228205109479E-2</v>
      </c>
      <c r="AB67" s="183">
        <f t="shared" si="74"/>
        <v>1.223222819943089E-2</v>
      </c>
      <c r="AC67" s="183">
        <f t="shared" si="74"/>
        <v>1.2232228199766809E-2</v>
      </c>
      <c r="AD67" s="183">
        <f t="shared" si="74"/>
        <v>1.2232228199746937E-2</v>
      </c>
      <c r="AE67" s="183">
        <f t="shared" si="74"/>
        <v>1.2232228199748112E-2</v>
      </c>
      <c r="AF67" s="183">
        <f t="shared" si="74"/>
        <v>1.2232228199748044E-2</v>
      </c>
      <c r="AG67" s="196">
        <f t="shared" si="74"/>
        <v>1.2232228199748047E-2</v>
      </c>
      <c r="AH67" s="197">
        <f t="shared" si="53"/>
        <v>1.124755444515514E-2</v>
      </c>
      <c r="AI67" s="198">
        <f t="shared" si="54"/>
        <v>22.460269366149646</v>
      </c>
      <c r="AJ67" s="165">
        <f t="shared" si="4"/>
        <v>0.25262310254861825</v>
      </c>
      <c r="AK67" s="165"/>
      <c r="AL67" s="199">
        <f ca="1">E45+AL66</f>
        <v>0</v>
      </c>
      <c r="AM67" s="202">
        <f>E67</f>
        <v>753.14</v>
      </c>
      <c r="AN67" s="183">
        <f t="shared" si="14"/>
        <v>16</v>
      </c>
      <c r="AO67" s="183">
        <f t="shared" si="15"/>
        <v>160</v>
      </c>
      <c r="AP67" s="230">
        <f t="shared" si="16"/>
        <v>913.14</v>
      </c>
      <c r="AQ67" s="226">
        <f t="shared" si="17"/>
        <v>101.05224151572662</v>
      </c>
      <c r="AR67" s="227">
        <f t="shared" si="18"/>
        <v>3.2375302317635866</v>
      </c>
      <c r="AS67" s="208">
        <f t="shared" si="7"/>
        <v>306.19713741770158</v>
      </c>
      <c r="AT67" s="228">
        <f t="shared" si="33"/>
        <v>10000</v>
      </c>
      <c r="AU67" s="228">
        <f t="shared" si="19"/>
        <v>100000000</v>
      </c>
      <c r="AV67" s="206">
        <f t="shared" si="20"/>
        <v>645.5</v>
      </c>
      <c r="AW67" s="206">
        <f t="shared" si="21"/>
        <v>64.5</v>
      </c>
      <c r="AX67" s="204">
        <f>E67</f>
        <v>753.14</v>
      </c>
    </row>
    <row r="68" spans="1:50">
      <c r="D68" s="182"/>
    </row>
    <row r="69" spans="1:50">
      <c r="D69" s="182"/>
      <c r="E69" s="182">
        <f>E63-E28</f>
        <v>-60.450000000000045</v>
      </c>
      <c r="AM69" s="181">
        <f>E28-AM28</f>
        <v>3.7631368033657964E-2</v>
      </c>
    </row>
    <row r="70" spans="1:50">
      <c r="D70" s="182"/>
      <c r="AM70" s="182">
        <f>E67-E28</f>
        <v>-64.860000000000014</v>
      </c>
    </row>
    <row r="71" spans="1:50">
      <c r="D71" s="182"/>
    </row>
    <row r="72" spans="1:50">
      <c r="D72" s="182"/>
    </row>
    <row r="73" spans="1:50">
      <c r="D73" s="182"/>
    </row>
    <row r="74" spans="1:50">
      <c r="D74" s="182"/>
    </row>
    <row r="75" spans="1:50">
      <c r="D75" s="182"/>
    </row>
    <row r="76" spans="1:50">
      <c r="D76" s="182"/>
    </row>
    <row r="77" spans="1:50">
      <c r="D77" s="182"/>
    </row>
    <row r="78" spans="1:50">
      <c r="D78" s="182"/>
    </row>
    <row r="79" spans="1:50">
      <c r="D79" s="182"/>
    </row>
    <row r="80" spans="1:50">
      <c r="D80" s="182"/>
    </row>
    <row r="81" spans="4:4">
      <c r="D81" s="182"/>
    </row>
    <row r="82" spans="4:4">
      <c r="D82" s="182"/>
    </row>
    <row r="83" spans="4:4">
      <c r="D83" s="182"/>
    </row>
    <row r="84" spans="4:4">
      <c r="D84" s="182"/>
    </row>
    <row r="85" spans="4:4">
      <c r="D85" s="182"/>
    </row>
    <row r="86" spans="4:4">
      <c r="D86" s="182"/>
    </row>
    <row r="97" spans="3:5">
      <c r="D97" s="162" t="s">
        <v>141</v>
      </c>
      <c r="E97" s="162" t="s">
        <v>142</v>
      </c>
    </row>
    <row r="98" spans="3:5">
      <c r="C98" s="162" t="s">
        <v>143</v>
      </c>
    </row>
    <row r="99" spans="3:5">
      <c r="C99" s="162" t="s">
        <v>144</v>
      </c>
    </row>
  </sheetData>
  <mergeCells count="34">
    <mergeCell ref="S24:AG24"/>
    <mergeCell ref="AN24:AP24"/>
    <mergeCell ref="AQ24:AX24"/>
    <mergeCell ref="G26:H26"/>
    <mergeCell ref="I26:I27"/>
    <mergeCell ref="J26:J27"/>
    <mergeCell ref="AT26:AU26"/>
    <mergeCell ref="D14:E14"/>
    <mergeCell ref="N14:O14"/>
    <mergeCell ref="D7:E7"/>
    <mergeCell ref="N7:O7"/>
    <mergeCell ref="D8:E8"/>
    <mergeCell ref="N8:O8"/>
    <mergeCell ref="D9:E9"/>
    <mergeCell ref="N9:O9"/>
    <mergeCell ref="D10:E10"/>
    <mergeCell ref="N10:O10"/>
    <mergeCell ref="D11:E11"/>
    <mergeCell ref="N11:O12"/>
    <mergeCell ref="N13:O13"/>
    <mergeCell ref="D5:E5"/>
    <mergeCell ref="I5:J5"/>
    <mergeCell ref="N5:O5"/>
    <mergeCell ref="D6:E6"/>
    <mergeCell ref="I6:J6"/>
    <mergeCell ref="N6:O6"/>
    <mergeCell ref="D2:G2"/>
    <mergeCell ref="I2:L2"/>
    <mergeCell ref="N2:Q2"/>
    <mergeCell ref="D3:E4"/>
    <mergeCell ref="I3:J3"/>
    <mergeCell ref="N3:O3"/>
    <mergeCell ref="I4:J4"/>
    <mergeCell ref="N4:O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1"/>
  <dimension ref="A1:H59"/>
  <sheetViews>
    <sheetView workbookViewId="0">
      <selection activeCell="G16" sqref="G16"/>
    </sheetView>
  </sheetViews>
  <sheetFormatPr defaultColWidth="11.42578125" defaultRowHeight="12.75"/>
  <cols>
    <col min="1" max="16384" width="11.42578125" style="61"/>
  </cols>
  <sheetData>
    <row r="1" spans="1:5" ht="13.5" thickBot="1"/>
    <row r="2" spans="1:5" ht="13.5" thickBot="1">
      <c r="A2" s="251" t="s">
        <v>145</v>
      </c>
      <c r="B2" s="252"/>
      <c r="C2" s="252"/>
      <c r="D2" s="252"/>
      <c r="E2" s="253"/>
    </row>
    <row r="3" spans="1:5" ht="13.5" thickBot="1">
      <c r="A3" s="62" t="s">
        <v>146</v>
      </c>
      <c r="B3" s="63" t="s">
        <v>147</v>
      </c>
      <c r="C3" s="63" t="s">
        <v>148</v>
      </c>
      <c r="D3" s="63" t="s">
        <v>149</v>
      </c>
      <c r="E3" s="63" t="s">
        <v>150</v>
      </c>
    </row>
    <row r="4" spans="1:5" ht="13.5" thickBot="1">
      <c r="A4" s="62">
        <v>0</v>
      </c>
      <c r="B4" s="63">
        <v>101.3</v>
      </c>
      <c r="C4" s="63">
        <v>14.7</v>
      </c>
      <c r="D4" s="63">
        <v>760</v>
      </c>
      <c r="E4" s="63">
        <v>10.3</v>
      </c>
    </row>
    <row r="5" spans="1:5" ht="13.5" thickBot="1">
      <c r="A5" s="62">
        <v>100</v>
      </c>
      <c r="B5" s="63">
        <v>100.3</v>
      </c>
      <c r="C5" s="63">
        <v>14.5</v>
      </c>
      <c r="D5" s="63">
        <v>752.1</v>
      </c>
      <c r="E5" s="63">
        <v>10.199999999999999</v>
      </c>
    </row>
    <row r="6" spans="1:5" ht="13.5" thickBot="1">
      <c r="A6" s="62">
        <v>200</v>
      </c>
      <c r="B6" s="63">
        <v>99.2</v>
      </c>
      <c r="C6" s="63">
        <v>14.4</v>
      </c>
      <c r="D6" s="63">
        <v>744.2</v>
      </c>
      <c r="E6" s="63">
        <v>10.1</v>
      </c>
    </row>
    <row r="7" spans="1:5" ht="13.5" thickBot="1">
      <c r="A7" s="62">
        <v>300</v>
      </c>
      <c r="B7" s="63">
        <v>98.2</v>
      </c>
      <c r="C7" s="63">
        <v>14.2</v>
      </c>
      <c r="D7" s="63">
        <v>736.3</v>
      </c>
      <c r="E7" s="63">
        <v>10</v>
      </c>
    </row>
    <row r="8" spans="1:5" ht="13.5" thickBot="1">
      <c r="A8" s="62">
        <v>400</v>
      </c>
      <c r="B8" s="63">
        <v>97.1</v>
      </c>
      <c r="C8" s="63">
        <v>14.1</v>
      </c>
      <c r="D8" s="63">
        <v>728.3</v>
      </c>
      <c r="E8" s="63">
        <v>9.9</v>
      </c>
    </row>
    <row r="9" spans="1:5" ht="13.5" thickBot="1">
      <c r="A9" s="62">
        <v>500</v>
      </c>
      <c r="B9" s="63">
        <v>96.1</v>
      </c>
      <c r="C9" s="63">
        <v>13.9</v>
      </c>
      <c r="D9" s="63">
        <v>720.4</v>
      </c>
      <c r="E9" s="63">
        <v>9.8000000000000007</v>
      </c>
    </row>
    <row r="10" spans="1:5" ht="13.5" thickBot="1">
      <c r="A10" s="62">
        <v>600</v>
      </c>
      <c r="B10" s="63">
        <v>95</v>
      </c>
      <c r="C10" s="63">
        <v>13.8</v>
      </c>
      <c r="D10" s="63">
        <v>712.5</v>
      </c>
      <c r="E10" s="63">
        <v>9.6999999999999993</v>
      </c>
    </row>
    <row r="11" spans="1:5" ht="13.5" thickBot="1">
      <c r="A11" s="62">
        <v>700</v>
      </c>
      <c r="B11" s="63">
        <v>93.9</v>
      </c>
      <c r="C11" s="63">
        <v>13.6</v>
      </c>
      <c r="D11" s="63">
        <v>704.6</v>
      </c>
      <c r="E11" s="63">
        <v>9.6</v>
      </c>
    </row>
    <row r="12" spans="1:5" ht="13.5" thickBot="1">
      <c r="A12" s="62">
        <v>800</v>
      </c>
      <c r="B12" s="63">
        <v>92.9</v>
      </c>
      <c r="C12" s="63">
        <v>13.5</v>
      </c>
      <c r="D12" s="63">
        <v>696.7</v>
      </c>
      <c r="E12" s="63">
        <v>9.5</v>
      </c>
    </row>
    <row r="13" spans="1:5" ht="13.5" thickBot="1">
      <c r="A13" s="62">
        <v>900</v>
      </c>
      <c r="B13" s="63">
        <v>91.8</v>
      </c>
      <c r="C13" s="63">
        <v>13.3</v>
      </c>
      <c r="D13" s="63">
        <v>688.8</v>
      </c>
      <c r="E13" s="63">
        <v>9.4</v>
      </c>
    </row>
    <row r="14" spans="1:5" ht="13.5" thickBot="1">
      <c r="A14" s="62">
        <v>1000</v>
      </c>
      <c r="B14" s="63">
        <v>90.8</v>
      </c>
      <c r="C14" s="63">
        <v>13.2</v>
      </c>
      <c r="D14" s="63">
        <v>680.9</v>
      </c>
      <c r="E14" s="63">
        <v>9.3000000000000007</v>
      </c>
    </row>
    <row r="15" spans="1:5" ht="13.5" thickBot="1">
      <c r="A15" s="62">
        <v>1100</v>
      </c>
      <c r="B15" s="63">
        <v>89.7</v>
      </c>
      <c r="C15" s="63">
        <v>13</v>
      </c>
      <c r="D15" s="63">
        <v>673</v>
      </c>
      <c r="E15" s="63">
        <v>9.1</v>
      </c>
    </row>
    <row r="16" spans="1:5" ht="13.5" thickBot="1">
      <c r="A16" s="62">
        <v>1200</v>
      </c>
      <c r="B16" s="63">
        <v>88.7</v>
      </c>
      <c r="C16" s="63">
        <v>12.9</v>
      </c>
      <c r="D16" s="63">
        <v>665</v>
      </c>
      <c r="E16" s="63">
        <v>9</v>
      </c>
    </row>
    <row r="17" spans="1:8" ht="13.5" thickBot="1">
      <c r="A17" s="62">
        <v>1300</v>
      </c>
      <c r="B17" s="63">
        <v>87.6</v>
      </c>
      <c r="C17" s="63">
        <v>12.7</v>
      </c>
      <c r="D17" s="63">
        <v>657.1</v>
      </c>
      <c r="E17" s="63">
        <v>8.9</v>
      </c>
    </row>
    <row r="18" spans="1:8" ht="13.5" thickBot="1">
      <c r="A18" s="62">
        <v>1400</v>
      </c>
      <c r="B18" s="63">
        <v>86.6</v>
      </c>
      <c r="C18" s="63">
        <v>12.6</v>
      </c>
      <c r="D18" s="63">
        <v>649.20000000000005</v>
      </c>
      <c r="E18" s="63">
        <v>8.8000000000000007</v>
      </c>
    </row>
    <row r="19" spans="1:8" ht="13.5" thickBot="1">
      <c r="A19" s="62">
        <v>1500</v>
      </c>
      <c r="B19" s="63">
        <v>85.5</v>
      </c>
      <c r="C19" s="63">
        <v>12.4</v>
      </c>
      <c r="D19" s="63">
        <v>641.29999999999995</v>
      </c>
      <c r="E19" s="63">
        <v>8.6999999999999993</v>
      </c>
    </row>
    <row r="20" spans="1:8" ht="13.5" thickBot="1">
      <c r="A20" s="62">
        <v>1600</v>
      </c>
      <c r="B20" s="63">
        <v>84.4</v>
      </c>
      <c r="C20" s="63">
        <v>12.2</v>
      </c>
      <c r="D20" s="63">
        <v>633.4</v>
      </c>
      <c r="E20" s="63">
        <v>8.6</v>
      </c>
      <c r="G20" s="10" t="s">
        <v>85</v>
      </c>
      <c r="H20" s="61">
        <v>700</v>
      </c>
    </row>
    <row r="21" spans="1:8" ht="13.5" thickBot="1">
      <c r="A21" s="62">
        <v>1700</v>
      </c>
      <c r="B21" s="63">
        <v>83.4</v>
      </c>
      <c r="C21" s="63">
        <v>12.1</v>
      </c>
      <c r="D21" s="63">
        <v>625.5</v>
      </c>
      <c r="E21" s="63">
        <v>8.5</v>
      </c>
      <c r="G21" s="10" t="s">
        <v>151</v>
      </c>
      <c r="H21" s="64">
        <f>-0.0011*H20+10.331</f>
        <v>9.5609999999999999</v>
      </c>
    </row>
    <row r="22" spans="1:8" ht="13.5" thickBot="1">
      <c r="A22" s="62">
        <v>1800</v>
      </c>
      <c r="B22" s="63">
        <v>82.3</v>
      </c>
      <c r="C22" s="63">
        <v>11.9</v>
      </c>
      <c r="D22" s="63">
        <v>617.6</v>
      </c>
      <c r="E22" s="63">
        <v>8.4</v>
      </c>
      <c r="G22" s="10" t="s">
        <v>152</v>
      </c>
      <c r="H22" s="61">
        <f>+-0.0105*H20+101.33</f>
        <v>93.98</v>
      </c>
    </row>
    <row r="23" spans="1:8" ht="13.5" thickBot="1">
      <c r="A23" s="62">
        <v>1900</v>
      </c>
      <c r="B23" s="63">
        <v>81.3</v>
      </c>
      <c r="C23" s="63">
        <v>11.8</v>
      </c>
      <c r="D23" s="63">
        <v>609.70000000000005</v>
      </c>
      <c r="E23" s="63">
        <v>8.3000000000000007</v>
      </c>
    </row>
    <row r="24" spans="1:8" ht="13.5" thickBot="1">
      <c r="A24" s="62">
        <v>2000</v>
      </c>
      <c r="B24" s="63">
        <v>80.2</v>
      </c>
      <c r="C24" s="63">
        <v>11.6</v>
      </c>
      <c r="D24" s="63">
        <v>601.70000000000005</v>
      </c>
      <c r="E24" s="63">
        <v>8.1999999999999993</v>
      </c>
    </row>
    <row r="25" spans="1:8" ht="13.5" thickBot="1">
      <c r="A25" s="62">
        <v>2100</v>
      </c>
      <c r="B25" s="63">
        <v>79.2</v>
      </c>
      <c r="C25" s="63">
        <v>11.5</v>
      </c>
      <c r="D25" s="63">
        <v>593.79999999999995</v>
      </c>
      <c r="E25" s="63">
        <v>8.1</v>
      </c>
    </row>
    <row r="26" spans="1:8" ht="13.5" thickBot="1">
      <c r="A26" s="62">
        <v>2200</v>
      </c>
      <c r="B26" s="63">
        <v>78.099999999999994</v>
      </c>
      <c r="C26" s="63">
        <v>11.3</v>
      </c>
      <c r="D26" s="63">
        <v>585.9</v>
      </c>
      <c r="E26" s="63">
        <v>8</v>
      </c>
    </row>
    <row r="27" spans="1:8" ht="13.5" thickBot="1">
      <c r="A27" s="62">
        <v>2300</v>
      </c>
      <c r="B27" s="63">
        <v>77.099999999999994</v>
      </c>
      <c r="C27" s="63">
        <v>11.2</v>
      </c>
      <c r="D27" s="63">
        <v>578</v>
      </c>
      <c r="E27" s="63">
        <v>7.9</v>
      </c>
    </row>
    <row r="28" spans="1:8" ht="13.5" thickBot="1">
      <c r="A28" s="62">
        <v>2400</v>
      </c>
      <c r="B28" s="63">
        <v>76</v>
      </c>
      <c r="C28" s="63">
        <v>11</v>
      </c>
      <c r="D28" s="63">
        <v>570.1</v>
      </c>
      <c r="E28" s="63">
        <v>7.8</v>
      </c>
    </row>
    <row r="29" spans="1:8" ht="13.5" thickBot="1">
      <c r="A29" s="62">
        <v>2500</v>
      </c>
      <c r="B29" s="63">
        <v>75</v>
      </c>
      <c r="C29" s="63">
        <v>10.9</v>
      </c>
      <c r="D29" s="63">
        <v>562.20000000000005</v>
      </c>
      <c r="E29" s="63">
        <v>7.6</v>
      </c>
    </row>
    <row r="30" spans="1:8" ht="13.5" thickBot="1">
      <c r="A30" s="62">
        <v>2600</v>
      </c>
      <c r="B30" s="63">
        <v>73.900000000000006</v>
      </c>
      <c r="C30" s="63">
        <v>10.7</v>
      </c>
      <c r="D30" s="63">
        <v>554.29999999999995</v>
      </c>
      <c r="E30" s="63">
        <v>7.5</v>
      </c>
    </row>
    <row r="31" spans="1:8" ht="13.5" thickBot="1">
      <c r="A31" s="62">
        <v>2700</v>
      </c>
      <c r="B31" s="63">
        <v>72.8</v>
      </c>
      <c r="C31" s="63">
        <v>10.6</v>
      </c>
      <c r="D31" s="63">
        <v>546.29999999999995</v>
      </c>
      <c r="E31" s="63">
        <v>7.4</v>
      </c>
    </row>
    <row r="32" spans="1:8" ht="13.5" thickBot="1">
      <c r="A32" s="62">
        <v>2800</v>
      </c>
      <c r="B32" s="63">
        <v>71.8</v>
      </c>
      <c r="C32" s="63">
        <v>10.4</v>
      </c>
      <c r="D32" s="63">
        <v>538.4</v>
      </c>
      <c r="E32" s="63">
        <v>7.3</v>
      </c>
    </row>
    <row r="33" spans="1:5" ht="13.5" thickBot="1">
      <c r="A33" s="62">
        <v>2900</v>
      </c>
      <c r="B33" s="63">
        <v>70.7</v>
      </c>
      <c r="C33" s="63">
        <v>10.3</v>
      </c>
      <c r="D33" s="63">
        <v>530.5</v>
      </c>
      <c r="E33" s="63">
        <v>7.2</v>
      </c>
    </row>
    <row r="34" spans="1:5" ht="13.5" thickBot="1">
      <c r="A34" s="62">
        <v>3000</v>
      </c>
      <c r="B34" s="63">
        <v>69.7</v>
      </c>
      <c r="C34" s="63">
        <v>10.1</v>
      </c>
      <c r="D34" s="63">
        <v>522.6</v>
      </c>
      <c r="E34" s="63">
        <v>7.1</v>
      </c>
    </row>
    <row r="35" spans="1:5" ht="13.5" thickBot="1">
      <c r="A35" s="62">
        <v>3100</v>
      </c>
      <c r="B35" s="63">
        <v>68.599999999999994</v>
      </c>
      <c r="C35" s="63">
        <v>10</v>
      </c>
      <c r="D35" s="63">
        <v>514.70000000000005</v>
      </c>
      <c r="E35" s="63">
        <v>7</v>
      </c>
    </row>
    <row r="36" spans="1:5" ht="13.5" thickBot="1">
      <c r="A36" s="62">
        <v>3200</v>
      </c>
      <c r="B36" s="63">
        <v>67.599999999999994</v>
      </c>
      <c r="C36" s="63">
        <v>9.8000000000000007</v>
      </c>
      <c r="D36" s="63">
        <v>506.8</v>
      </c>
      <c r="E36" s="63">
        <v>6.9</v>
      </c>
    </row>
    <row r="37" spans="1:5" ht="13.5" thickBot="1">
      <c r="A37" s="62">
        <v>3300</v>
      </c>
      <c r="B37" s="63">
        <v>66.5</v>
      </c>
      <c r="C37" s="63">
        <v>9.6</v>
      </c>
      <c r="D37" s="63">
        <v>498.9</v>
      </c>
      <c r="E37" s="63">
        <v>6.8</v>
      </c>
    </row>
    <row r="38" spans="1:5" ht="13.5" thickBot="1">
      <c r="A38" s="62">
        <v>3400</v>
      </c>
      <c r="B38" s="63">
        <v>65.5</v>
      </c>
      <c r="C38" s="63">
        <v>9.5</v>
      </c>
      <c r="D38" s="63">
        <v>491</v>
      </c>
      <c r="E38" s="63">
        <v>6.7</v>
      </c>
    </row>
    <row r="39" spans="1:5" ht="13.5" thickBot="1">
      <c r="A39" s="62">
        <v>3500</v>
      </c>
      <c r="B39" s="63">
        <v>64.400000000000006</v>
      </c>
      <c r="C39" s="63">
        <v>9.3000000000000007</v>
      </c>
      <c r="D39" s="63">
        <v>483</v>
      </c>
      <c r="E39" s="63">
        <v>6.6</v>
      </c>
    </row>
    <row r="40" spans="1:5" ht="13.5" thickBot="1">
      <c r="A40" s="62">
        <v>3600</v>
      </c>
      <c r="B40" s="63">
        <v>63.3</v>
      </c>
      <c r="C40" s="63">
        <v>9.1999999999999993</v>
      </c>
      <c r="D40" s="63">
        <v>475.1</v>
      </c>
      <c r="E40" s="63">
        <v>6.5</v>
      </c>
    </row>
    <row r="41" spans="1:5" ht="13.5" thickBot="1">
      <c r="A41" s="62">
        <v>3700</v>
      </c>
      <c r="B41" s="63">
        <v>62.3</v>
      </c>
      <c r="C41" s="63">
        <v>9</v>
      </c>
      <c r="D41" s="63">
        <v>467.2</v>
      </c>
      <c r="E41" s="63">
        <v>6.4</v>
      </c>
    </row>
    <row r="42" spans="1:5" ht="13.5" thickBot="1">
      <c r="A42" s="62">
        <v>3800</v>
      </c>
      <c r="B42" s="63">
        <v>61.2</v>
      </c>
      <c r="C42" s="63">
        <v>8.9</v>
      </c>
      <c r="D42" s="63">
        <v>459.3</v>
      </c>
      <c r="E42" s="63">
        <v>6.2</v>
      </c>
    </row>
    <row r="43" spans="1:5" ht="13.5" thickBot="1">
      <c r="A43" s="62">
        <v>3900</v>
      </c>
      <c r="B43" s="63">
        <v>60.2</v>
      </c>
      <c r="C43" s="63">
        <v>8.6999999999999993</v>
      </c>
      <c r="D43" s="63">
        <v>451.4</v>
      </c>
      <c r="E43" s="63">
        <v>6.1</v>
      </c>
    </row>
    <row r="44" spans="1:5" ht="13.5" thickBot="1">
      <c r="A44" s="62">
        <v>4000</v>
      </c>
      <c r="B44" s="63">
        <v>59.1</v>
      </c>
      <c r="C44" s="63">
        <v>8.6</v>
      </c>
      <c r="D44" s="63">
        <v>443.5</v>
      </c>
      <c r="E44" s="63">
        <v>6</v>
      </c>
    </row>
    <row r="45" spans="1:5" ht="13.5" thickBot="1">
      <c r="A45" s="62">
        <v>4100</v>
      </c>
      <c r="B45" s="63">
        <v>58.1</v>
      </c>
      <c r="C45" s="63">
        <v>8.4</v>
      </c>
      <c r="D45" s="63">
        <v>435.6</v>
      </c>
      <c r="E45" s="63">
        <v>5.9</v>
      </c>
    </row>
    <row r="46" spans="1:5" ht="13.5" thickBot="1">
      <c r="A46" s="62">
        <v>4200</v>
      </c>
      <c r="B46" s="63">
        <v>57</v>
      </c>
      <c r="C46" s="63">
        <v>8.3000000000000007</v>
      </c>
      <c r="D46" s="63">
        <v>427.6</v>
      </c>
      <c r="E46" s="63">
        <v>5.8</v>
      </c>
    </row>
    <row r="47" spans="1:5" ht="13.5" thickBot="1">
      <c r="A47" s="62">
        <v>4300</v>
      </c>
      <c r="B47" s="63">
        <v>56</v>
      </c>
      <c r="C47" s="63">
        <v>8.1</v>
      </c>
      <c r="D47" s="63">
        <v>419.7</v>
      </c>
      <c r="E47" s="63">
        <v>5.7</v>
      </c>
    </row>
    <row r="48" spans="1:5" ht="13.5" thickBot="1">
      <c r="A48" s="62">
        <v>4400</v>
      </c>
      <c r="B48" s="63">
        <v>54.9</v>
      </c>
      <c r="C48" s="63">
        <v>8</v>
      </c>
      <c r="D48" s="63">
        <v>411.8</v>
      </c>
      <c r="E48" s="63">
        <v>5.6</v>
      </c>
    </row>
    <row r="49" spans="1:5" ht="13.5" thickBot="1">
      <c r="A49" s="62">
        <v>4500</v>
      </c>
      <c r="B49" s="63">
        <v>53.9</v>
      </c>
      <c r="C49" s="63">
        <v>7.8</v>
      </c>
      <c r="D49" s="63">
        <v>403.9</v>
      </c>
      <c r="E49" s="63">
        <v>5.5</v>
      </c>
    </row>
    <row r="50" spans="1:5" ht="13.5" thickBot="1">
      <c r="A50" s="62">
        <v>4600</v>
      </c>
      <c r="B50" s="63">
        <v>52.8</v>
      </c>
      <c r="C50" s="63">
        <v>7.7</v>
      </c>
      <c r="D50" s="63">
        <v>396</v>
      </c>
      <c r="E50" s="63">
        <v>5.4</v>
      </c>
    </row>
    <row r="51" spans="1:5" ht="13.5" thickBot="1">
      <c r="A51" s="62">
        <v>4700</v>
      </c>
      <c r="B51" s="63">
        <v>51.7</v>
      </c>
      <c r="C51" s="63">
        <v>7.5</v>
      </c>
      <c r="D51" s="63">
        <v>388.1</v>
      </c>
      <c r="E51" s="63">
        <v>5.3</v>
      </c>
    </row>
    <row r="52" spans="1:5" ht="13.5" thickBot="1">
      <c r="A52" s="62">
        <v>4800</v>
      </c>
      <c r="B52" s="63">
        <v>50.7</v>
      </c>
      <c r="C52" s="63">
        <v>7.4</v>
      </c>
      <c r="D52" s="63">
        <v>380.2</v>
      </c>
      <c r="E52" s="63">
        <v>5.2</v>
      </c>
    </row>
    <row r="53" spans="1:5" ht="13.5" thickBot="1">
      <c r="A53" s="62">
        <v>4900</v>
      </c>
      <c r="B53" s="63">
        <v>49.6</v>
      </c>
      <c r="C53" s="63">
        <v>7.2</v>
      </c>
      <c r="D53" s="63">
        <v>372.3</v>
      </c>
      <c r="E53" s="63">
        <v>5.0999999999999996</v>
      </c>
    </row>
    <row r="54" spans="1:5" ht="13.5" thickBot="1">
      <c r="A54" s="62">
        <v>5000</v>
      </c>
      <c r="B54" s="63">
        <v>48.6</v>
      </c>
      <c r="C54" s="63">
        <v>7</v>
      </c>
      <c r="D54" s="63">
        <v>364.3</v>
      </c>
      <c r="E54" s="63">
        <v>5</v>
      </c>
    </row>
    <row r="55" spans="1:5" ht="13.5" thickBot="1">
      <c r="A55" s="62">
        <v>5100</v>
      </c>
      <c r="B55" s="63">
        <v>47.5</v>
      </c>
      <c r="C55" s="63">
        <v>6.9</v>
      </c>
      <c r="D55" s="63">
        <v>356.4</v>
      </c>
      <c r="E55" s="63">
        <v>4.8</v>
      </c>
    </row>
    <row r="56" spans="1:5" ht="13.5" thickBot="1">
      <c r="A56" s="62">
        <v>5200</v>
      </c>
      <c r="B56" s="63">
        <v>46.5</v>
      </c>
      <c r="C56" s="63">
        <v>6.7</v>
      </c>
      <c r="D56" s="63">
        <v>348.5</v>
      </c>
      <c r="E56" s="63">
        <v>4.7</v>
      </c>
    </row>
    <row r="57" spans="1:5" ht="13.5" thickBot="1">
      <c r="A57" s="62">
        <v>5300</v>
      </c>
      <c r="B57" s="63">
        <v>45.4</v>
      </c>
      <c r="C57" s="63">
        <v>6.6</v>
      </c>
      <c r="D57" s="63">
        <v>340.6</v>
      </c>
      <c r="E57" s="63">
        <v>4.5999999999999996</v>
      </c>
    </row>
    <row r="58" spans="1:5" ht="13.5" thickBot="1">
      <c r="A58" s="62">
        <v>5400</v>
      </c>
      <c r="B58" s="63">
        <v>44.4</v>
      </c>
      <c r="C58" s="63">
        <v>6.4</v>
      </c>
      <c r="D58" s="63">
        <v>332.7</v>
      </c>
      <c r="E58" s="63">
        <v>4.5</v>
      </c>
    </row>
    <row r="59" spans="1:5" ht="13.5" thickBot="1">
      <c r="A59" s="62">
        <v>5500</v>
      </c>
      <c r="B59" s="63">
        <v>43.3</v>
      </c>
      <c r="C59" s="63">
        <v>6.3</v>
      </c>
      <c r="D59" s="63">
        <v>324.8</v>
      </c>
      <c r="E59" s="63">
        <v>4.4000000000000004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2"/>
  <dimension ref="A1:R32"/>
  <sheetViews>
    <sheetView workbookViewId="0">
      <selection activeCell="G16" sqref="G16"/>
    </sheetView>
  </sheetViews>
  <sheetFormatPr defaultColWidth="11.42578125" defaultRowHeight="12.75"/>
  <cols>
    <col min="1" max="16" width="11.42578125" style="11" customWidth="1"/>
    <col min="17" max="17" width="11.42578125" style="12" customWidth="1"/>
    <col min="18" max="256" width="11.42578125" style="11"/>
    <col min="257" max="273" width="11.42578125" style="11" customWidth="1"/>
    <col min="274" max="512" width="11.42578125" style="11"/>
    <col min="513" max="529" width="11.42578125" style="11" customWidth="1"/>
    <col min="530" max="768" width="11.42578125" style="11"/>
    <col min="769" max="785" width="11.42578125" style="11" customWidth="1"/>
    <col min="786" max="1024" width="11.42578125" style="11"/>
    <col min="1025" max="1041" width="11.42578125" style="11" customWidth="1"/>
    <col min="1042" max="1280" width="11.42578125" style="11"/>
    <col min="1281" max="1297" width="11.42578125" style="11" customWidth="1"/>
    <col min="1298" max="1536" width="11.42578125" style="11"/>
    <col min="1537" max="1553" width="11.42578125" style="11" customWidth="1"/>
    <col min="1554" max="1792" width="11.42578125" style="11"/>
    <col min="1793" max="1809" width="11.42578125" style="11" customWidth="1"/>
    <col min="1810" max="2048" width="11.42578125" style="11"/>
    <col min="2049" max="2065" width="11.42578125" style="11" customWidth="1"/>
    <col min="2066" max="2304" width="11.42578125" style="11"/>
    <col min="2305" max="2321" width="11.42578125" style="11" customWidth="1"/>
    <col min="2322" max="2560" width="11.42578125" style="11"/>
    <col min="2561" max="2577" width="11.42578125" style="11" customWidth="1"/>
    <col min="2578" max="2816" width="11.42578125" style="11"/>
    <col min="2817" max="2833" width="11.42578125" style="11" customWidth="1"/>
    <col min="2834" max="3072" width="11.42578125" style="11"/>
    <col min="3073" max="3089" width="11.42578125" style="11" customWidth="1"/>
    <col min="3090" max="3328" width="11.42578125" style="11"/>
    <col min="3329" max="3345" width="11.42578125" style="11" customWidth="1"/>
    <col min="3346" max="3584" width="11.42578125" style="11"/>
    <col min="3585" max="3601" width="11.42578125" style="11" customWidth="1"/>
    <col min="3602" max="3840" width="11.42578125" style="11"/>
    <col min="3841" max="3857" width="11.42578125" style="11" customWidth="1"/>
    <col min="3858" max="4096" width="11.42578125" style="11"/>
    <col min="4097" max="4113" width="11.42578125" style="11" customWidth="1"/>
    <col min="4114" max="4352" width="11.42578125" style="11"/>
    <col min="4353" max="4369" width="11.42578125" style="11" customWidth="1"/>
    <col min="4370" max="4608" width="11.42578125" style="11"/>
    <col min="4609" max="4625" width="11.42578125" style="11" customWidth="1"/>
    <col min="4626" max="4864" width="11.42578125" style="11"/>
    <col min="4865" max="4881" width="11.42578125" style="11" customWidth="1"/>
    <col min="4882" max="5120" width="11.42578125" style="11"/>
    <col min="5121" max="5137" width="11.42578125" style="11" customWidth="1"/>
    <col min="5138" max="5376" width="11.42578125" style="11"/>
    <col min="5377" max="5393" width="11.42578125" style="11" customWidth="1"/>
    <col min="5394" max="5632" width="11.42578125" style="11"/>
    <col min="5633" max="5649" width="11.42578125" style="11" customWidth="1"/>
    <col min="5650" max="5888" width="11.42578125" style="11"/>
    <col min="5889" max="5905" width="11.42578125" style="11" customWidth="1"/>
    <col min="5906" max="6144" width="11.42578125" style="11"/>
    <col min="6145" max="6161" width="11.42578125" style="11" customWidth="1"/>
    <col min="6162" max="6400" width="11.42578125" style="11"/>
    <col min="6401" max="6417" width="11.42578125" style="11" customWidth="1"/>
    <col min="6418" max="6656" width="11.42578125" style="11"/>
    <col min="6657" max="6673" width="11.42578125" style="11" customWidth="1"/>
    <col min="6674" max="6912" width="11.42578125" style="11"/>
    <col min="6913" max="6929" width="11.42578125" style="11" customWidth="1"/>
    <col min="6930" max="7168" width="11.42578125" style="11"/>
    <col min="7169" max="7185" width="11.42578125" style="11" customWidth="1"/>
    <col min="7186" max="7424" width="11.42578125" style="11"/>
    <col min="7425" max="7441" width="11.42578125" style="11" customWidth="1"/>
    <col min="7442" max="7680" width="11.42578125" style="11"/>
    <col min="7681" max="7697" width="11.42578125" style="11" customWidth="1"/>
    <col min="7698" max="7936" width="11.42578125" style="11"/>
    <col min="7937" max="7953" width="11.42578125" style="11" customWidth="1"/>
    <col min="7954" max="8192" width="11.42578125" style="11"/>
    <col min="8193" max="8209" width="11.42578125" style="11" customWidth="1"/>
    <col min="8210" max="8448" width="11.42578125" style="11"/>
    <col min="8449" max="8465" width="11.42578125" style="11" customWidth="1"/>
    <col min="8466" max="8704" width="11.42578125" style="11"/>
    <col min="8705" max="8721" width="11.42578125" style="11" customWidth="1"/>
    <col min="8722" max="8960" width="11.42578125" style="11"/>
    <col min="8961" max="8977" width="11.42578125" style="11" customWidth="1"/>
    <col min="8978" max="9216" width="11.42578125" style="11"/>
    <col min="9217" max="9233" width="11.42578125" style="11" customWidth="1"/>
    <col min="9234" max="9472" width="11.42578125" style="11"/>
    <col min="9473" max="9489" width="11.42578125" style="11" customWidth="1"/>
    <col min="9490" max="9728" width="11.42578125" style="11"/>
    <col min="9729" max="9745" width="11.42578125" style="11" customWidth="1"/>
    <col min="9746" max="9984" width="11.42578125" style="11"/>
    <col min="9985" max="10001" width="11.42578125" style="11" customWidth="1"/>
    <col min="10002" max="10240" width="11.42578125" style="11"/>
    <col min="10241" max="10257" width="11.42578125" style="11" customWidth="1"/>
    <col min="10258" max="10496" width="11.42578125" style="11"/>
    <col min="10497" max="10513" width="11.42578125" style="11" customWidth="1"/>
    <col min="10514" max="10752" width="11.42578125" style="11"/>
    <col min="10753" max="10769" width="11.42578125" style="11" customWidth="1"/>
    <col min="10770" max="11008" width="11.42578125" style="11"/>
    <col min="11009" max="11025" width="11.42578125" style="11" customWidth="1"/>
    <col min="11026" max="11264" width="11.42578125" style="11"/>
    <col min="11265" max="11281" width="11.42578125" style="11" customWidth="1"/>
    <col min="11282" max="11520" width="11.42578125" style="11"/>
    <col min="11521" max="11537" width="11.42578125" style="11" customWidth="1"/>
    <col min="11538" max="11776" width="11.42578125" style="11"/>
    <col min="11777" max="11793" width="11.42578125" style="11" customWidth="1"/>
    <col min="11794" max="12032" width="11.42578125" style="11"/>
    <col min="12033" max="12049" width="11.42578125" style="11" customWidth="1"/>
    <col min="12050" max="12288" width="11.42578125" style="11"/>
    <col min="12289" max="12305" width="11.42578125" style="11" customWidth="1"/>
    <col min="12306" max="12544" width="11.42578125" style="11"/>
    <col min="12545" max="12561" width="11.42578125" style="11" customWidth="1"/>
    <col min="12562" max="12800" width="11.42578125" style="11"/>
    <col min="12801" max="12817" width="11.42578125" style="11" customWidth="1"/>
    <col min="12818" max="13056" width="11.42578125" style="11"/>
    <col min="13057" max="13073" width="11.42578125" style="11" customWidth="1"/>
    <col min="13074" max="13312" width="11.42578125" style="11"/>
    <col min="13313" max="13329" width="11.42578125" style="11" customWidth="1"/>
    <col min="13330" max="13568" width="11.42578125" style="11"/>
    <col min="13569" max="13585" width="11.42578125" style="11" customWidth="1"/>
    <col min="13586" max="13824" width="11.42578125" style="11"/>
    <col min="13825" max="13841" width="11.42578125" style="11" customWidth="1"/>
    <col min="13842" max="14080" width="11.42578125" style="11"/>
    <col min="14081" max="14097" width="11.42578125" style="11" customWidth="1"/>
    <col min="14098" max="14336" width="11.42578125" style="11"/>
    <col min="14337" max="14353" width="11.42578125" style="11" customWidth="1"/>
    <col min="14354" max="14592" width="11.42578125" style="11"/>
    <col min="14593" max="14609" width="11.42578125" style="11" customWidth="1"/>
    <col min="14610" max="14848" width="11.42578125" style="11"/>
    <col min="14849" max="14865" width="11.42578125" style="11" customWidth="1"/>
    <col min="14866" max="15104" width="11.42578125" style="11"/>
    <col min="15105" max="15121" width="11.42578125" style="11" customWidth="1"/>
    <col min="15122" max="15360" width="11.42578125" style="11"/>
    <col min="15361" max="15377" width="11.42578125" style="11" customWidth="1"/>
    <col min="15378" max="15616" width="11.42578125" style="11"/>
    <col min="15617" max="15633" width="11.42578125" style="11" customWidth="1"/>
    <col min="15634" max="15872" width="11.42578125" style="11"/>
    <col min="15873" max="15889" width="11.42578125" style="11" customWidth="1"/>
    <col min="15890" max="16128" width="11.42578125" style="11"/>
    <col min="16129" max="16145" width="11.42578125" style="11" customWidth="1"/>
    <col min="16146" max="16384" width="11.42578125" style="11"/>
  </cols>
  <sheetData>
    <row r="1" spans="1:18">
      <c r="A1" s="254" t="s">
        <v>153</v>
      </c>
      <c r="B1" s="255"/>
      <c r="C1" s="256"/>
      <c r="L1" s="257" t="s">
        <v>154</v>
      </c>
      <c r="M1" s="257"/>
      <c r="N1" s="257"/>
      <c r="O1" s="257"/>
      <c r="P1" s="257"/>
    </row>
    <row r="2" spans="1:18">
      <c r="A2" s="13" t="s">
        <v>155</v>
      </c>
      <c r="B2" s="14">
        <v>15</v>
      </c>
      <c r="C2" s="15" t="s">
        <v>156</v>
      </c>
      <c r="L2" s="16">
        <v>3</v>
      </c>
      <c r="M2" s="16">
        <v>2</v>
      </c>
      <c r="N2" s="16">
        <v>1</v>
      </c>
      <c r="O2" s="16">
        <v>0</v>
      </c>
      <c r="P2" s="17" t="s">
        <v>157</v>
      </c>
    </row>
    <row r="3" spans="1:18">
      <c r="A3" s="18" t="s">
        <v>158</v>
      </c>
      <c r="B3" s="19">
        <f t="array" ref="B3">SUM(L3:N3*$B$2^L2:N2)+O3</f>
        <v>999.01740418239285</v>
      </c>
      <c r="C3" s="15" t="s">
        <v>159</v>
      </c>
      <c r="L3" s="20">
        <v>1.5361856551788462E-5</v>
      </c>
      <c r="M3" s="20">
        <v>-5.855052651391429E-3</v>
      </c>
      <c r="N3" s="20">
        <v>1.6293814245764135E-2</v>
      </c>
      <c r="O3" s="21">
        <v>1000.0385375494071</v>
      </c>
      <c r="P3" s="17">
        <v>0.99997318327807416</v>
      </c>
    </row>
    <row r="4" spans="1:18">
      <c r="A4" s="18" t="s">
        <v>134</v>
      </c>
      <c r="B4" s="22">
        <f>0.1/(2.1482*((B2-8.435)+SQRT(8078.4+(B2-8.435)^2))-120)</f>
        <v>1.1402853852167329E-3</v>
      </c>
      <c r="C4" s="15" t="s">
        <v>160</v>
      </c>
    </row>
    <row r="5" spans="1:18">
      <c r="A5" s="18" t="s">
        <v>161</v>
      </c>
      <c r="B5" s="22">
        <f>B4/B3</f>
        <v>1.141406926889282E-6</v>
      </c>
      <c r="C5" s="15" t="s">
        <v>41</v>
      </c>
      <c r="L5" s="258" t="s">
        <v>162</v>
      </c>
      <c r="M5" s="259"/>
      <c r="N5" s="259"/>
      <c r="O5" s="259"/>
      <c r="P5" s="259"/>
      <c r="Q5" s="260"/>
    </row>
    <row r="6" spans="1:18">
      <c r="A6" s="13" t="s">
        <v>163</v>
      </c>
      <c r="B6" s="23">
        <f t="array" ref="B6">SUM(L7:O7*B2^L6:O6)+P7</f>
        <v>1.7388378404509348</v>
      </c>
      <c r="C6" s="15" t="s">
        <v>164</v>
      </c>
      <c r="L6" s="16">
        <v>4</v>
      </c>
      <c r="M6" s="16">
        <v>3</v>
      </c>
      <c r="N6" s="16">
        <v>2</v>
      </c>
      <c r="O6" s="16">
        <v>1</v>
      </c>
      <c r="P6" s="16">
        <v>0</v>
      </c>
      <c r="Q6" s="17" t="s">
        <v>157</v>
      </c>
    </row>
    <row r="7" spans="1:18">
      <c r="A7" s="13" t="s">
        <v>165</v>
      </c>
      <c r="B7" s="24">
        <f>B3/1000</f>
        <v>0.99901740418239282</v>
      </c>
      <c r="C7" s="15" t="s">
        <v>131</v>
      </c>
      <c r="L7" s="20">
        <v>7.2677700901871541E-7</v>
      </c>
      <c r="M7" s="20">
        <v>5.3910541678811285E-8</v>
      </c>
      <c r="N7" s="20">
        <v>1.904932712914685E-3</v>
      </c>
      <c r="O7" s="20">
        <v>4.6793711393298403E-2</v>
      </c>
      <c r="P7" s="21">
        <v>0.57134727498591609</v>
      </c>
      <c r="Q7" s="17">
        <v>0.99999668434337141</v>
      </c>
    </row>
    <row r="8" spans="1:18">
      <c r="A8" s="25" t="s">
        <v>79</v>
      </c>
      <c r="B8" s="26">
        <f t="array" ref="B8">SUM(L11:O11*$B$2^L10:O10)+P11</f>
        <v>2.1468763806750077</v>
      </c>
      <c r="C8" s="27" t="s">
        <v>166</v>
      </c>
    </row>
    <row r="9" spans="1:18" s="28" customFormat="1">
      <c r="A9" s="11"/>
      <c r="B9" s="11"/>
      <c r="C9" s="11"/>
      <c r="L9" s="257" t="s">
        <v>167</v>
      </c>
      <c r="M9" s="257"/>
      <c r="N9" s="257"/>
      <c r="O9" s="257"/>
      <c r="P9" s="257"/>
      <c r="Q9" s="257"/>
    </row>
    <row r="10" spans="1:18" s="28" customFormat="1">
      <c r="A10" s="29" t="s">
        <v>168</v>
      </c>
      <c r="B10" s="30" t="s">
        <v>158</v>
      </c>
      <c r="C10" s="30" t="s">
        <v>134</v>
      </c>
      <c r="D10" s="30" t="s">
        <v>134</v>
      </c>
      <c r="E10" s="31" t="s">
        <v>169</v>
      </c>
      <c r="F10" s="32" t="s">
        <v>170</v>
      </c>
      <c r="G10" s="33" t="s">
        <v>163</v>
      </c>
      <c r="H10" s="30" t="s">
        <v>79</v>
      </c>
      <c r="I10" s="30" t="s">
        <v>161</v>
      </c>
      <c r="J10" s="34" t="s">
        <v>165</v>
      </c>
      <c r="L10" s="16">
        <v>4</v>
      </c>
      <c r="M10" s="16">
        <v>3</v>
      </c>
      <c r="N10" s="16">
        <v>2</v>
      </c>
      <c r="O10" s="16">
        <v>1</v>
      </c>
      <c r="P10" s="16">
        <v>0</v>
      </c>
      <c r="Q10" s="17" t="s">
        <v>157</v>
      </c>
    </row>
    <row r="11" spans="1:18" s="28" customFormat="1">
      <c r="A11" s="35" t="s">
        <v>156</v>
      </c>
      <c r="B11" s="36" t="s">
        <v>159</v>
      </c>
      <c r="C11" s="37" t="s">
        <v>171</v>
      </c>
      <c r="D11" s="37" t="s">
        <v>172</v>
      </c>
      <c r="E11" s="38" t="s">
        <v>173</v>
      </c>
      <c r="F11" s="39" t="s">
        <v>134</v>
      </c>
      <c r="G11" s="37" t="s">
        <v>164</v>
      </c>
      <c r="H11" s="37" t="s">
        <v>166</v>
      </c>
      <c r="I11" s="40" t="s">
        <v>41</v>
      </c>
      <c r="J11" s="41" t="s">
        <v>131</v>
      </c>
      <c r="L11" s="20">
        <v>8.123773744987802E-9</v>
      </c>
      <c r="M11" s="20">
        <v>-1.6363119687927635E-6</v>
      </c>
      <c r="N11" s="20">
        <v>8.4111406160116795E-6</v>
      </c>
      <c r="O11" s="20">
        <v>7.8169218869851929E-3</v>
      </c>
      <c r="P11" s="21">
        <v>2.0328413325804626</v>
      </c>
      <c r="Q11" s="17">
        <v>0.98434026941074537</v>
      </c>
    </row>
    <row r="12" spans="1:18" s="28" customFormat="1">
      <c r="A12" s="42">
        <v>0</v>
      </c>
      <c r="B12" s="43">
        <v>999.9</v>
      </c>
      <c r="C12" s="44">
        <v>1.792E-3</v>
      </c>
      <c r="D12" s="45">
        <f>C12*1000</f>
        <v>1.792</v>
      </c>
      <c r="E12" s="46">
        <v>9806</v>
      </c>
      <c r="F12" s="45">
        <v>0.06</v>
      </c>
      <c r="G12" s="45">
        <f>E12*F12/1000</f>
        <v>0.58835999999999999</v>
      </c>
      <c r="H12" s="47">
        <v>2.04</v>
      </c>
      <c r="I12" s="44">
        <f>C12/B12</f>
        <v>1.7921792179217921E-6</v>
      </c>
      <c r="J12" s="48">
        <f t="shared" ref="J12:J32" si="0">B12/$B$13</f>
        <v>0.99990000000000001</v>
      </c>
      <c r="R12" s="49"/>
    </row>
    <row r="13" spans="1:18" s="28" customFormat="1">
      <c r="A13" s="42">
        <v>5</v>
      </c>
      <c r="B13" s="43">
        <v>1000</v>
      </c>
      <c r="C13" s="44">
        <v>1.519E-3</v>
      </c>
      <c r="D13" s="45">
        <f t="shared" ref="D13:D32" si="1">C13*1000</f>
        <v>1.5189999999999999</v>
      </c>
      <c r="E13" s="46">
        <v>9807</v>
      </c>
      <c r="F13" s="45">
        <v>0.09</v>
      </c>
      <c r="G13" s="45">
        <f t="shared" ref="G13:G32" si="2">E13*F13/1000</f>
        <v>0.88263000000000003</v>
      </c>
      <c r="H13" s="47">
        <v>2.06</v>
      </c>
      <c r="I13" s="44">
        <f t="shared" ref="I13:I32" si="3">C13/B13</f>
        <v>1.519E-6</v>
      </c>
      <c r="J13" s="48">
        <f t="shared" si="0"/>
        <v>1</v>
      </c>
      <c r="R13" s="49"/>
    </row>
    <row r="14" spans="1:18" s="28" customFormat="1">
      <c r="A14" s="42">
        <v>10</v>
      </c>
      <c r="B14" s="43">
        <v>999.7</v>
      </c>
      <c r="C14" s="44">
        <v>1.3080000000000001E-3</v>
      </c>
      <c r="D14" s="45">
        <f t="shared" si="1"/>
        <v>1.3080000000000001</v>
      </c>
      <c r="E14" s="46">
        <v>9804</v>
      </c>
      <c r="F14" s="45">
        <v>0.12</v>
      </c>
      <c r="G14" s="45">
        <f t="shared" si="2"/>
        <v>1.17648</v>
      </c>
      <c r="H14" s="47">
        <v>2.11</v>
      </c>
      <c r="I14" s="44">
        <f t="shared" si="3"/>
        <v>1.3083925177553267E-6</v>
      </c>
      <c r="J14" s="48">
        <f t="shared" si="0"/>
        <v>0.99970000000000003</v>
      </c>
      <c r="R14" s="49"/>
    </row>
    <row r="15" spans="1:18" s="28" customFormat="1">
      <c r="A15" s="42">
        <v>15</v>
      </c>
      <c r="B15" s="43">
        <v>999.1</v>
      </c>
      <c r="C15" s="44">
        <v>1.14E-3</v>
      </c>
      <c r="D15" s="45">
        <f t="shared" si="1"/>
        <v>1.1399999999999999</v>
      </c>
      <c r="E15" s="46">
        <v>9798</v>
      </c>
      <c r="F15" s="45">
        <v>0.17</v>
      </c>
      <c r="G15" s="45">
        <f t="shared" si="2"/>
        <v>1.6656600000000001</v>
      </c>
      <c r="H15" s="47">
        <v>2.14</v>
      </c>
      <c r="I15" s="44">
        <f>C15/B15</f>
        <v>1.1410269242318086E-6</v>
      </c>
      <c r="J15" s="48">
        <f t="shared" si="0"/>
        <v>0.99909999999999999</v>
      </c>
      <c r="R15" s="49"/>
    </row>
    <row r="16" spans="1:18" s="28" customFormat="1">
      <c r="A16" s="42">
        <v>20</v>
      </c>
      <c r="B16" s="43">
        <v>998.2</v>
      </c>
      <c r="C16" s="44">
        <v>1.0049999999999998E-3</v>
      </c>
      <c r="D16" s="45">
        <f t="shared" si="1"/>
        <v>1.0049999999999999</v>
      </c>
      <c r="E16" s="46">
        <v>9789</v>
      </c>
      <c r="F16" s="45">
        <v>0.25</v>
      </c>
      <c r="G16" s="45">
        <f t="shared" si="2"/>
        <v>2.4472499999999999</v>
      </c>
      <c r="H16" s="47">
        <v>2.2000000000000002</v>
      </c>
      <c r="I16" s="44">
        <f t="shared" si="3"/>
        <v>1.0068122620717289E-6</v>
      </c>
      <c r="J16" s="48">
        <f t="shared" si="0"/>
        <v>0.99820000000000009</v>
      </c>
      <c r="L16" s="151">
        <f>C16*1000</f>
        <v>1.0049999999999999</v>
      </c>
      <c r="R16" s="49"/>
    </row>
    <row r="17" spans="1:18" s="28" customFormat="1">
      <c r="A17" s="42">
        <v>25</v>
      </c>
      <c r="B17" s="43">
        <v>997.1</v>
      </c>
      <c r="C17" s="44">
        <v>8.9400000000000005E-4</v>
      </c>
      <c r="D17" s="45">
        <f t="shared" si="1"/>
        <v>0.89400000000000002</v>
      </c>
      <c r="E17" s="46">
        <v>9778</v>
      </c>
      <c r="F17" s="45">
        <v>0.33</v>
      </c>
      <c r="G17" s="45">
        <f t="shared" si="2"/>
        <v>3.2267400000000004</v>
      </c>
      <c r="H17" s="47">
        <v>2.2200000000000002</v>
      </c>
      <c r="I17" s="44">
        <f t="shared" si="3"/>
        <v>8.9660014040718081E-7</v>
      </c>
      <c r="J17" s="48">
        <f t="shared" si="0"/>
        <v>0.99709999999999999</v>
      </c>
      <c r="R17" s="49"/>
    </row>
    <row r="18" spans="1:18" s="28" customFormat="1">
      <c r="A18" s="42">
        <v>30</v>
      </c>
      <c r="B18" s="43">
        <v>995.7</v>
      </c>
      <c r="C18" s="44">
        <v>8.0100000000000006E-4</v>
      </c>
      <c r="D18" s="45">
        <f t="shared" si="1"/>
        <v>0.80100000000000005</v>
      </c>
      <c r="E18" s="46">
        <v>9764</v>
      </c>
      <c r="F18" s="45">
        <v>0.44</v>
      </c>
      <c r="G18" s="45">
        <f t="shared" si="2"/>
        <v>4.2961599999999995</v>
      </c>
      <c r="H18" s="47">
        <v>2.23</v>
      </c>
      <c r="I18" s="44">
        <f t="shared" si="3"/>
        <v>8.0445917445013566E-7</v>
      </c>
      <c r="J18" s="48">
        <f t="shared" si="0"/>
        <v>0.99570000000000003</v>
      </c>
    </row>
    <row r="19" spans="1:18" s="28" customFormat="1">
      <c r="A19" s="42">
        <v>35</v>
      </c>
      <c r="B19" s="43">
        <v>994.1</v>
      </c>
      <c r="C19" s="44">
        <v>7.2300000000000001E-4</v>
      </c>
      <c r="D19" s="45">
        <f t="shared" si="1"/>
        <v>0.72299999999999998</v>
      </c>
      <c r="E19" s="46">
        <v>9749</v>
      </c>
      <c r="F19" s="45">
        <v>0.57999999999999996</v>
      </c>
      <c r="G19" s="45">
        <f t="shared" si="2"/>
        <v>5.6544199999999991</v>
      </c>
      <c r="H19" s="47">
        <v>2.2400000000000002</v>
      </c>
      <c r="I19" s="44">
        <f t="shared" si="3"/>
        <v>7.2729101700030179E-7</v>
      </c>
      <c r="J19" s="48">
        <f t="shared" si="0"/>
        <v>0.99409999999999998</v>
      </c>
    </row>
    <row r="20" spans="1:18" s="28" customFormat="1">
      <c r="A20" s="42">
        <v>40</v>
      </c>
      <c r="B20" s="43">
        <v>992.2</v>
      </c>
      <c r="C20" s="44">
        <v>6.5600000000000001E-4</v>
      </c>
      <c r="D20" s="45">
        <f t="shared" si="1"/>
        <v>0.65600000000000003</v>
      </c>
      <c r="E20" s="46">
        <v>9730</v>
      </c>
      <c r="F20" s="45">
        <v>0.76</v>
      </c>
      <c r="G20" s="45">
        <f t="shared" si="2"/>
        <v>7.3948</v>
      </c>
      <c r="H20" s="47">
        <v>2.27</v>
      </c>
      <c r="I20" s="44">
        <f t="shared" si="3"/>
        <v>6.6115702479338842E-7</v>
      </c>
      <c r="J20" s="48">
        <f t="shared" si="0"/>
        <v>0.99220000000000008</v>
      </c>
    </row>
    <row r="21" spans="1:18" s="28" customFormat="1">
      <c r="A21" s="42">
        <v>45</v>
      </c>
      <c r="B21" s="43">
        <v>990.2</v>
      </c>
      <c r="C21" s="44">
        <v>5.9900000000000003E-4</v>
      </c>
      <c r="D21" s="45">
        <f t="shared" si="1"/>
        <v>0.59899999999999998</v>
      </c>
      <c r="E21" s="46">
        <v>9711</v>
      </c>
      <c r="F21" s="45">
        <v>0.98</v>
      </c>
      <c r="G21" s="45">
        <f t="shared" si="2"/>
        <v>9.5167800000000007</v>
      </c>
      <c r="H21" s="47">
        <v>2.29</v>
      </c>
      <c r="I21" s="44">
        <f t="shared" si="3"/>
        <v>6.0492829731367406E-7</v>
      </c>
      <c r="J21" s="48">
        <f t="shared" si="0"/>
        <v>0.99020000000000008</v>
      </c>
      <c r="R21" s="49"/>
    </row>
    <row r="22" spans="1:18" s="28" customFormat="1">
      <c r="A22" s="42">
        <v>50</v>
      </c>
      <c r="B22" s="43">
        <v>988.1</v>
      </c>
      <c r="C22" s="44">
        <v>5.4900000000000001E-4</v>
      </c>
      <c r="D22" s="45">
        <f t="shared" si="1"/>
        <v>0.54900000000000004</v>
      </c>
      <c r="E22" s="46">
        <v>9690</v>
      </c>
      <c r="F22" s="45">
        <v>1.26</v>
      </c>
      <c r="G22" s="45">
        <f t="shared" si="2"/>
        <v>12.2094</v>
      </c>
      <c r="H22" s="47">
        <v>2.2999999999999998</v>
      </c>
      <c r="I22" s="44">
        <f t="shared" si="3"/>
        <v>5.5561178018419185E-7</v>
      </c>
      <c r="J22" s="48">
        <f t="shared" si="0"/>
        <v>0.98809999999999998</v>
      </c>
      <c r="R22" s="49"/>
    </row>
    <row r="23" spans="1:18" s="28" customFormat="1">
      <c r="A23" s="42">
        <v>55</v>
      </c>
      <c r="B23" s="43">
        <v>985.7</v>
      </c>
      <c r="C23" s="44">
        <v>5.0600000000000005E-4</v>
      </c>
      <c r="D23" s="45">
        <f t="shared" si="1"/>
        <v>0.50600000000000001</v>
      </c>
      <c r="E23" s="46">
        <v>9666</v>
      </c>
      <c r="F23" s="45">
        <v>1.61</v>
      </c>
      <c r="G23" s="45">
        <f t="shared" si="2"/>
        <v>15.56226</v>
      </c>
      <c r="H23" s="47">
        <v>2.31</v>
      </c>
      <c r="I23" s="44">
        <f t="shared" si="3"/>
        <v>5.1334077305468203E-7</v>
      </c>
      <c r="J23" s="48">
        <f t="shared" si="0"/>
        <v>0.98570000000000002</v>
      </c>
      <c r="R23" s="49"/>
    </row>
    <row r="24" spans="1:18" s="28" customFormat="1">
      <c r="A24" s="42">
        <v>60</v>
      </c>
      <c r="B24" s="43">
        <v>983.2</v>
      </c>
      <c r="C24" s="44">
        <v>4.6899999999999996E-4</v>
      </c>
      <c r="D24" s="45">
        <f t="shared" si="1"/>
        <v>0.46899999999999997</v>
      </c>
      <c r="E24" s="46">
        <v>9642</v>
      </c>
      <c r="F24" s="45">
        <v>2.0299999999999998</v>
      </c>
      <c r="G24" s="45">
        <f t="shared" si="2"/>
        <v>19.573259999999998</v>
      </c>
      <c r="H24" s="47">
        <v>2.2799999999999998</v>
      </c>
      <c r="I24" s="44">
        <f t="shared" si="3"/>
        <v>4.7701383238405198E-7</v>
      </c>
      <c r="J24" s="48">
        <f t="shared" si="0"/>
        <v>0.98320000000000007</v>
      </c>
      <c r="K24" s="50"/>
      <c r="R24" s="49"/>
    </row>
    <row r="25" spans="1:18" s="28" customFormat="1">
      <c r="A25" s="42">
        <v>65</v>
      </c>
      <c r="B25" s="43">
        <v>980.6</v>
      </c>
      <c r="C25" s="44">
        <v>4.3600000000000003E-4</v>
      </c>
      <c r="D25" s="45">
        <f t="shared" si="1"/>
        <v>0.43600000000000005</v>
      </c>
      <c r="E25" s="46">
        <v>9616</v>
      </c>
      <c r="F25" s="45">
        <v>2.56</v>
      </c>
      <c r="G25" s="45">
        <f t="shared" si="2"/>
        <v>24.616959999999999</v>
      </c>
      <c r="H25" s="47">
        <v>2.2599999999999998</v>
      </c>
      <c r="I25" s="44">
        <f t="shared" si="3"/>
        <v>4.4462573934325923E-7</v>
      </c>
      <c r="J25" s="48">
        <f t="shared" si="0"/>
        <v>0.98060000000000003</v>
      </c>
      <c r="K25" s="50"/>
      <c r="R25" s="49"/>
    </row>
    <row r="26" spans="1:18" s="28" customFormat="1">
      <c r="A26" s="42">
        <v>70</v>
      </c>
      <c r="B26" s="43">
        <v>977.8</v>
      </c>
      <c r="C26" s="44">
        <v>4.0600000000000006E-4</v>
      </c>
      <c r="D26" s="45">
        <f t="shared" si="1"/>
        <v>0.40600000000000008</v>
      </c>
      <c r="E26" s="46">
        <v>9589</v>
      </c>
      <c r="F26" s="45">
        <v>3.2</v>
      </c>
      <c r="G26" s="45">
        <f t="shared" si="2"/>
        <v>30.684800000000003</v>
      </c>
      <c r="H26" s="47">
        <v>2.25</v>
      </c>
      <c r="I26" s="44">
        <f t="shared" si="3"/>
        <v>4.1521783595827375E-7</v>
      </c>
      <c r="J26" s="48">
        <f t="shared" si="0"/>
        <v>0.9778</v>
      </c>
      <c r="K26" s="50"/>
      <c r="R26" s="49"/>
    </row>
    <row r="27" spans="1:18" s="28" customFormat="1">
      <c r="A27" s="42">
        <v>75</v>
      </c>
      <c r="B27" s="43">
        <v>974.9</v>
      </c>
      <c r="C27" s="44">
        <v>3.8000000000000002E-4</v>
      </c>
      <c r="D27" s="45">
        <f t="shared" si="1"/>
        <v>0.38</v>
      </c>
      <c r="E27" s="46">
        <v>9560</v>
      </c>
      <c r="F27" s="45">
        <v>3.96</v>
      </c>
      <c r="G27" s="45">
        <f t="shared" si="2"/>
        <v>37.857599999999998</v>
      </c>
      <c r="H27" s="47">
        <v>2.23</v>
      </c>
      <c r="I27" s="44">
        <f t="shared" si="3"/>
        <v>3.8978356754538928E-7</v>
      </c>
      <c r="J27" s="48">
        <f t="shared" si="0"/>
        <v>0.97489999999999999</v>
      </c>
      <c r="K27" s="50"/>
      <c r="R27" s="49"/>
    </row>
    <row r="28" spans="1:18" s="28" customFormat="1">
      <c r="A28" s="42">
        <v>80</v>
      </c>
      <c r="B28" s="43">
        <v>971.8</v>
      </c>
      <c r="C28" s="44">
        <v>3.57E-4</v>
      </c>
      <c r="D28" s="45">
        <f t="shared" si="1"/>
        <v>0.35699999999999998</v>
      </c>
      <c r="E28" s="46">
        <v>9530</v>
      </c>
      <c r="F28" s="45">
        <v>4.8600000000000003</v>
      </c>
      <c r="G28" s="45">
        <f t="shared" si="2"/>
        <v>46.315800000000003</v>
      </c>
      <c r="H28" s="47">
        <v>2.21</v>
      </c>
      <c r="I28" s="44">
        <f t="shared" si="3"/>
        <v>3.6735953899979422E-7</v>
      </c>
      <c r="J28" s="48">
        <f t="shared" si="0"/>
        <v>0.9718</v>
      </c>
      <c r="K28" s="50"/>
      <c r="R28" s="49"/>
    </row>
    <row r="29" spans="1:18" s="28" customFormat="1">
      <c r="A29" s="42">
        <v>85</v>
      </c>
      <c r="B29" s="43">
        <v>968.6</v>
      </c>
      <c r="C29" s="44">
        <v>3.3600000000000004E-4</v>
      </c>
      <c r="D29" s="45">
        <f t="shared" si="1"/>
        <v>0.33600000000000002</v>
      </c>
      <c r="E29" s="46">
        <v>9499</v>
      </c>
      <c r="F29" s="45">
        <v>5.93</v>
      </c>
      <c r="G29" s="45">
        <f t="shared" si="2"/>
        <v>56.329070000000002</v>
      </c>
      <c r="H29" s="47">
        <v>2.17</v>
      </c>
      <c r="I29" s="44">
        <f t="shared" si="3"/>
        <v>3.4689242205244685E-7</v>
      </c>
      <c r="J29" s="48">
        <f t="shared" si="0"/>
        <v>0.96860000000000002</v>
      </c>
      <c r="K29" s="50"/>
      <c r="R29" s="49"/>
    </row>
    <row r="30" spans="1:18" s="28" customFormat="1">
      <c r="A30" s="42">
        <v>90</v>
      </c>
      <c r="B30" s="43">
        <v>965.3</v>
      </c>
      <c r="C30" s="44">
        <v>3.1700000000000001E-4</v>
      </c>
      <c r="D30" s="45">
        <f t="shared" si="1"/>
        <v>0.317</v>
      </c>
      <c r="E30" s="46">
        <v>9466</v>
      </c>
      <c r="F30" s="45">
        <v>7.18</v>
      </c>
      <c r="G30" s="45">
        <f t="shared" si="2"/>
        <v>67.965879999999984</v>
      </c>
      <c r="H30" s="47">
        <v>2.16</v>
      </c>
      <c r="I30" s="44">
        <f t="shared" si="3"/>
        <v>3.2839531751787013E-7</v>
      </c>
      <c r="J30" s="48">
        <f t="shared" si="0"/>
        <v>0.96529999999999994</v>
      </c>
      <c r="K30" s="50"/>
      <c r="R30" s="49"/>
    </row>
    <row r="31" spans="1:18" s="28" customFormat="1">
      <c r="A31" s="42">
        <v>95</v>
      </c>
      <c r="B31" s="43">
        <v>961.9</v>
      </c>
      <c r="C31" s="44">
        <v>2.99E-4</v>
      </c>
      <c r="D31" s="45">
        <f t="shared" si="1"/>
        <v>0.29899999999999999</v>
      </c>
      <c r="E31" s="46">
        <v>9433</v>
      </c>
      <c r="F31" s="45">
        <v>8.6199999999999992</v>
      </c>
      <c r="G31" s="45">
        <f t="shared" si="2"/>
        <v>81.312459999999987</v>
      </c>
      <c r="H31" s="47">
        <v>2.11</v>
      </c>
      <c r="I31" s="44">
        <f t="shared" si="3"/>
        <v>3.1084312298575735E-7</v>
      </c>
      <c r="J31" s="48">
        <f t="shared" si="0"/>
        <v>0.96189999999999998</v>
      </c>
      <c r="K31" s="50"/>
      <c r="R31" s="49"/>
    </row>
    <row r="32" spans="1:18">
      <c r="A32" s="35">
        <v>100</v>
      </c>
      <c r="B32" s="51">
        <v>958.4</v>
      </c>
      <c r="C32" s="52">
        <v>2.8399999999999996E-4</v>
      </c>
      <c r="D32" s="53">
        <f t="shared" si="1"/>
        <v>0.28399999999999997</v>
      </c>
      <c r="E32" s="54">
        <v>9399</v>
      </c>
      <c r="F32" s="53">
        <v>10.33</v>
      </c>
      <c r="G32" s="53">
        <f t="shared" si="2"/>
        <v>97.091669999999993</v>
      </c>
      <c r="H32" s="55">
        <v>2.0699999999999998</v>
      </c>
      <c r="I32" s="52">
        <f t="shared" si="3"/>
        <v>2.9632721202003334E-7</v>
      </c>
      <c r="J32" s="56">
        <f t="shared" si="0"/>
        <v>0.95840000000000003</v>
      </c>
    </row>
  </sheetData>
  <mergeCells count="4">
    <mergeCell ref="A1:C1"/>
    <mergeCell ref="L1:P1"/>
    <mergeCell ref="L5:Q5"/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5"/>
  <dimension ref="A1:E14"/>
  <sheetViews>
    <sheetView topLeftCell="A10" zoomScale="70" zoomScaleNormal="70" workbookViewId="0">
      <selection activeCell="G16" sqref="G16"/>
    </sheetView>
  </sheetViews>
  <sheetFormatPr defaultColWidth="11.42578125" defaultRowHeight="15"/>
  <cols>
    <col min="1" max="1" width="68" bestFit="1" customWidth="1"/>
  </cols>
  <sheetData>
    <row r="1" spans="1:5">
      <c r="A1" s="65" t="s">
        <v>174</v>
      </c>
    </row>
    <row r="2" spans="1:5">
      <c r="A2" s="66"/>
    </row>
    <row r="3" spans="1:5" ht="39.75" customHeight="1">
      <c r="A3" s="66" t="s">
        <v>175</v>
      </c>
    </row>
    <row r="4" spans="1:5">
      <c r="A4" s="66"/>
    </row>
    <row r="5" spans="1:5" ht="15.75" thickBot="1">
      <c r="A5" s="67" t="s">
        <v>176</v>
      </c>
    </row>
    <row r="6" spans="1:5" ht="15.75" thickBot="1">
      <c r="A6" s="68" t="s">
        <v>177</v>
      </c>
      <c r="B6" s="261" t="s">
        <v>178</v>
      </c>
      <c r="C6" s="262"/>
      <c r="D6" s="262"/>
      <c r="E6" s="263"/>
    </row>
    <row r="7" spans="1:5" ht="26.25" thickBot="1">
      <c r="A7" s="69" t="s">
        <v>179</v>
      </c>
      <c r="B7" s="70" t="s">
        <v>53</v>
      </c>
      <c r="C7" s="70" t="s">
        <v>140</v>
      </c>
      <c r="D7" s="70" t="s">
        <v>180</v>
      </c>
      <c r="E7" s="70" t="s">
        <v>181</v>
      </c>
    </row>
    <row r="8" spans="1:5" ht="15.75" thickBot="1">
      <c r="A8" s="71">
        <v>2</v>
      </c>
      <c r="B8" s="72">
        <v>1</v>
      </c>
      <c r="C8" s="72">
        <v>0.4</v>
      </c>
      <c r="D8" s="72">
        <v>0.1</v>
      </c>
      <c r="E8" s="72">
        <v>0.05</v>
      </c>
    </row>
    <row r="9" spans="1:5" ht="15.75" thickBot="1">
      <c r="A9" s="71">
        <v>2.5</v>
      </c>
      <c r="B9" s="72">
        <v>1.5</v>
      </c>
      <c r="C9" s="72">
        <v>0.6</v>
      </c>
      <c r="D9" s="72">
        <v>0.1</v>
      </c>
      <c r="E9" s="72">
        <v>0.06</v>
      </c>
    </row>
    <row r="10" spans="1:5" ht="15.75" thickBot="1">
      <c r="A10" s="71">
        <v>3</v>
      </c>
      <c r="B10" s="72">
        <v>2.5</v>
      </c>
      <c r="C10" s="72">
        <v>1</v>
      </c>
      <c r="D10" s="72">
        <v>0.15</v>
      </c>
      <c r="E10" s="72">
        <v>0.08</v>
      </c>
    </row>
    <row r="11" spans="1:5" ht="15.75" thickBot="1">
      <c r="A11" s="71">
        <v>8</v>
      </c>
      <c r="B11" s="72">
        <v>30</v>
      </c>
      <c r="C11" s="72">
        <v>20</v>
      </c>
      <c r="D11" s="72">
        <v>7</v>
      </c>
      <c r="E11" s="72">
        <v>0.7</v>
      </c>
    </row>
    <row r="12" spans="1:5" ht="15.75" thickBot="1">
      <c r="A12" s="71">
        <v>10</v>
      </c>
      <c r="B12" s="72">
        <v>40</v>
      </c>
      <c r="C12" s="72">
        <v>30</v>
      </c>
      <c r="D12" s="72">
        <v>15</v>
      </c>
      <c r="E12" s="72">
        <v>1.2</v>
      </c>
    </row>
    <row r="13" spans="1:5" ht="24">
      <c r="A13" s="73" t="s">
        <v>182</v>
      </c>
    </row>
    <row r="14" spans="1:5">
      <c r="A14" s="73" t="s">
        <v>183</v>
      </c>
      <c r="B14" s="73" t="s">
        <v>184</v>
      </c>
    </row>
  </sheetData>
  <mergeCells count="1">
    <mergeCell ref="B6:E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6"/>
  <dimension ref="A2:AQ104"/>
  <sheetViews>
    <sheetView topLeftCell="A10" zoomScale="70" zoomScaleNormal="70" workbookViewId="0">
      <selection activeCell="G16" sqref="G16"/>
    </sheetView>
  </sheetViews>
  <sheetFormatPr defaultColWidth="11.42578125" defaultRowHeight="12.75"/>
  <cols>
    <col min="1" max="1" width="11.42578125" style="126"/>
    <col min="2" max="2" width="11.42578125" style="126" customWidth="1"/>
    <col min="3" max="3" width="11.42578125" style="126" hidden="1" customWidth="1"/>
    <col min="4" max="4" width="11.42578125" style="126" customWidth="1"/>
    <col min="5" max="7" width="11.42578125" style="126" hidden="1" customWidth="1"/>
    <col min="8" max="10" width="11.42578125" style="126"/>
    <col min="11" max="15" width="0" style="126" hidden="1" customWidth="1"/>
    <col min="16" max="16" width="11.42578125" style="126"/>
    <col min="17" max="17" width="0" style="126" hidden="1" customWidth="1"/>
    <col min="18" max="16384" width="11.42578125" style="126"/>
  </cols>
  <sheetData>
    <row r="2" spans="1:43" s="74" customFormat="1" ht="57.75" customHeight="1">
      <c r="B2" s="264" t="s">
        <v>0</v>
      </c>
      <c r="C2" s="265"/>
      <c r="D2" s="265"/>
      <c r="E2" s="266"/>
      <c r="F2" s="267" t="s">
        <v>185</v>
      </c>
      <c r="G2" s="267"/>
      <c r="H2" s="267"/>
      <c r="I2" s="267" t="s">
        <v>186</v>
      </c>
      <c r="J2" s="267"/>
      <c r="K2" s="267"/>
      <c r="L2" s="267"/>
      <c r="M2" s="267"/>
      <c r="N2" s="267"/>
      <c r="O2" s="267"/>
      <c r="P2" s="264"/>
      <c r="Q2" s="265"/>
      <c r="R2" s="266"/>
      <c r="S2" s="267" t="s">
        <v>187</v>
      </c>
      <c r="T2" s="267"/>
      <c r="U2" s="267"/>
      <c r="V2" s="75"/>
      <c r="W2" s="76" t="s">
        <v>188</v>
      </c>
      <c r="X2" s="76" t="s">
        <v>189</v>
      </c>
      <c r="Y2" s="76" t="s">
        <v>190</v>
      </c>
      <c r="Z2" s="77"/>
      <c r="AA2" s="76" t="s">
        <v>191</v>
      </c>
      <c r="AB2" s="76" t="s">
        <v>192</v>
      </c>
      <c r="AC2" s="76" t="s">
        <v>193</v>
      </c>
      <c r="AD2" s="78" t="s">
        <v>194</v>
      </c>
      <c r="AE2" s="79" t="s">
        <v>195</v>
      </c>
      <c r="AF2" s="76" t="s">
        <v>196</v>
      </c>
      <c r="AG2" s="76" t="s">
        <v>177</v>
      </c>
      <c r="AH2" s="80" t="s">
        <v>197</v>
      </c>
      <c r="AI2" s="80"/>
      <c r="AJ2" s="81"/>
      <c r="AK2" s="82" t="s">
        <v>198</v>
      </c>
      <c r="AL2" s="82"/>
      <c r="AM2" s="82"/>
      <c r="AN2" s="82"/>
      <c r="AO2" s="83" t="s">
        <v>199</v>
      </c>
      <c r="AP2" s="83"/>
    </row>
    <row r="3" spans="1:43" s="84" customFormat="1" ht="45" customHeight="1">
      <c r="B3" s="85" t="s">
        <v>200</v>
      </c>
      <c r="C3" s="85" t="s">
        <v>200</v>
      </c>
      <c r="D3" s="85" t="s">
        <v>201</v>
      </c>
      <c r="E3" s="85" t="s">
        <v>202</v>
      </c>
      <c r="F3" s="85" t="s">
        <v>203</v>
      </c>
      <c r="G3" s="85" t="s">
        <v>204</v>
      </c>
      <c r="H3" s="85" t="s">
        <v>205</v>
      </c>
      <c r="I3" s="85" t="s">
        <v>206</v>
      </c>
      <c r="J3" s="85" t="s">
        <v>207</v>
      </c>
      <c r="K3" s="85" t="s">
        <v>208</v>
      </c>
      <c r="L3" s="85" t="s">
        <v>209</v>
      </c>
      <c r="M3" s="85" t="s">
        <v>210</v>
      </c>
      <c r="N3" s="85" t="s">
        <v>211</v>
      </c>
      <c r="O3" s="85" t="s">
        <v>212</v>
      </c>
      <c r="P3" s="85" t="s">
        <v>213</v>
      </c>
      <c r="Q3" s="85" t="s">
        <v>214</v>
      </c>
      <c r="R3" s="85" t="s">
        <v>215</v>
      </c>
      <c r="S3" s="85" t="s">
        <v>216</v>
      </c>
      <c r="T3" s="85" t="s">
        <v>217</v>
      </c>
      <c r="U3" s="85" t="s">
        <v>218</v>
      </c>
      <c r="V3" s="86"/>
      <c r="W3" s="87"/>
      <c r="X3" s="87" t="s">
        <v>125</v>
      </c>
      <c r="Y3" s="87" t="s">
        <v>219</v>
      </c>
      <c r="Z3" s="88"/>
      <c r="AA3" s="89" t="s">
        <v>220</v>
      </c>
      <c r="AB3" s="89" t="s">
        <v>221</v>
      </c>
      <c r="AC3" s="89" t="s">
        <v>222</v>
      </c>
      <c r="AD3" s="90" t="s">
        <v>223</v>
      </c>
      <c r="AE3" s="91" t="s">
        <v>224</v>
      </c>
      <c r="AF3" s="91" t="s">
        <v>225</v>
      </c>
      <c r="AG3" s="92"/>
      <c r="AH3" s="93" t="s">
        <v>226</v>
      </c>
      <c r="AI3" s="94" t="s">
        <v>227</v>
      </c>
      <c r="AJ3" s="95" t="s">
        <v>227</v>
      </c>
      <c r="AK3" s="96" t="s">
        <v>228</v>
      </c>
      <c r="AL3" s="96" t="s">
        <v>229</v>
      </c>
      <c r="AM3" s="96" t="s">
        <v>226</v>
      </c>
      <c r="AN3" s="97" t="s">
        <v>227</v>
      </c>
      <c r="AO3" s="98"/>
      <c r="AP3" s="98"/>
      <c r="AQ3" s="84" t="s">
        <v>230</v>
      </c>
    </row>
    <row r="4" spans="1:43" s="84" customFormat="1" ht="14.25" customHeight="1">
      <c r="A4" s="84" t="s">
        <v>231</v>
      </c>
      <c r="B4" s="161" t="s">
        <v>128</v>
      </c>
      <c r="C4" s="161" t="s">
        <v>232</v>
      </c>
      <c r="D4" s="161" t="s">
        <v>233</v>
      </c>
      <c r="E4" s="161" t="s">
        <v>140</v>
      </c>
      <c r="F4" s="161" t="s">
        <v>132</v>
      </c>
      <c r="G4" s="161" t="s">
        <v>132</v>
      </c>
      <c r="H4" s="161" t="s">
        <v>134</v>
      </c>
      <c r="I4" s="161" t="s">
        <v>134</v>
      </c>
      <c r="J4" s="85"/>
      <c r="K4" s="161" t="s">
        <v>134</v>
      </c>
      <c r="L4" s="161" t="s">
        <v>234</v>
      </c>
      <c r="M4" s="161" t="s">
        <v>129</v>
      </c>
      <c r="N4" s="161" t="s">
        <v>134</v>
      </c>
      <c r="O4" s="161" t="s">
        <v>134</v>
      </c>
      <c r="P4" s="161" t="s">
        <v>130</v>
      </c>
      <c r="Q4" s="161" t="s">
        <v>134</v>
      </c>
      <c r="R4" s="85"/>
      <c r="S4" s="85" t="s">
        <v>232</v>
      </c>
      <c r="T4" s="85" t="s">
        <v>232</v>
      </c>
      <c r="U4" s="85"/>
      <c r="V4" s="99"/>
      <c r="W4" s="100" t="s">
        <v>132</v>
      </c>
      <c r="X4" s="100" t="s">
        <v>132</v>
      </c>
      <c r="Y4" s="100" t="s">
        <v>132</v>
      </c>
      <c r="Z4" s="101" t="s">
        <v>235</v>
      </c>
      <c r="AA4" s="100" t="s">
        <v>236</v>
      </c>
      <c r="AB4" s="100" t="s">
        <v>236</v>
      </c>
      <c r="AC4" s="100" t="s">
        <v>236</v>
      </c>
      <c r="AD4" s="102" t="s">
        <v>133</v>
      </c>
      <c r="AE4" s="100" t="s">
        <v>133</v>
      </c>
      <c r="AF4" s="100" t="s">
        <v>132</v>
      </c>
      <c r="AG4" s="103" t="s">
        <v>130</v>
      </c>
      <c r="AH4" s="104"/>
      <c r="AI4" s="104" t="s">
        <v>130</v>
      </c>
      <c r="AJ4" s="95" t="s">
        <v>130</v>
      </c>
      <c r="AK4" s="97"/>
      <c r="AL4" s="97"/>
      <c r="AM4" s="97"/>
      <c r="AN4" s="97" t="s">
        <v>130</v>
      </c>
      <c r="AO4" s="97" t="s">
        <v>237</v>
      </c>
      <c r="AP4" s="97" t="s">
        <v>238</v>
      </c>
    </row>
    <row r="5" spans="1:43">
      <c r="A5" s="105">
        <f>B5/3.6</f>
        <v>83.333333388987498</v>
      </c>
      <c r="B5" s="106">
        <f>C5*3600</f>
        <v>300.00000020035498</v>
      </c>
      <c r="C5" s="107">
        <f>S5</f>
        <v>8.3333333388987491E-2</v>
      </c>
      <c r="D5" s="160">
        <f>1/100</f>
        <v>0.01</v>
      </c>
      <c r="E5" s="109">
        <v>1.0999999999999999E-2</v>
      </c>
      <c r="F5" s="110">
        <v>710</v>
      </c>
      <c r="G5" s="111">
        <v>64.5</v>
      </c>
      <c r="H5" s="112">
        <f>+(F5-2*G5)/1000</f>
        <v>0.58099999999999996</v>
      </c>
      <c r="I5" s="113">
        <f>J5*H5</f>
        <v>0.13878423501554588</v>
      </c>
      <c r="J5" s="114">
        <v>0.23887131672210996</v>
      </c>
      <c r="K5" s="115">
        <f>2*(H5/2)*(SIN(L5))</f>
        <v>0.49546978376156053</v>
      </c>
      <c r="L5" s="115">
        <f>ACOS((I5-H5/2)/(H5/2))</f>
        <v>2.1202921818016391</v>
      </c>
      <c r="M5" s="112">
        <f>+(PI()-L5)*(H5/2)^2+(H5/2)*SIN(L5)*(I5-H5/2)</f>
        <v>4.860251350428664E-2</v>
      </c>
      <c r="N5" s="116">
        <f>2*(H5/2)*(PI()-L5)</f>
        <v>0.59337557410891739</v>
      </c>
      <c r="O5" s="115">
        <f>+M5/N5</f>
        <v>8.1908517345483753E-2</v>
      </c>
      <c r="P5" s="117">
        <f>+C5/M5</f>
        <v>1.7145889663018696</v>
      </c>
      <c r="Q5" s="115">
        <f>+I5+(P5^2)/(2*9.81)</f>
        <v>0.28862191714419594</v>
      </c>
      <c r="R5" s="115">
        <f>+P5/SQRT(9.81*(M5/K5))</f>
        <v>1.7478523517924718</v>
      </c>
      <c r="S5" s="118">
        <f>T5</f>
        <v>8.3333333388987491E-2</v>
      </c>
      <c r="T5" s="119">
        <f>(D5^0.5)*(M5*O5^(2/3))/E5</f>
        <v>8.3333333388987491E-2</v>
      </c>
      <c r="U5" s="112">
        <f>S5-T5</f>
        <v>0</v>
      </c>
      <c r="V5" s="112"/>
      <c r="W5" s="120">
        <f>F5</f>
        <v>710</v>
      </c>
      <c r="X5" s="120">
        <f>G5</f>
        <v>64.5</v>
      </c>
      <c r="Y5" s="121">
        <f t="shared" ref="Y5:Y68" si="0">+W5-2*X5</f>
        <v>581</v>
      </c>
      <c r="Z5" s="122">
        <f t="shared" ref="Z5:Z68" si="1">I5</f>
        <v>0.13878423501554588</v>
      </c>
      <c r="AA5" s="120">
        <v>2.7</v>
      </c>
      <c r="AB5" s="120">
        <v>1</v>
      </c>
      <c r="AC5" s="121">
        <f>+AB5+AE5*(AA5-AB5)</f>
        <v>1.2328767123287672</v>
      </c>
      <c r="AD5" s="123">
        <v>0.3</v>
      </c>
      <c r="AE5" s="124">
        <f>+AD5/(AA5*(1-AD5)+AD5)</f>
        <v>0.13698630136986301</v>
      </c>
      <c r="AF5" s="120">
        <f>87/1000</f>
        <v>8.6999999999999994E-2</v>
      </c>
      <c r="AG5" s="121">
        <f t="shared" ref="AG5:AG68" si="2">P5</f>
        <v>1.7145889663018696</v>
      </c>
      <c r="AH5" s="125">
        <f>3.32*AE5^0.213*0+(LN(AF5*1000)*(0.0000002*(AE5*100)^3-0.0000373*(AE5*100)^2+0.0023413*(AE5*100)+0.1591381)+(0.0000051*(AE5*100)^3-0.0002024*(AE5*100)^2-0.000578*(AE5*100)+0.0802934))/1.22*1.146</f>
        <v>0.8195508933778024</v>
      </c>
      <c r="AI5" s="125">
        <f>+AH5*(2*9.81*Y5/1000*(AA5/AB5-1))^0.5*(AF5/Y5)^(1/6)*0+2.44*0+1.25*AH5*(2*9.806*(+W5-2*X5)/1000*(AA5-1))^0.25</f>
        <v>2.1491794319490021</v>
      </c>
      <c r="AJ5" s="122">
        <f>+AH5*(2*9.81*Z5/1000*(AA5/AB5-1))^0.5*(AF5/Z5)^(1/6)</f>
        <v>5.1584173635889956E-2</v>
      </c>
      <c r="AK5" s="121">
        <f t="shared" ref="AK5:AK68" si="3">0.169*LN(AF5)+1.25</f>
        <v>0.83732782990464338</v>
      </c>
      <c r="AL5" s="121">
        <f t="shared" ref="AL5:AL68" si="4">0.209*LN(AF5)+1.43</f>
        <v>0.91965394349154128</v>
      </c>
      <c r="AM5" s="121">
        <f t="shared" ref="AM5:AM68" si="5">+AK5+((AE5-0.05)/(0.3-0.05)*(AL5-AK5))</f>
        <v>0.86597280641296126</v>
      </c>
      <c r="AN5" s="121">
        <f>1.09*AM5*(2*9.81*(Y5/1000)*(AA5-1))^0.25</f>
        <v>1.9804403514963009</v>
      </c>
      <c r="AO5" s="121">
        <f>+AG5/AI5</f>
        <v>0.79778772345079618</v>
      </c>
      <c r="AP5" s="121">
        <f>+AG5/AN5</f>
        <v>0.86576147825226335</v>
      </c>
    </row>
    <row r="6" spans="1:43">
      <c r="A6" s="105">
        <f t="shared" ref="A6:A69" si="6">B6/3.6</f>
        <v>83.33333342286592</v>
      </c>
      <c r="B6" s="106">
        <f t="shared" ref="B6:B69" si="7">C6*3600</f>
        <v>300.00000032231731</v>
      </c>
      <c r="C6" s="107">
        <f>S6</f>
        <v>8.3333333422865918E-2</v>
      </c>
      <c r="D6" s="160">
        <f>10/100</f>
        <v>0.1</v>
      </c>
      <c r="E6" s="108">
        <f t="shared" ref="E6:H21" si="8">E5</f>
        <v>1.0999999999999999E-2</v>
      </c>
      <c r="F6" s="108">
        <f t="shared" si="8"/>
        <v>710</v>
      </c>
      <c r="G6" s="108">
        <f t="shared" si="8"/>
        <v>64.5</v>
      </c>
      <c r="H6" s="108">
        <f t="shared" si="8"/>
        <v>0.58099999999999996</v>
      </c>
      <c r="I6" s="113">
        <f t="shared" ref="I6:I69" si="9">J6*H6</f>
        <v>7.8904018340939006E-2</v>
      </c>
      <c r="J6" s="114">
        <v>0.13580726048354391</v>
      </c>
      <c r="K6" s="115">
        <f t="shared" ref="K6:K69" si="10">2*(H6/2)*(SIN(L6))</f>
        <v>0.39808235603070047</v>
      </c>
      <c r="L6" s="115">
        <f t="shared" ref="L6:L69" si="11">ACOS((I6-H6/2)/(H6/2))</f>
        <v>2.3867589279253822</v>
      </c>
      <c r="M6" s="112">
        <f t="shared" ref="M6:M69" si="12">+(PI()-L6)*(H6/2)^2+(H6/2)*SIN(L6)*(I6-H6/2)</f>
        <v>2.1584293364517101E-2</v>
      </c>
      <c r="N6" s="116">
        <f t="shared" ref="N6:N69" si="13">2*(H6/2)*(PI()-L6)</f>
        <v>0.43855839461102269</v>
      </c>
      <c r="O6" s="115">
        <f t="shared" ref="O6:O69" si="14">+M6/N6</f>
        <v>4.9216463827265668E-2</v>
      </c>
      <c r="P6" s="117">
        <f t="shared" ref="P6:P69" si="15">+C6/M6</f>
        <v>3.8608321345307246</v>
      </c>
      <c r="Q6" s="115">
        <f t="shared" ref="Q6:Q69" si="16">+I6+(P6^2)/(2*9.81)</f>
        <v>0.83864024520256342</v>
      </c>
      <c r="R6" s="115">
        <f t="shared" ref="R6:R69" si="17">+P6/SQRT(9.81*(M6/K6))</f>
        <v>5.293756520070338</v>
      </c>
      <c r="S6" s="119">
        <f>T6</f>
        <v>8.3333333422865918E-2</v>
      </c>
      <c r="T6" s="119">
        <f>(D6^0.5)*(M6*O6^(2/3))/E6</f>
        <v>8.3333333422865918E-2</v>
      </c>
      <c r="U6" s="112">
        <f>S6-T6</f>
        <v>0</v>
      </c>
      <c r="V6" s="127"/>
      <c r="W6" s="128">
        <f>W5</f>
        <v>710</v>
      </c>
      <c r="X6" s="128">
        <f>X5</f>
        <v>64.5</v>
      </c>
      <c r="Y6" s="129">
        <f t="shared" si="0"/>
        <v>581</v>
      </c>
      <c r="Z6" s="122">
        <f t="shared" si="1"/>
        <v>7.8904018340939006E-2</v>
      </c>
      <c r="AA6" s="128">
        <f>AA5</f>
        <v>2.7</v>
      </c>
      <c r="AB6" s="128">
        <v>1</v>
      </c>
      <c r="AC6" s="129">
        <f t="shared" ref="AC6:AC69" si="18">+AB6+AE6*(AA6-AB6)</f>
        <v>1.2328767123287672</v>
      </c>
      <c r="AD6" s="130">
        <f>AD5</f>
        <v>0.3</v>
      </c>
      <c r="AE6" s="131">
        <f t="shared" ref="AE6:AE69" si="19">+AD6/(AA6*(1-AD6)+AD6)</f>
        <v>0.13698630136986301</v>
      </c>
      <c r="AF6" s="128">
        <f>AF5</f>
        <v>8.6999999999999994E-2</v>
      </c>
      <c r="AG6" s="121">
        <f t="shared" si="2"/>
        <v>3.8608321345307246</v>
      </c>
      <c r="AH6" s="125">
        <f>3.32*AE6^0.213*0+(LN(AF6*1000)*(0.0000002*(AE6*100)^3-0.0000373*(AE6*100)^2+0.0023413*(AE6*100)+0.1591381)+(0.0000051*(AE6*100)^3-0.0002024*(AE6*100)^2-0.000578*(AE6*100)+0.0802934))/1.22*1.146</f>
        <v>0.8195508933778024</v>
      </c>
      <c r="AI6" s="125">
        <f>+AH6*(2*9.81*Y6/1000*(AA6/AB6-1))^0.5*(AF6/Y6)^(1/6)*0+2.44*0+1.25*AH6*(2*9.806*(+W6-2*X6)/1000*(AA6-1))^0.25</f>
        <v>2.1491794319490021</v>
      </c>
      <c r="AJ6" s="122">
        <f>+AH6*(2*9.81*Z6/1000*(AA6/AB6-1))^0.5*(AF6/Z6)^(1/6)</f>
        <v>4.2733599227752987E-2</v>
      </c>
      <c r="AK6" s="121">
        <f t="shared" si="3"/>
        <v>0.83732782990464338</v>
      </c>
      <c r="AL6" s="121">
        <f t="shared" si="4"/>
        <v>0.91965394349154128</v>
      </c>
      <c r="AM6" s="121">
        <f t="shared" si="5"/>
        <v>0.86597280641296126</v>
      </c>
      <c r="AN6" s="121">
        <f t="shared" ref="AN6:AN69" si="20">1.09*AM6*(2*9.81*(Y6/1000)*(AA6-1))^0.25</f>
        <v>1.9804403514963009</v>
      </c>
      <c r="AO6" s="121">
        <f>+AG6/AI6</f>
        <v>1.7964214979618967</v>
      </c>
      <c r="AP6" s="121">
        <f>+AG6/AN6</f>
        <v>1.949481655235773</v>
      </c>
    </row>
    <row r="7" spans="1:43">
      <c r="A7" s="105">
        <f t="shared" si="6"/>
        <v>83.333333428288796</v>
      </c>
      <c r="B7" s="106">
        <f t="shared" si="7"/>
        <v>300.00000034183967</v>
      </c>
      <c r="C7" s="107">
        <f t="shared" ref="C7:C69" si="21">S7</f>
        <v>8.3333333428288803E-2</v>
      </c>
      <c r="D7" s="160">
        <f>20/100</f>
        <v>0.2</v>
      </c>
      <c r="E7" s="108">
        <f t="shared" si="8"/>
        <v>1.0999999999999999E-2</v>
      </c>
      <c r="F7" s="108">
        <f t="shared" si="8"/>
        <v>710</v>
      </c>
      <c r="G7" s="108">
        <f t="shared" si="8"/>
        <v>64.5</v>
      </c>
      <c r="H7" s="108">
        <f t="shared" si="8"/>
        <v>0.58099999999999996</v>
      </c>
      <c r="I7" s="113">
        <f t="shared" si="9"/>
        <v>6.6810514287841183E-2</v>
      </c>
      <c r="J7" s="114">
        <v>0.11499227932502787</v>
      </c>
      <c r="K7" s="115">
        <f t="shared" si="10"/>
        <v>0.37069267045265358</v>
      </c>
      <c r="L7" s="115">
        <f t="shared" si="11"/>
        <v>2.449661679895057</v>
      </c>
      <c r="M7" s="112">
        <f t="shared" si="12"/>
        <v>1.6932201447431773E-2</v>
      </c>
      <c r="N7" s="116">
        <f t="shared" si="13"/>
        <v>0.40201189571664164</v>
      </c>
      <c r="O7" s="115">
        <f t="shared" si="14"/>
        <v>4.2118657750780705E-2</v>
      </c>
      <c r="P7" s="117">
        <f t="shared" si="15"/>
        <v>4.9215888251157418</v>
      </c>
      <c r="Q7" s="115">
        <f t="shared" si="16"/>
        <v>1.3013689527946786</v>
      </c>
      <c r="R7" s="115">
        <f t="shared" si="17"/>
        <v>7.3522642896086969</v>
      </c>
      <c r="S7" s="119">
        <f t="shared" ref="S7:S69" si="22">T7</f>
        <v>8.3333333428288803E-2</v>
      </c>
      <c r="T7" s="119">
        <f t="shared" ref="T7:T69" si="23">(D7^0.5)*(M7*O7^(2/3))/E7</f>
        <v>8.3333333428288803E-2</v>
      </c>
      <c r="U7" s="112">
        <f t="shared" ref="U7:U69" si="24">S7-T7</f>
        <v>0</v>
      </c>
      <c r="V7" s="127"/>
      <c r="W7" s="128">
        <f t="shared" ref="W7:X22" si="25">W6</f>
        <v>710</v>
      </c>
      <c r="X7" s="128">
        <f t="shared" si="25"/>
        <v>64.5</v>
      </c>
      <c r="Y7" s="129">
        <f t="shared" si="0"/>
        <v>581</v>
      </c>
      <c r="Z7" s="122">
        <f t="shared" si="1"/>
        <v>6.6810514287841183E-2</v>
      </c>
      <c r="AA7" s="128">
        <f t="shared" ref="AA7:AA70" si="26">AA6</f>
        <v>2.7</v>
      </c>
      <c r="AB7" s="128">
        <v>1</v>
      </c>
      <c r="AC7" s="129">
        <f t="shared" si="18"/>
        <v>1.2328767123287672</v>
      </c>
      <c r="AD7" s="130">
        <f t="shared" ref="AD7:AD70" si="27">AD6</f>
        <v>0.3</v>
      </c>
      <c r="AE7" s="131">
        <f t="shared" si="19"/>
        <v>0.13698630136986301</v>
      </c>
      <c r="AF7" s="128">
        <f t="shared" ref="AF7:AF70" si="28">AF6</f>
        <v>8.6999999999999994E-2</v>
      </c>
      <c r="AG7" s="121">
        <f t="shared" si="2"/>
        <v>4.9215888251157418</v>
      </c>
      <c r="AH7" s="125">
        <f t="shared" ref="AH7:AH70" si="29">3.32*AE7^0.213*0+(LN(AF7*1000)*(0.0000002*(AE7*100)^3-0.0000373*(AE7*100)^2+0.0023413*(AE7*100)+0.1591381)+(0.0000051*(AE7*100)^3-0.0002024*(AE7*100)^2-0.000578*(AE7*100)+0.0802934))/1.22*1.146</f>
        <v>0.8195508933778024</v>
      </c>
      <c r="AI7" s="125">
        <f t="shared" ref="AI7:AI70" si="30">+AH7*(2*9.81*Y7/1000*(AA7/AB7-1))^0.5*(AF7/Y7)^(1/6)*0+2.44*0+1.25*AH7*(2*9.806*(+W7-2*X7)/1000*(AA7-1))^0.25</f>
        <v>2.1491794319490021</v>
      </c>
      <c r="AJ7" s="122">
        <f t="shared" ref="AJ7:AJ70" si="31">+AH7*(2*9.81*Z7/1000*(AA7/AB7-1))^0.5*(AF7/Z7)^(1/6)</f>
        <v>4.0428227783747994E-2</v>
      </c>
      <c r="AK7" s="121">
        <f t="shared" si="3"/>
        <v>0.83732782990464338</v>
      </c>
      <c r="AL7" s="121">
        <f t="shared" si="4"/>
        <v>0.91965394349154128</v>
      </c>
      <c r="AM7" s="121">
        <f t="shared" si="5"/>
        <v>0.86597280641296126</v>
      </c>
      <c r="AN7" s="121">
        <f t="shared" si="20"/>
        <v>1.9804403514963009</v>
      </c>
      <c r="AO7" s="121">
        <f t="shared" ref="AO7:AO70" si="32">+AG7/AI7</f>
        <v>2.289985076142552</v>
      </c>
      <c r="AP7" s="121">
        <f t="shared" ref="AP7:AP70" si="33">+AG7/AN7</f>
        <v>2.4850982365600092</v>
      </c>
    </row>
    <row r="8" spans="1:43">
      <c r="A8" s="105">
        <f t="shared" si="6"/>
        <v>83.333333433586802</v>
      </c>
      <c r="B8" s="106">
        <f t="shared" si="7"/>
        <v>300.00000036091251</v>
      </c>
      <c r="C8" s="107">
        <f t="shared" si="21"/>
        <v>8.3333333433586815E-2</v>
      </c>
      <c r="D8" s="160">
        <f>50/100</f>
        <v>0.5</v>
      </c>
      <c r="E8" s="108">
        <f t="shared" si="8"/>
        <v>1.0999999999999999E-2</v>
      </c>
      <c r="F8" s="108">
        <f t="shared" si="8"/>
        <v>710</v>
      </c>
      <c r="G8" s="108">
        <f t="shared" si="8"/>
        <v>64.5</v>
      </c>
      <c r="H8" s="108">
        <f t="shared" si="8"/>
        <v>0.58099999999999996</v>
      </c>
      <c r="I8" s="113">
        <f t="shared" si="9"/>
        <v>5.3708393730995459E-2</v>
      </c>
      <c r="J8" s="114">
        <v>9.2441297299475839E-2</v>
      </c>
      <c r="K8" s="115">
        <f t="shared" si="10"/>
        <v>0.33657085554483013</v>
      </c>
      <c r="L8" s="115">
        <f t="shared" si="11"/>
        <v>2.523728162022524</v>
      </c>
      <c r="M8" s="112">
        <f t="shared" si="12"/>
        <v>1.2293162155588018E-2</v>
      </c>
      <c r="N8" s="116">
        <f t="shared" si="13"/>
        <v>0.3589792696005833</v>
      </c>
      <c r="O8" s="115">
        <f t="shared" si="14"/>
        <v>3.4244768978626397E-2</v>
      </c>
      <c r="P8" s="117">
        <f t="shared" si="15"/>
        <v>6.7788362651432656</v>
      </c>
      <c r="Q8" s="115">
        <f t="shared" si="16"/>
        <v>2.3958399487575752</v>
      </c>
      <c r="R8" s="115">
        <f t="shared" si="17"/>
        <v>11.324709977223081</v>
      </c>
      <c r="S8" s="119">
        <f t="shared" si="22"/>
        <v>8.3333333433586815E-2</v>
      </c>
      <c r="T8" s="119">
        <f t="shared" si="23"/>
        <v>8.3333333433586815E-2</v>
      </c>
      <c r="U8" s="112">
        <f t="shared" si="24"/>
        <v>0</v>
      </c>
      <c r="V8" s="127"/>
      <c r="W8" s="128">
        <f t="shared" si="25"/>
        <v>710</v>
      </c>
      <c r="X8" s="128">
        <f t="shared" si="25"/>
        <v>64.5</v>
      </c>
      <c r="Y8" s="129">
        <f t="shared" si="0"/>
        <v>581</v>
      </c>
      <c r="Z8" s="122">
        <f t="shared" si="1"/>
        <v>5.3708393730995459E-2</v>
      </c>
      <c r="AA8" s="128">
        <f t="shared" si="26"/>
        <v>2.7</v>
      </c>
      <c r="AB8" s="128">
        <v>1</v>
      </c>
      <c r="AC8" s="129">
        <f t="shared" si="18"/>
        <v>1.2328767123287672</v>
      </c>
      <c r="AD8" s="130">
        <f t="shared" si="27"/>
        <v>0.3</v>
      </c>
      <c r="AE8" s="131">
        <f t="shared" si="19"/>
        <v>0.13698630136986301</v>
      </c>
      <c r="AF8" s="128">
        <f t="shared" si="28"/>
        <v>8.6999999999999994E-2</v>
      </c>
      <c r="AG8" s="121">
        <f t="shared" si="2"/>
        <v>6.7788362651432656</v>
      </c>
      <c r="AH8" s="125">
        <f t="shared" si="29"/>
        <v>0.8195508933778024</v>
      </c>
      <c r="AI8" s="125">
        <f t="shared" si="30"/>
        <v>2.1491794319490021</v>
      </c>
      <c r="AJ8" s="122">
        <f t="shared" si="31"/>
        <v>3.7590994923306829E-2</v>
      </c>
      <c r="AK8" s="121">
        <f t="shared" si="3"/>
        <v>0.83732782990464338</v>
      </c>
      <c r="AL8" s="121">
        <f t="shared" si="4"/>
        <v>0.91965394349154128</v>
      </c>
      <c r="AM8" s="121">
        <f t="shared" si="5"/>
        <v>0.86597280641296126</v>
      </c>
      <c r="AN8" s="121">
        <f t="shared" si="20"/>
        <v>1.9804403514963009</v>
      </c>
      <c r="AO8" s="121">
        <f t="shared" si="32"/>
        <v>3.1541509119114446</v>
      </c>
      <c r="AP8" s="121">
        <f t="shared" si="33"/>
        <v>3.4228934287374964</v>
      </c>
    </row>
    <row r="9" spans="1:43">
      <c r="A9" s="105">
        <f t="shared" si="6"/>
        <v>749.99997342770109</v>
      </c>
      <c r="B9" s="106">
        <f t="shared" si="7"/>
        <v>2699.9999043397238</v>
      </c>
      <c r="C9" s="107">
        <f t="shared" si="21"/>
        <v>0.74999997342770108</v>
      </c>
      <c r="D9" s="160">
        <f>1.1/100</f>
        <v>1.1000000000000001E-2</v>
      </c>
      <c r="E9" s="108">
        <f t="shared" si="8"/>
        <v>1.0999999999999999E-2</v>
      </c>
      <c r="F9" s="108">
        <f t="shared" si="8"/>
        <v>710</v>
      </c>
      <c r="G9" s="108">
        <f t="shared" si="8"/>
        <v>64.5</v>
      </c>
      <c r="H9" s="108">
        <f t="shared" si="8"/>
        <v>0.58099999999999996</v>
      </c>
      <c r="I9" s="113">
        <f t="shared" si="9"/>
        <v>0.5356511811963236</v>
      </c>
      <c r="J9" s="114">
        <v>0.92194695558747608</v>
      </c>
      <c r="K9" s="115">
        <f t="shared" si="10"/>
        <v>0.3117123568808095</v>
      </c>
      <c r="L9" s="115">
        <f t="shared" si="11"/>
        <v>0.56629615144718848</v>
      </c>
      <c r="M9" s="112">
        <f t="shared" si="12"/>
        <v>0.2555382418813501</v>
      </c>
      <c r="N9" s="116">
        <f t="shared" si="13"/>
        <v>1.4962472677448533</v>
      </c>
      <c r="O9" s="115">
        <f t="shared" si="14"/>
        <v>0.17078610426904761</v>
      </c>
      <c r="P9" s="117">
        <f t="shared" si="15"/>
        <v>2.9349813472377897</v>
      </c>
      <c r="Q9" s="115">
        <f t="shared" si="16"/>
        <v>0.97469886257419058</v>
      </c>
      <c r="R9" s="115">
        <f t="shared" si="17"/>
        <v>1.0349512657426043</v>
      </c>
      <c r="S9" s="119">
        <f t="shared" si="22"/>
        <v>0.74999997342770108</v>
      </c>
      <c r="T9" s="119">
        <f t="shared" si="23"/>
        <v>0.74999997342770108</v>
      </c>
      <c r="U9" s="112">
        <f t="shared" si="24"/>
        <v>0</v>
      </c>
      <c r="V9" s="127"/>
      <c r="W9" s="128">
        <f t="shared" si="25"/>
        <v>710</v>
      </c>
      <c r="X9" s="128">
        <f t="shared" si="25"/>
        <v>64.5</v>
      </c>
      <c r="Y9" s="129">
        <f t="shared" si="0"/>
        <v>581</v>
      </c>
      <c r="Z9" s="122">
        <f t="shared" si="1"/>
        <v>0.5356511811963236</v>
      </c>
      <c r="AA9" s="128">
        <f t="shared" si="26"/>
        <v>2.7</v>
      </c>
      <c r="AB9" s="128">
        <v>1</v>
      </c>
      <c r="AC9" s="129">
        <f t="shared" si="18"/>
        <v>1.2328767123287672</v>
      </c>
      <c r="AD9" s="130">
        <f t="shared" si="27"/>
        <v>0.3</v>
      </c>
      <c r="AE9" s="131">
        <f t="shared" si="19"/>
        <v>0.13698630136986301</v>
      </c>
      <c r="AF9" s="128">
        <f t="shared" si="28"/>
        <v>8.6999999999999994E-2</v>
      </c>
      <c r="AG9" s="121">
        <f t="shared" si="2"/>
        <v>2.9349813472377897</v>
      </c>
      <c r="AH9" s="125">
        <f t="shared" si="29"/>
        <v>0.8195508933778024</v>
      </c>
      <c r="AI9" s="125">
        <f t="shared" si="30"/>
        <v>2.1491794319490021</v>
      </c>
      <c r="AJ9" s="122">
        <f t="shared" si="31"/>
        <v>8.0915263858805681E-2</v>
      </c>
      <c r="AK9" s="121">
        <f t="shared" si="3"/>
        <v>0.83732782990464338</v>
      </c>
      <c r="AL9" s="121">
        <f t="shared" si="4"/>
        <v>0.91965394349154128</v>
      </c>
      <c r="AM9" s="121">
        <f t="shared" si="5"/>
        <v>0.86597280641296126</v>
      </c>
      <c r="AN9" s="121">
        <f t="shared" si="20"/>
        <v>1.9804403514963009</v>
      </c>
      <c r="AO9" s="121">
        <f t="shared" si="32"/>
        <v>1.3656288086547415</v>
      </c>
      <c r="AP9" s="121">
        <f t="shared" si="33"/>
        <v>1.4819842188229984</v>
      </c>
    </row>
    <row r="10" spans="1:43">
      <c r="A10" s="105">
        <f t="shared" si="6"/>
        <v>750.00004884530415</v>
      </c>
      <c r="B10" s="106">
        <f t="shared" si="7"/>
        <v>2700.0001758430949</v>
      </c>
      <c r="C10" s="107">
        <f t="shared" si="21"/>
        <v>0.75000004884530413</v>
      </c>
      <c r="D10" s="160">
        <f>6.7/100</f>
        <v>6.7000000000000004E-2</v>
      </c>
      <c r="E10" s="108">
        <f t="shared" si="8"/>
        <v>1.0999999999999999E-2</v>
      </c>
      <c r="F10" s="108">
        <f t="shared" si="8"/>
        <v>710</v>
      </c>
      <c r="G10" s="108">
        <f t="shared" si="8"/>
        <v>64.5</v>
      </c>
      <c r="H10" s="108">
        <f t="shared" si="8"/>
        <v>0.58099999999999996</v>
      </c>
      <c r="I10" s="113">
        <f t="shared" si="9"/>
        <v>0.26800330658111615</v>
      </c>
      <c r="J10" s="114">
        <v>0.46127935728247188</v>
      </c>
      <c r="K10" s="115">
        <f t="shared" si="10"/>
        <v>0.57925520726262525</v>
      </c>
      <c r="L10" s="115">
        <f t="shared" si="11"/>
        <v>1.6483152264073127</v>
      </c>
      <c r="M10" s="112">
        <f t="shared" si="12"/>
        <v>0.11950239199474665</v>
      </c>
      <c r="N10" s="116">
        <f t="shared" si="13"/>
        <v>0.86759418519302112</v>
      </c>
      <c r="O10" s="115">
        <f t="shared" si="14"/>
        <v>0.13773996418401527</v>
      </c>
      <c r="P10" s="117">
        <f t="shared" si="15"/>
        <v>6.2760254110919744</v>
      </c>
      <c r="Q10" s="115">
        <f t="shared" si="16"/>
        <v>2.2755718570740919</v>
      </c>
      <c r="R10" s="115">
        <f t="shared" si="17"/>
        <v>4.4116074736592896</v>
      </c>
      <c r="S10" s="119">
        <f t="shared" si="22"/>
        <v>0.75000004884530413</v>
      </c>
      <c r="T10" s="119">
        <f t="shared" si="23"/>
        <v>0.75000004884530413</v>
      </c>
      <c r="U10" s="112">
        <f t="shared" si="24"/>
        <v>0</v>
      </c>
      <c r="V10" s="127"/>
      <c r="W10" s="128">
        <f t="shared" si="25"/>
        <v>710</v>
      </c>
      <c r="X10" s="128">
        <f t="shared" si="25"/>
        <v>64.5</v>
      </c>
      <c r="Y10" s="129">
        <f t="shared" si="0"/>
        <v>581</v>
      </c>
      <c r="Z10" s="122">
        <f t="shared" si="1"/>
        <v>0.26800330658111615</v>
      </c>
      <c r="AA10" s="128">
        <f t="shared" si="26"/>
        <v>2.7</v>
      </c>
      <c r="AB10" s="128">
        <v>1</v>
      </c>
      <c r="AC10" s="129">
        <f t="shared" si="18"/>
        <v>1.2328767123287672</v>
      </c>
      <c r="AD10" s="130">
        <f t="shared" si="27"/>
        <v>0.3</v>
      </c>
      <c r="AE10" s="131">
        <f t="shared" si="19"/>
        <v>0.13698630136986301</v>
      </c>
      <c r="AF10" s="128">
        <f t="shared" si="28"/>
        <v>8.6999999999999994E-2</v>
      </c>
      <c r="AG10" s="121">
        <f t="shared" si="2"/>
        <v>6.2760254110919744</v>
      </c>
      <c r="AH10" s="125">
        <f t="shared" si="29"/>
        <v>0.8195508933778024</v>
      </c>
      <c r="AI10" s="125">
        <f t="shared" si="30"/>
        <v>2.1491794319490021</v>
      </c>
      <c r="AJ10" s="122">
        <f t="shared" si="31"/>
        <v>6.4236689312946377E-2</v>
      </c>
      <c r="AK10" s="121">
        <f t="shared" si="3"/>
        <v>0.83732782990464338</v>
      </c>
      <c r="AL10" s="121">
        <f t="shared" si="4"/>
        <v>0.91965394349154128</v>
      </c>
      <c r="AM10" s="121">
        <f t="shared" si="5"/>
        <v>0.86597280641296126</v>
      </c>
      <c r="AN10" s="121">
        <f t="shared" si="20"/>
        <v>1.9804403514963009</v>
      </c>
      <c r="AO10" s="121">
        <f t="shared" si="32"/>
        <v>2.9201961073117597</v>
      </c>
      <c r="AP10" s="121">
        <f t="shared" si="33"/>
        <v>3.169005017672049</v>
      </c>
    </row>
    <row r="11" spans="1:43">
      <c r="A11" s="105">
        <f t="shared" si="6"/>
        <v>778.6054212692942</v>
      </c>
      <c r="B11" s="106">
        <f t="shared" si="7"/>
        <v>2802.9795165694591</v>
      </c>
      <c r="C11" s="107">
        <f t="shared" si="21"/>
        <v>0.77860542126929422</v>
      </c>
      <c r="D11" s="108">
        <f t="shared" ref="D11:H22" si="34">D10</f>
        <v>6.7000000000000004E-2</v>
      </c>
      <c r="E11" s="108">
        <f t="shared" si="8"/>
        <v>1.0999999999999999E-2</v>
      </c>
      <c r="F11" s="108">
        <f t="shared" si="8"/>
        <v>710</v>
      </c>
      <c r="G11" s="108">
        <f t="shared" si="8"/>
        <v>64.5</v>
      </c>
      <c r="H11" s="108">
        <f t="shared" si="8"/>
        <v>0.58099999999999996</v>
      </c>
      <c r="I11" s="113">
        <f t="shared" si="9"/>
        <v>0.27381330658111613</v>
      </c>
      <c r="J11" s="114">
        <f t="shared" ref="J11:J69" si="35">0.01+J10</f>
        <v>0.47127935728247189</v>
      </c>
      <c r="K11" s="115">
        <f t="shared" si="10"/>
        <v>0.58004070292607635</v>
      </c>
      <c r="L11" s="115">
        <f t="shared" si="11"/>
        <v>1.6282692471556608</v>
      </c>
      <c r="M11" s="112">
        <f t="shared" si="12"/>
        <v>0.12287025990972734</v>
      </c>
      <c r="N11" s="116">
        <f t="shared" si="13"/>
        <v>0.87924089913823078</v>
      </c>
      <c r="O11" s="115">
        <f t="shared" si="14"/>
        <v>0.13974584215788416</v>
      </c>
      <c r="P11" s="117">
        <f t="shared" si="15"/>
        <v>6.3368094267997384</v>
      </c>
      <c r="Q11" s="115">
        <f t="shared" si="16"/>
        <v>2.3204572266411585</v>
      </c>
      <c r="R11" s="115">
        <f t="shared" si="17"/>
        <v>4.3958411408069447</v>
      </c>
      <c r="S11" s="119">
        <f t="shared" si="22"/>
        <v>0.77860542126929422</v>
      </c>
      <c r="T11" s="119">
        <f t="shared" si="23"/>
        <v>0.77860542126929422</v>
      </c>
      <c r="U11" s="112">
        <f t="shared" si="24"/>
        <v>0</v>
      </c>
      <c r="V11" s="127"/>
      <c r="W11" s="128">
        <f t="shared" si="25"/>
        <v>710</v>
      </c>
      <c r="X11" s="128">
        <f t="shared" si="25"/>
        <v>64.5</v>
      </c>
      <c r="Y11" s="129">
        <f t="shared" si="0"/>
        <v>581</v>
      </c>
      <c r="Z11" s="122">
        <f t="shared" si="1"/>
        <v>0.27381330658111613</v>
      </c>
      <c r="AA11" s="128">
        <f t="shared" si="26"/>
        <v>2.7</v>
      </c>
      <c r="AB11" s="128">
        <v>1</v>
      </c>
      <c r="AC11" s="129">
        <f t="shared" si="18"/>
        <v>1.2328767123287672</v>
      </c>
      <c r="AD11" s="130">
        <f t="shared" si="27"/>
        <v>0.3</v>
      </c>
      <c r="AE11" s="131">
        <f t="shared" si="19"/>
        <v>0.13698630136986301</v>
      </c>
      <c r="AF11" s="128">
        <f t="shared" si="28"/>
        <v>8.6999999999999994E-2</v>
      </c>
      <c r="AG11" s="121">
        <f t="shared" si="2"/>
        <v>6.3368094267997384</v>
      </c>
      <c r="AH11" s="125">
        <f t="shared" si="29"/>
        <v>0.8195508933778024</v>
      </c>
      <c r="AI11" s="125">
        <f t="shared" si="30"/>
        <v>2.1491794319490021</v>
      </c>
      <c r="AJ11" s="122">
        <f t="shared" si="31"/>
        <v>6.4697566994181471E-2</v>
      </c>
      <c r="AK11" s="121">
        <f t="shared" si="3"/>
        <v>0.83732782990464338</v>
      </c>
      <c r="AL11" s="121">
        <f t="shared" si="4"/>
        <v>0.91965394349154128</v>
      </c>
      <c r="AM11" s="121">
        <f t="shared" si="5"/>
        <v>0.86597280641296126</v>
      </c>
      <c r="AN11" s="121">
        <f t="shared" si="20"/>
        <v>1.9804403514963009</v>
      </c>
      <c r="AO11" s="121">
        <f t="shared" si="32"/>
        <v>2.9484785367842217</v>
      </c>
      <c r="AP11" s="121">
        <f t="shared" si="33"/>
        <v>3.1996971895730302</v>
      </c>
    </row>
    <row r="12" spans="1:43">
      <c r="A12" s="105">
        <f t="shared" si="6"/>
        <v>807.43390128654073</v>
      </c>
      <c r="B12" s="106">
        <f t="shared" si="7"/>
        <v>2906.7620446315468</v>
      </c>
      <c r="C12" s="107">
        <f t="shared" si="21"/>
        <v>0.8074339012865408</v>
      </c>
      <c r="D12" s="108">
        <f t="shared" si="34"/>
        <v>6.7000000000000004E-2</v>
      </c>
      <c r="E12" s="108">
        <f t="shared" si="8"/>
        <v>1.0999999999999999E-2</v>
      </c>
      <c r="F12" s="108">
        <f t="shared" si="8"/>
        <v>710</v>
      </c>
      <c r="G12" s="108">
        <f t="shared" si="8"/>
        <v>64.5</v>
      </c>
      <c r="H12" s="108">
        <f t="shared" si="8"/>
        <v>0.58099999999999996</v>
      </c>
      <c r="I12" s="113">
        <f t="shared" si="9"/>
        <v>0.27962330658111617</v>
      </c>
      <c r="J12" s="114">
        <f t="shared" si="35"/>
        <v>0.4812793572824719</v>
      </c>
      <c r="K12" s="115">
        <f t="shared" si="10"/>
        <v>0.58059261979557264</v>
      </c>
      <c r="L12" s="115">
        <f t="shared" si="11"/>
        <v>1.6082463655964117</v>
      </c>
      <c r="M12" s="112">
        <f t="shared" si="12"/>
        <v>0.12624201261694193</v>
      </c>
      <c r="N12" s="116">
        <f t="shared" si="13"/>
        <v>0.89087419332415452</v>
      </c>
      <c r="O12" s="115">
        <f t="shared" si="14"/>
        <v>0.14170576896597492</v>
      </c>
      <c r="P12" s="117">
        <f t="shared" si="15"/>
        <v>6.395920696674489</v>
      </c>
      <c r="Q12" s="115">
        <f t="shared" si="16"/>
        <v>2.36462848283744</v>
      </c>
      <c r="R12" s="115">
        <f t="shared" si="17"/>
        <v>4.3792765057989973</v>
      </c>
      <c r="S12" s="119">
        <f t="shared" si="22"/>
        <v>0.8074339012865408</v>
      </c>
      <c r="T12" s="119">
        <f t="shared" si="23"/>
        <v>0.8074339012865408</v>
      </c>
      <c r="U12" s="112">
        <f t="shared" si="24"/>
        <v>0</v>
      </c>
      <c r="V12" s="127"/>
      <c r="W12" s="128">
        <f t="shared" si="25"/>
        <v>710</v>
      </c>
      <c r="X12" s="128">
        <f t="shared" si="25"/>
        <v>64.5</v>
      </c>
      <c r="Y12" s="129">
        <f t="shared" si="0"/>
        <v>581</v>
      </c>
      <c r="Z12" s="122">
        <f t="shared" si="1"/>
        <v>0.27962330658111617</v>
      </c>
      <c r="AA12" s="128">
        <f t="shared" si="26"/>
        <v>2.7</v>
      </c>
      <c r="AB12" s="128">
        <v>1</v>
      </c>
      <c r="AC12" s="129">
        <f t="shared" si="18"/>
        <v>1.2328767123287672</v>
      </c>
      <c r="AD12" s="130">
        <f t="shared" si="27"/>
        <v>0.3</v>
      </c>
      <c r="AE12" s="131">
        <f t="shared" si="19"/>
        <v>0.13698630136986301</v>
      </c>
      <c r="AF12" s="128">
        <f t="shared" si="28"/>
        <v>8.6999999999999994E-2</v>
      </c>
      <c r="AG12" s="121">
        <f t="shared" si="2"/>
        <v>6.395920696674489</v>
      </c>
      <c r="AH12" s="125">
        <f t="shared" si="29"/>
        <v>0.8195508933778024</v>
      </c>
      <c r="AI12" s="125">
        <f t="shared" si="30"/>
        <v>2.1491794319490021</v>
      </c>
      <c r="AJ12" s="122">
        <f t="shared" si="31"/>
        <v>6.5151970402037573E-2</v>
      </c>
      <c r="AK12" s="121">
        <f t="shared" si="3"/>
        <v>0.83732782990464338</v>
      </c>
      <c r="AL12" s="121">
        <f t="shared" si="4"/>
        <v>0.91965394349154128</v>
      </c>
      <c r="AM12" s="121">
        <f t="shared" si="5"/>
        <v>0.86597280641296126</v>
      </c>
      <c r="AN12" s="121">
        <f t="shared" si="20"/>
        <v>1.9804403514963009</v>
      </c>
      <c r="AO12" s="121">
        <f t="shared" si="32"/>
        <v>2.9759826478863576</v>
      </c>
      <c r="AP12" s="121">
        <f t="shared" si="33"/>
        <v>3.2295447281924541</v>
      </c>
    </row>
    <row r="13" spans="1:43">
      <c r="A13" s="105">
        <f t="shared" si="6"/>
        <v>836.46218345199031</v>
      </c>
      <c r="B13" s="106">
        <f t="shared" si="7"/>
        <v>3011.2638604271651</v>
      </c>
      <c r="C13" s="107">
        <f t="shared" si="21"/>
        <v>0.8364621834519903</v>
      </c>
      <c r="D13" s="108">
        <f t="shared" si="34"/>
        <v>6.7000000000000004E-2</v>
      </c>
      <c r="E13" s="108">
        <f t="shared" si="8"/>
        <v>1.0999999999999999E-2</v>
      </c>
      <c r="F13" s="108">
        <f t="shared" si="8"/>
        <v>710</v>
      </c>
      <c r="G13" s="108">
        <f t="shared" si="8"/>
        <v>64.5</v>
      </c>
      <c r="H13" s="108">
        <f t="shared" si="8"/>
        <v>0.58099999999999996</v>
      </c>
      <c r="I13" s="113">
        <f t="shared" si="9"/>
        <v>0.28543330658111615</v>
      </c>
      <c r="J13" s="114">
        <f t="shared" si="35"/>
        <v>0.49127935728247191</v>
      </c>
      <c r="K13" s="115">
        <f t="shared" si="10"/>
        <v>0.58091162363236981</v>
      </c>
      <c r="L13" s="115">
        <f t="shared" si="11"/>
        <v>1.5882384966196514</v>
      </c>
      <c r="M13" s="112">
        <f t="shared" si="12"/>
        <v>0.12961629509504385</v>
      </c>
      <c r="N13" s="116">
        <f t="shared" si="13"/>
        <v>0.90249876519965222</v>
      </c>
      <c r="O13" s="115">
        <f t="shared" si="14"/>
        <v>0.14361936004019898</v>
      </c>
      <c r="P13" s="117">
        <f t="shared" si="15"/>
        <v>6.4533721075628412</v>
      </c>
      <c r="Q13" s="115">
        <f t="shared" si="16"/>
        <v>2.4080638651269912</v>
      </c>
      <c r="R13" s="115">
        <f t="shared" si="17"/>
        <v>4.3619173817039636</v>
      </c>
      <c r="S13" s="119">
        <f t="shared" si="22"/>
        <v>0.8364621834519903</v>
      </c>
      <c r="T13" s="119">
        <f t="shared" si="23"/>
        <v>0.8364621834519903</v>
      </c>
      <c r="U13" s="112">
        <f t="shared" si="24"/>
        <v>0</v>
      </c>
      <c r="V13" s="127"/>
      <c r="W13" s="128">
        <f t="shared" si="25"/>
        <v>710</v>
      </c>
      <c r="X13" s="128">
        <f t="shared" si="25"/>
        <v>64.5</v>
      </c>
      <c r="Y13" s="129">
        <f t="shared" si="0"/>
        <v>581</v>
      </c>
      <c r="Z13" s="122">
        <f t="shared" si="1"/>
        <v>0.28543330658111615</v>
      </c>
      <c r="AA13" s="128">
        <f t="shared" si="26"/>
        <v>2.7</v>
      </c>
      <c r="AB13" s="128">
        <v>1</v>
      </c>
      <c r="AC13" s="129">
        <f t="shared" si="18"/>
        <v>1.2328767123287672</v>
      </c>
      <c r="AD13" s="130">
        <f t="shared" si="27"/>
        <v>0.3</v>
      </c>
      <c r="AE13" s="131">
        <f t="shared" si="19"/>
        <v>0.13698630136986301</v>
      </c>
      <c r="AF13" s="128">
        <f t="shared" si="28"/>
        <v>8.6999999999999994E-2</v>
      </c>
      <c r="AG13" s="121">
        <f t="shared" si="2"/>
        <v>6.4533721075628412</v>
      </c>
      <c r="AH13" s="125">
        <f t="shared" si="29"/>
        <v>0.8195508933778024</v>
      </c>
      <c r="AI13" s="125">
        <f t="shared" si="30"/>
        <v>2.1491794319490021</v>
      </c>
      <c r="AJ13" s="122">
        <f t="shared" si="31"/>
        <v>6.5600122226543142E-2</v>
      </c>
      <c r="AK13" s="121">
        <f t="shared" si="3"/>
        <v>0.83732782990464338</v>
      </c>
      <c r="AL13" s="121">
        <f t="shared" si="4"/>
        <v>0.91965394349154128</v>
      </c>
      <c r="AM13" s="121">
        <f t="shared" si="5"/>
        <v>0.86597280641296126</v>
      </c>
      <c r="AN13" s="121">
        <f t="shared" si="20"/>
        <v>1.9804403514963009</v>
      </c>
      <c r="AO13" s="121">
        <f t="shared" si="32"/>
        <v>3.0027144367888097</v>
      </c>
      <c r="AP13" s="121">
        <f t="shared" si="33"/>
        <v>3.2585541405915426</v>
      </c>
    </row>
    <row r="14" spans="1:43">
      <c r="A14" s="105">
        <f t="shared" si="6"/>
        <v>865.66661164037816</v>
      </c>
      <c r="B14" s="106">
        <f t="shared" si="7"/>
        <v>3116.3998019053615</v>
      </c>
      <c r="C14" s="107">
        <f t="shared" si="21"/>
        <v>0.86566661164037817</v>
      </c>
      <c r="D14" s="108">
        <f t="shared" si="34"/>
        <v>6.7000000000000004E-2</v>
      </c>
      <c r="E14" s="108">
        <f t="shared" si="8"/>
        <v>1.0999999999999999E-2</v>
      </c>
      <c r="F14" s="108">
        <f t="shared" si="8"/>
        <v>710</v>
      </c>
      <c r="G14" s="108">
        <f t="shared" si="8"/>
        <v>64.5</v>
      </c>
      <c r="H14" s="108">
        <f t="shared" si="8"/>
        <v>0.58099999999999996</v>
      </c>
      <c r="I14" s="113">
        <f t="shared" si="9"/>
        <v>0.29124330658111613</v>
      </c>
      <c r="J14" s="114">
        <f t="shared" si="35"/>
        <v>0.50127935728247186</v>
      </c>
      <c r="K14" s="115">
        <f t="shared" si="10"/>
        <v>0.58099809808751168</v>
      </c>
      <c r="L14" s="115">
        <f t="shared" si="11"/>
        <v>1.568237609437952</v>
      </c>
      <c r="M14" s="112">
        <f t="shared" si="12"/>
        <v>0.1329917553696971</v>
      </c>
      <c r="N14" s="116">
        <f t="shared" si="13"/>
        <v>0.91411928065221959</v>
      </c>
      <c r="O14" s="115">
        <f t="shared" si="14"/>
        <v>0.14548621627891728</v>
      </c>
      <c r="P14" s="117">
        <f t="shared" si="15"/>
        <v>6.5091750179096071</v>
      </c>
      <c r="Q14" s="115">
        <f t="shared" si="16"/>
        <v>2.4507417476503583</v>
      </c>
      <c r="R14" s="115">
        <f t="shared" si="17"/>
        <v>4.3437661982092051</v>
      </c>
      <c r="S14" s="119">
        <f t="shared" si="22"/>
        <v>0.86566661164037817</v>
      </c>
      <c r="T14" s="119">
        <f t="shared" si="23"/>
        <v>0.86566661164037817</v>
      </c>
      <c r="U14" s="112">
        <f t="shared" si="24"/>
        <v>0</v>
      </c>
      <c r="V14" s="127"/>
      <c r="W14" s="128">
        <f t="shared" si="25"/>
        <v>710</v>
      </c>
      <c r="X14" s="128">
        <f t="shared" si="25"/>
        <v>64.5</v>
      </c>
      <c r="Y14" s="129">
        <f t="shared" si="0"/>
        <v>581</v>
      </c>
      <c r="Z14" s="122">
        <f t="shared" si="1"/>
        <v>0.29124330658111613</v>
      </c>
      <c r="AA14" s="128">
        <f t="shared" si="26"/>
        <v>2.7</v>
      </c>
      <c r="AB14" s="128">
        <v>1</v>
      </c>
      <c r="AC14" s="129">
        <f t="shared" si="18"/>
        <v>1.2328767123287672</v>
      </c>
      <c r="AD14" s="130">
        <f t="shared" si="27"/>
        <v>0.3</v>
      </c>
      <c r="AE14" s="131">
        <f t="shared" si="19"/>
        <v>0.13698630136986301</v>
      </c>
      <c r="AF14" s="128">
        <f t="shared" si="28"/>
        <v>8.6999999999999994E-2</v>
      </c>
      <c r="AG14" s="121">
        <f t="shared" si="2"/>
        <v>6.5091750179096071</v>
      </c>
      <c r="AH14" s="125">
        <f t="shared" si="29"/>
        <v>0.8195508933778024</v>
      </c>
      <c r="AI14" s="125">
        <f t="shared" si="30"/>
        <v>2.1491794319490021</v>
      </c>
      <c r="AJ14" s="122">
        <f t="shared" si="31"/>
        <v>6.6042233149507149E-2</v>
      </c>
      <c r="AK14" s="121">
        <f t="shared" si="3"/>
        <v>0.83732782990464338</v>
      </c>
      <c r="AL14" s="121">
        <f t="shared" si="4"/>
        <v>0.91965394349154128</v>
      </c>
      <c r="AM14" s="121">
        <f t="shared" si="5"/>
        <v>0.86597280641296126</v>
      </c>
      <c r="AN14" s="121">
        <f t="shared" si="20"/>
        <v>1.9804403514963009</v>
      </c>
      <c r="AO14" s="121">
        <f t="shared" si="32"/>
        <v>3.0286791885062407</v>
      </c>
      <c r="AP14" s="121">
        <f t="shared" si="33"/>
        <v>3.2867311620830528</v>
      </c>
    </row>
    <row r="15" spans="1:43">
      <c r="A15" s="105">
        <f t="shared" si="6"/>
        <v>895.0231718384299</v>
      </c>
      <c r="B15" s="106">
        <f t="shared" si="7"/>
        <v>3222.0834186183479</v>
      </c>
      <c r="C15" s="107">
        <f t="shared" si="21"/>
        <v>0.89502317183842994</v>
      </c>
      <c r="D15" s="108">
        <f t="shared" si="34"/>
        <v>6.7000000000000004E-2</v>
      </c>
      <c r="E15" s="108">
        <f t="shared" si="8"/>
        <v>1.0999999999999999E-2</v>
      </c>
      <c r="F15" s="108">
        <f t="shared" si="8"/>
        <v>710</v>
      </c>
      <c r="G15" s="108">
        <f t="shared" si="8"/>
        <v>64.5</v>
      </c>
      <c r="H15" s="108">
        <f t="shared" si="8"/>
        <v>0.58099999999999996</v>
      </c>
      <c r="I15" s="113">
        <f t="shared" si="9"/>
        <v>0.29705330658111612</v>
      </c>
      <c r="J15" s="114">
        <f t="shared" si="35"/>
        <v>0.51127935728247187</v>
      </c>
      <c r="K15" s="115">
        <f t="shared" si="10"/>
        <v>0.58085214701455268</v>
      </c>
      <c r="L15" s="115">
        <f t="shared" si="11"/>
        <v>1.5482356984532186</v>
      </c>
      <c r="M15" s="112">
        <f t="shared" si="12"/>
        <v>0.13636704288205723</v>
      </c>
      <c r="N15" s="116">
        <f t="shared" si="13"/>
        <v>0.92574039093434968</v>
      </c>
      <c r="O15" s="115">
        <f t="shared" si="14"/>
        <v>0.14730592314808905</v>
      </c>
      <c r="P15" s="117">
        <f t="shared" si="15"/>
        <v>6.5633393004828031</v>
      </c>
      <c r="Q15" s="115">
        <f t="shared" si="16"/>
        <v>2.492640603893149</v>
      </c>
      <c r="R15" s="115">
        <f t="shared" si="17"/>
        <v>4.3248240217497731</v>
      </c>
      <c r="S15" s="119">
        <f>T15</f>
        <v>0.89502317183842994</v>
      </c>
      <c r="T15" s="119">
        <f>(D15^0.5)*(M15*O15^(2/3))/E15</f>
        <v>0.89502317183842994</v>
      </c>
      <c r="U15" s="112">
        <f t="shared" si="24"/>
        <v>0</v>
      </c>
      <c r="V15" s="127"/>
      <c r="W15" s="128">
        <f t="shared" si="25"/>
        <v>710</v>
      </c>
      <c r="X15" s="128">
        <f t="shared" si="25"/>
        <v>64.5</v>
      </c>
      <c r="Y15" s="129">
        <f t="shared" si="0"/>
        <v>581</v>
      </c>
      <c r="Z15" s="122">
        <f t="shared" si="1"/>
        <v>0.29705330658111612</v>
      </c>
      <c r="AA15" s="128">
        <f t="shared" si="26"/>
        <v>2.7</v>
      </c>
      <c r="AB15" s="128">
        <v>1</v>
      </c>
      <c r="AC15" s="129">
        <f t="shared" si="18"/>
        <v>1.2328767123287672</v>
      </c>
      <c r="AD15" s="130">
        <f t="shared" si="27"/>
        <v>0.3</v>
      </c>
      <c r="AE15" s="131">
        <f t="shared" si="19"/>
        <v>0.13698630136986301</v>
      </c>
      <c r="AF15" s="128">
        <f t="shared" si="28"/>
        <v>8.6999999999999994E-2</v>
      </c>
      <c r="AG15" s="121">
        <f t="shared" si="2"/>
        <v>6.5633393004828031</v>
      </c>
      <c r="AH15" s="125">
        <f t="shared" si="29"/>
        <v>0.8195508933778024</v>
      </c>
      <c r="AI15" s="125">
        <f t="shared" si="30"/>
        <v>2.1491794319490021</v>
      </c>
      <c r="AJ15" s="122">
        <f t="shared" si="31"/>
        <v>6.6478502717256707E-2</v>
      </c>
      <c r="AK15" s="121">
        <f t="shared" si="3"/>
        <v>0.83732782990464338</v>
      </c>
      <c r="AL15" s="121">
        <f t="shared" si="4"/>
        <v>0.91965394349154128</v>
      </c>
      <c r="AM15" s="121">
        <f t="shared" si="5"/>
        <v>0.86597280641296126</v>
      </c>
      <c r="AN15" s="121">
        <f t="shared" si="20"/>
        <v>1.9804403514963009</v>
      </c>
      <c r="AO15" s="121">
        <f t="shared" si="32"/>
        <v>3.0538814967770196</v>
      </c>
      <c r="AP15" s="121">
        <f t="shared" si="33"/>
        <v>3.3140807778047652</v>
      </c>
    </row>
    <row r="16" spans="1:43">
      <c r="A16" s="105">
        <f t="shared" si="6"/>
        <v>924.50748380916377</v>
      </c>
      <c r="B16" s="106">
        <f t="shared" si="7"/>
        <v>3328.2269417129896</v>
      </c>
      <c r="C16" s="107">
        <f t="shared" si="21"/>
        <v>0.92450748380916381</v>
      </c>
      <c r="D16" s="108">
        <f t="shared" si="34"/>
        <v>6.7000000000000004E-2</v>
      </c>
      <c r="E16" s="108">
        <f t="shared" si="8"/>
        <v>1.0999999999999999E-2</v>
      </c>
      <c r="F16" s="108">
        <f t="shared" si="8"/>
        <v>710</v>
      </c>
      <c r="G16" s="108">
        <f t="shared" si="8"/>
        <v>64.5</v>
      </c>
      <c r="H16" s="108">
        <f t="shared" si="8"/>
        <v>0.58099999999999996</v>
      </c>
      <c r="I16" s="113">
        <f t="shared" si="9"/>
        <v>0.30286330658111615</v>
      </c>
      <c r="J16" s="114">
        <f t="shared" si="35"/>
        <v>0.52127935728247188</v>
      </c>
      <c r="K16" s="115">
        <f t="shared" si="10"/>
        <v>0.58047359509414831</v>
      </c>
      <c r="L16" s="115">
        <f t="shared" si="11"/>
        <v>1.5282247543765572</v>
      </c>
      <c r="M16" s="112">
        <f t="shared" si="12"/>
        <v>0.13974080686577559</v>
      </c>
      <c r="N16" s="116">
        <f t="shared" si="13"/>
        <v>0.93736674944289</v>
      </c>
      <c r="O16" s="115">
        <f t="shared" si="14"/>
        <v>0.1490780497055485</v>
      </c>
      <c r="P16" s="117">
        <f t="shared" si="15"/>
        <v>6.6158733768953795</v>
      </c>
      <c r="Q16" s="115">
        <f t="shared" si="16"/>
        <v>2.5337389711638414</v>
      </c>
      <c r="R16" s="115">
        <f t="shared" si="17"/>
        <v>4.3050905660020495</v>
      </c>
      <c r="S16" s="119">
        <f t="shared" si="22"/>
        <v>0.92450748380916381</v>
      </c>
      <c r="T16" s="119">
        <f t="shared" si="23"/>
        <v>0.92450748380916381</v>
      </c>
      <c r="U16" s="112">
        <f t="shared" si="24"/>
        <v>0</v>
      </c>
      <c r="V16" s="127"/>
      <c r="W16" s="128">
        <f t="shared" si="25"/>
        <v>710</v>
      </c>
      <c r="X16" s="128">
        <f t="shared" si="25"/>
        <v>64.5</v>
      </c>
      <c r="Y16" s="129">
        <f t="shared" si="0"/>
        <v>581</v>
      </c>
      <c r="Z16" s="122">
        <f t="shared" si="1"/>
        <v>0.30286330658111615</v>
      </c>
      <c r="AA16" s="128">
        <f t="shared" si="26"/>
        <v>2.7</v>
      </c>
      <c r="AB16" s="128">
        <v>1</v>
      </c>
      <c r="AC16" s="129">
        <f t="shared" si="18"/>
        <v>1.2328767123287672</v>
      </c>
      <c r="AD16" s="130">
        <f t="shared" si="27"/>
        <v>0.3</v>
      </c>
      <c r="AE16" s="131">
        <f t="shared" si="19"/>
        <v>0.13698630136986301</v>
      </c>
      <c r="AF16" s="128">
        <f t="shared" si="28"/>
        <v>8.6999999999999994E-2</v>
      </c>
      <c r="AG16" s="121">
        <f t="shared" si="2"/>
        <v>6.6158733768953795</v>
      </c>
      <c r="AH16" s="125">
        <f t="shared" si="29"/>
        <v>0.8195508933778024</v>
      </c>
      <c r="AI16" s="125">
        <f t="shared" si="30"/>
        <v>2.1491794319490021</v>
      </c>
      <c r="AJ16" s="122">
        <f t="shared" si="31"/>
        <v>6.6909120134212532E-2</v>
      </c>
      <c r="AK16" s="121">
        <f t="shared" si="3"/>
        <v>0.83732782990464338</v>
      </c>
      <c r="AL16" s="121">
        <f t="shared" si="4"/>
        <v>0.91965394349154128</v>
      </c>
      <c r="AM16" s="121">
        <f t="shared" si="5"/>
        <v>0.86597280641296126</v>
      </c>
      <c r="AN16" s="121">
        <f t="shared" si="20"/>
        <v>1.9804403514963009</v>
      </c>
      <c r="AO16" s="121">
        <f t="shared" si="32"/>
        <v>3.0783252801259673</v>
      </c>
      <c r="AP16" s="121">
        <f t="shared" si="33"/>
        <v>3.3406072401508209</v>
      </c>
    </row>
    <row r="17" spans="1:42">
      <c r="A17" s="105">
        <f t="shared" si="6"/>
        <v>954.0947915469485</v>
      </c>
      <c r="B17" s="106">
        <f t="shared" si="7"/>
        <v>3434.7412495690146</v>
      </c>
      <c r="C17" s="107">
        <f t="shared" si="21"/>
        <v>0.95409479154694854</v>
      </c>
      <c r="D17" s="108">
        <f t="shared" si="34"/>
        <v>6.7000000000000004E-2</v>
      </c>
      <c r="E17" s="108">
        <f t="shared" si="8"/>
        <v>1.0999999999999999E-2</v>
      </c>
      <c r="F17" s="108">
        <f t="shared" si="8"/>
        <v>710</v>
      </c>
      <c r="G17" s="108">
        <f t="shared" si="8"/>
        <v>64.5</v>
      </c>
      <c r="H17" s="108">
        <f t="shared" si="8"/>
        <v>0.58099999999999996</v>
      </c>
      <c r="I17" s="113">
        <f t="shared" si="9"/>
        <v>0.30867330658111614</v>
      </c>
      <c r="J17" s="114">
        <f t="shared" si="35"/>
        <v>0.53127935728247189</v>
      </c>
      <c r="K17" s="115">
        <f t="shared" si="10"/>
        <v>0.57986198677929823</v>
      </c>
      <c r="L17" s="115">
        <f t="shared" si="11"/>
        <v>1.5081967353111121</v>
      </c>
      <c r="M17" s="112">
        <f t="shared" si="12"/>
        <v>0.14311169472275509</v>
      </c>
      <c r="N17" s="116">
        <f t="shared" si="13"/>
        <v>0.94900302851991358</v>
      </c>
      <c r="O17" s="115">
        <f t="shared" si="14"/>
        <v>0.15080214753998764</v>
      </c>
      <c r="P17" s="117">
        <f t="shared" si="15"/>
        <v>6.6667842442595662</v>
      </c>
      <c r="Q17" s="115">
        <f t="shared" si="16"/>
        <v>2.5740154146090264</v>
      </c>
      <c r="R17" s="115">
        <f t="shared" si="17"/>
        <v>4.284564192899234</v>
      </c>
      <c r="S17" s="119">
        <f t="shared" si="22"/>
        <v>0.95409479154694854</v>
      </c>
      <c r="T17" s="119">
        <f t="shared" si="23"/>
        <v>0.95409479154694854</v>
      </c>
      <c r="U17" s="112">
        <f t="shared" si="24"/>
        <v>0</v>
      </c>
      <c r="V17" s="127"/>
      <c r="W17" s="128">
        <f t="shared" si="25"/>
        <v>710</v>
      </c>
      <c r="X17" s="128">
        <f t="shared" si="25"/>
        <v>64.5</v>
      </c>
      <c r="Y17" s="129">
        <f t="shared" si="0"/>
        <v>581</v>
      </c>
      <c r="Z17" s="122">
        <f t="shared" si="1"/>
        <v>0.30867330658111614</v>
      </c>
      <c r="AA17" s="128">
        <f t="shared" si="26"/>
        <v>2.7</v>
      </c>
      <c r="AB17" s="128">
        <v>1</v>
      </c>
      <c r="AC17" s="129">
        <f t="shared" si="18"/>
        <v>1.2328767123287672</v>
      </c>
      <c r="AD17" s="130">
        <f t="shared" si="27"/>
        <v>0.3</v>
      </c>
      <c r="AE17" s="131">
        <f t="shared" si="19"/>
        <v>0.13698630136986301</v>
      </c>
      <c r="AF17" s="128">
        <f t="shared" si="28"/>
        <v>8.6999999999999994E-2</v>
      </c>
      <c r="AG17" s="121">
        <f t="shared" si="2"/>
        <v>6.6667842442595662</v>
      </c>
      <c r="AH17" s="125">
        <f t="shared" si="29"/>
        <v>0.8195508933778024</v>
      </c>
      <c r="AI17" s="125">
        <f t="shared" si="30"/>
        <v>2.1491794319490021</v>
      </c>
      <c r="AJ17" s="122">
        <f t="shared" si="31"/>
        <v>6.7334264985855277E-2</v>
      </c>
      <c r="AK17" s="121">
        <f t="shared" si="3"/>
        <v>0.83732782990464338</v>
      </c>
      <c r="AL17" s="121">
        <f t="shared" si="4"/>
        <v>0.91965394349154128</v>
      </c>
      <c r="AM17" s="121">
        <f t="shared" si="5"/>
        <v>0.86597280641296126</v>
      </c>
      <c r="AN17" s="121">
        <f t="shared" si="20"/>
        <v>1.9804403514963009</v>
      </c>
      <c r="AO17" s="121">
        <f t="shared" si="32"/>
        <v>3.1020137942664632</v>
      </c>
      <c r="AP17" s="121">
        <f t="shared" si="33"/>
        <v>3.3663140822305238</v>
      </c>
    </row>
    <row r="18" spans="1:42">
      <c r="A18" s="105">
        <f t="shared" si="6"/>
        <v>983.75995242830004</v>
      </c>
      <c r="B18" s="106">
        <f t="shared" si="7"/>
        <v>3541.5358287418803</v>
      </c>
      <c r="C18" s="107">
        <f t="shared" si="21"/>
        <v>0.98375995242830006</v>
      </c>
      <c r="D18" s="108">
        <f t="shared" si="34"/>
        <v>6.7000000000000004E-2</v>
      </c>
      <c r="E18" s="108">
        <f t="shared" si="8"/>
        <v>1.0999999999999999E-2</v>
      </c>
      <c r="F18" s="108">
        <f t="shared" si="8"/>
        <v>710</v>
      </c>
      <c r="G18" s="108">
        <f t="shared" si="8"/>
        <v>64.5</v>
      </c>
      <c r="H18" s="108">
        <f t="shared" si="8"/>
        <v>0.58099999999999996</v>
      </c>
      <c r="I18" s="113">
        <f t="shared" si="9"/>
        <v>0.31448330658111617</v>
      </c>
      <c r="J18" s="114">
        <f t="shared" si="35"/>
        <v>0.5412793572824719</v>
      </c>
      <c r="K18" s="115">
        <f t="shared" si="10"/>
        <v>0.57901658354639962</v>
      </c>
      <c r="L18" s="115">
        <f t="shared" si="11"/>
        <v>1.4881435375070959</v>
      </c>
      <c r="M18" s="112">
        <f t="shared" si="12"/>
        <v>0.14647835038786969</v>
      </c>
      <c r="N18" s="116">
        <f t="shared" si="13"/>
        <v>0.96065393644404695</v>
      </c>
      <c r="O18" s="115">
        <f t="shared" si="14"/>
        <v>0.15247774961509386</v>
      </c>
      <c r="P18" s="117">
        <f t="shared" si="15"/>
        <v>6.7160774942053703</v>
      </c>
      <c r="Q18" s="115">
        <f t="shared" si="16"/>
        <v>2.6134484904838624</v>
      </c>
      <c r="R18" s="115">
        <f t="shared" si="17"/>
        <v>4.2632419041784448</v>
      </c>
      <c r="S18" s="119">
        <f t="shared" si="22"/>
        <v>0.98375995242830006</v>
      </c>
      <c r="T18" s="119">
        <f t="shared" si="23"/>
        <v>0.98375995242830006</v>
      </c>
      <c r="U18" s="112">
        <f t="shared" si="24"/>
        <v>0</v>
      </c>
      <c r="V18" s="127"/>
      <c r="W18" s="128">
        <f t="shared" si="25"/>
        <v>710</v>
      </c>
      <c r="X18" s="128">
        <f t="shared" si="25"/>
        <v>64.5</v>
      </c>
      <c r="Y18" s="129">
        <f t="shared" si="0"/>
        <v>581</v>
      </c>
      <c r="Z18" s="122">
        <f t="shared" si="1"/>
        <v>0.31448330658111617</v>
      </c>
      <c r="AA18" s="128">
        <f t="shared" si="26"/>
        <v>2.7</v>
      </c>
      <c r="AB18" s="128">
        <v>1</v>
      </c>
      <c r="AC18" s="129">
        <f t="shared" si="18"/>
        <v>1.2328767123287672</v>
      </c>
      <c r="AD18" s="130">
        <f t="shared" si="27"/>
        <v>0.3</v>
      </c>
      <c r="AE18" s="131">
        <f t="shared" si="19"/>
        <v>0.13698630136986301</v>
      </c>
      <c r="AF18" s="128">
        <f t="shared" si="28"/>
        <v>8.6999999999999994E-2</v>
      </c>
      <c r="AG18" s="121">
        <f t="shared" si="2"/>
        <v>6.7160774942053703</v>
      </c>
      <c r="AH18" s="125">
        <f t="shared" si="29"/>
        <v>0.8195508933778024</v>
      </c>
      <c r="AI18" s="125">
        <f t="shared" si="30"/>
        <v>2.1491794319490021</v>
      </c>
      <c r="AJ18" s="122">
        <f t="shared" si="31"/>
        <v>6.7754107898569227E-2</v>
      </c>
      <c r="AK18" s="121">
        <f t="shared" si="3"/>
        <v>0.83732782990464338</v>
      </c>
      <c r="AL18" s="121">
        <f t="shared" si="4"/>
        <v>0.91965394349154128</v>
      </c>
      <c r="AM18" s="121">
        <f t="shared" si="5"/>
        <v>0.86597280641296126</v>
      </c>
      <c r="AN18" s="121">
        <f t="shared" si="20"/>
        <v>1.9804403514963009</v>
      </c>
      <c r="AO18" s="121">
        <f t="shared" si="32"/>
        <v>3.1249496409496329</v>
      </c>
      <c r="AP18" s="121">
        <f t="shared" si="33"/>
        <v>3.3912041274715032</v>
      </c>
    </row>
    <row r="19" spans="1:42" s="142" customFormat="1">
      <c r="A19" s="105">
        <f t="shared" si="6"/>
        <v>1013.4774249479688</v>
      </c>
      <c r="B19" s="132">
        <f t="shared" si="7"/>
        <v>3648.5187298126875</v>
      </c>
      <c r="C19" s="133">
        <f t="shared" si="21"/>
        <v>1.0134774249479688</v>
      </c>
      <c r="D19" s="134">
        <f t="shared" si="34"/>
        <v>6.7000000000000004E-2</v>
      </c>
      <c r="E19" s="134">
        <f t="shared" si="8"/>
        <v>1.0999999999999999E-2</v>
      </c>
      <c r="F19" s="134">
        <f t="shared" si="8"/>
        <v>710</v>
      </c>
      <c r="G19" s="134">
        <f t="shared" si="8"/>
        <v>64.5</v>
      </c>
      <c r="H19" s="134">
        <f t="shared" si="8"/>
        <v>0.58099999999999996</v>
      </c>
      <c r="I19" s="135">
        <f t="shared" si="9"/>
        <v>0.32029330658111616</v>
      </c>
      <c r="J19" s="136">
        <f t="shared" si="35"/>
        <v>0.5512793572824719</v>
      </c>
      <c r="K19" s="137">
        <f t="shared" si="10"/>
        <v>0.57793635941326138</v>
      </c>
      <c r="L19" s="137">
        <f t="shared" si="11"/>
        <v>1.4680569654917561</v>
      </c>
      <c r="M19" s="138">
        <f t="shared" si="12"/>
        <v>0.14983941267270204</v>
      </c>
      <c r="N19" s="137">
        <f t="shared" si="13"/>
        <v>0.97232423478495944</v>
      </c>
      <c r="O19" s="137">
        <f t="shared" si="14"/>
        <v>0.15410436900797883</v>
      </c>
      <c r="P19" s="139">
        <f t="shared" si="15"/>
        <v>6.763757324394569</v>
      </c>
      <c r="Q19" s="137">
        <f t="shared" si="16"/>
        <v>2.6520167083803603</v>
      </c>
      <c r="R19" s="137">
        <f t="shared" si="17"/>
        <v>4.2411193233219802</v>
      </c>
      <c r="S19" s="140">
        <f t="shared" si="22"/>
        <v>1.0134774249479688</v>
      </c>
      <c r="T19" s="140">
        <f t="shared" si="23"/>
        <v>1.0134774249479688</v>
      </c>
      <c r="U19" s="138">
        <f t="shared" si="24"/>
        <v>0</v>
      </c>
      <c r="V19" s="141"/>
      <c r="W19" s="128">
        <f t="shared" si="25"/>
        <v>710</v>
      </c>
      <c r="X19" s="128">
        <f t="shared" si="25"/>
        <v>64.5</v>
      </c>
      <c r="Y19" s="129">
        <f t="shared" si="0"/>
        <v>581</v>
      </c>
      <c r="Z19" s="122">
        <f t="shared" si="1"/>
        <v>0.32029330658111616</v>
      </c>
      <c r="AA19" s="128">
        <f t="shared" si="26"/>
        <v>2.7</v>
      </c>
      <c r="AB19" s="128">
        <v>1</v>
      </c>
      <c r="AC19" s="129">
        <f t="shared" si="18"/>
        <v>1.2328767123287672</v>
      </c>
      <c r="AD19" s="130">
        <f t="shared" si="27"/>
        <v>0.3</v>
      </c>
      <c r="AE19" s="131">
        <f t="shared" si="19"/>
        <v>0.13698630136986301</v>
      </c>
      <c r="AF19" s="128">
        <f t="shared" si="28"/>
        <v>8.6999999999999994E-2</v>
      </c>
      <c r="AG19" s="121">
        <f t="shared" si="2"/>
        <v>6.763757324394569</v>
      </c>
      <c r="AH19" s="125">
        <f t="shared" si="29"/>
        <v>0.8195508933778024</v>
      </c>
      <c r="AI19" s="125">
        <f t="shared" si="30"/>
        <v>2.1491794319490021</v>
      </c>
      <c r="AJ19" s="122">
        <f t="shared" si="31"/>
        <v>6.8168811142932703E-2</v>
      </c>
      <c r="AK19" s="121">
        <f t="shared" si="3"/>
        <v>0.83732782990464338</v>
      </c>
      <c r="AL19" s="121">
        <f t="shared" si="4"/>
        <v>0.91965394349154128</v>
      </c>
      <c r="AM19" s="121">
        <f t="shared" si="5"/>
        <v>0.86597280641296126</v>
      </c>
      <c r="AN19" s="121">
        <f t="shared" si="20"/>
        <v>1.9804403514963009</v>
      </c>
      <c r="AO19" s="121">
        <f t="shared" si="32"/>
        <v>3.1471347733217403</v>
      </c>
      <c r="AP19" s="121">
        <f t="shared" si="33"/>
        <v>3.4152794954335701</v>
      </c>
    </row>
    <row r="20" spans="1:42" s="142" customFormat="1">
      <c r="A20" s="105">
        <f t="shared" si="6"/>
        <v>1043.2212549123067</v>
      </c>
      <c r="B20" s="132">
        <f t="shared" si="7"/>
        <v>3755.5965176843042</v>
      </c>
      <c r="C20" s="133">
        <f t="shared" si="21"/>
        <v>1.0432212549123068</v>
      </c>
      <c r="D20" s="134">
        <f t="shared" si="34"/>
        <v>6.7000000000000004E-2</v>
      </c>
      <c r="E20" s="134">
        <f t="shared" si="8"/>
        <v>1.0999999999999999E-2</v>
      </c>
      <c r="F20" s="134">
        <f t="shared" si="8"/>
        <v>710</v>
      </c>
      <c r="G20" s="134">
        <f t="shared" si="8"/>
        <v>64.5</v>
      </c>
      <c r="H20" s="134">
        <f t="shared" si="8"/>
        <v>0.58099999999999996</v>
      </c>
      <c r="I20" s="135">
        <f t="shared" si="9"/>
        <v>0.32610330658111614</v>
      </c>
      <c r="J20" s="136">
        <f t="shared" si="35"/>
        <v>0.56127935728247191</v>
      </c>
      <c r="K20" s="137">
        <f t="shared" si="10"/>
        <v>0.57661999466023039</v>
      </c>
      <c r="L20" s="137">
        <f t="shared" si="11"/>
        <v>1.447928701264567</v>
      </c>
      <c r="M20" s="138">
        <f t="shared" si="12"/>
        <v>0.15319351357805877</v>
      </c>
      <c r="N20" s="137">
        <f t="shared" si="13"/>
        <v>0.98401875630095637</v>
      </c>
      <c r="O20" s="137">
        <f t="shared" si="14"/>
        <v>0.15568149752950994</v>
      </c>
      <c r="P20" s="139">
        <f t="shared" si="15"/>
        <v>6.8098265425627185</v>
      </c>
      <c r="Q20" s="137">
        <f t="shared" si="16"/>
        <v>2.6896984920954741</v>
      </c>
      <c r="R20" s="137">
        <f t="shared" si="17"/>
        <v>4.2181906676039356</v>
      </c>
      <c r="S20" s="140">
        <f t="shared" si="22"/>
        <v>1.0432212549123068</v>
      </c>
      <c r="T20" s="140">
        <f t="shared" si="23"/>
        <v>1.0432212549123068</v>
      </c>
      <c r="U20" s="138">
        <f t="shared" si="24"/>
        <v>0</v>
      </c>
      <c r="V20" s="141"/>
      <c r="W20" s="128">
        <f t="shared" si="25"/>
        <v>710</v>
      </c>
      <c r="X20" s="128">
        <f t="shared" si="25"/>
        <v>64.5</v>
      </c>
      <c r="Y20" s="129">
        <f t="shared" si="0"/>
        <v>581</v>
      </c>
      <c r="Z20" s="122">
        <f t="shared" si="1"/>
        <v>0.32610330658111614</v>
      </c>
      <c r="AA20" s="128">
        <f t="shared" si="26"/>
        <v>2.7</v>
      </c>
      <c r="AB20" s="128">
        <v>1</v>
      </c>
      <c r="AC20" s="129">
        <f t="shared" si="18"/>
        <v>1.2328767123287672</v>
      </c>
      <c r="AD20" s="130">
        <f t="shared" si="27"/>
        <v>0.3</v>
      </c>
      <c r="AE20" s="131">
        <f t="shared" si="19"/>
        <v>0.13698630136986301</v>
      </c>
      <c r="AF20" s="128">
        <f t="shared" si="28"/>
        <v>8.6999999999999994E-2</v>
      </c>
      <c r="AG20" s="121">
        <f t="shared" si="2"/>
        <v>6.8098265425627185</v>
      </c>
      <c r="AH20" s="125">
        <f t="shared" si="29"/>
        <v>0.8195508933778024</v>
      </c>
      <c r="AI20" s="125">
        <f t="shared" si="30"/>
        <v>2.1491794319490021</v>
      </c>
      <c r="AJ20" s="122">
        <f t="shared" si="31"/>
        <v>6.8578529186235332E-2</v>
      </c>
      <c r="AK20" s="121">
        <f t="shared" si="3"/>
        <v>0.83732782990464338</v>
      </c>
      <c r="AL20" s="121">
        <f t="shared" si="4"/>
        <v>0.91965394349154128</v>
      </c>
      <c r="AM20" s="121">
        <f t="shared" si="5"/>
        <v>0.86597280641296126</v>
      </c>
      <c r="AN20" s="121">
        <f t="shared" si="20"/>
        <v>1.9804403514963009</v>
      </c>
      <c r="AO20" s="121">
        <f t="shared" si="32"/>
        <v>3.1685704978049078</v>
      </c>
      <c r="AP20" s="121">
        <f t="shared" si="33"/>
        <v>3.4385416038496821</v>
      </c>
    </row>
    <row r="21" spans="1:42" s="142" customFormat="1">
      <c r="A21" s="105">
        <f t="shared" si="6"/>
        <v>1072.965059941733</v>
      </c>
      <c r="B21" s="132">
        <f t="shared" si="7"/>
        <v>3862.674215790239</v>
      </c>
      <c r="C21" s="133">
        <f t="shared" si="21"/>
        <v>1.0729650599417331</v>
      </c>
      <c r="D21" s="134">
        <f t="shared" si="34"/>
        <v>6.7000000000000004E-2</v>
      </c>
      <c r="E21" s="134">
        <f t="shared" si="8"/>
        <v>1.0999999999999999E-2</v>
      </c>
      <c r="F21" s="134">
        <f t="shared" si="8"/>
        <v>710</v>
      </c>
      <c r="G21" s="134">
        <f t="shared" si="8"/>
        <v>64.5</v>
      </c>
      <c r="H21" s="134">
        <f t="shared" si="8"/>
        <v>0.58099999999999996</v>
      </c>
      <c r="I21" s="135">
        <f t="shared" si="9"/>
        <v>0.33191330658111617</v>
      </c>
      <c r="J21" s="136">
        <f t="shared" si="35"/>
        <v>0.57127935728247192</v>
      </c>
      <c r="K21" s="137">
        <f t="shared" si="10"/>
        <v>0.57506586766393453</v>
      </c>
      <c r="L21" s="137">
        <f t="shared" si="11"/>
        <v>1.427750272229132</v>
      </c>
      <c r="M21" s="138">
        <f t="shared" si="12"/>
        <v>0.15653927656457256</v>
      </c>
      <c r="N21" s="137">
        <f t="shared" si="13"/>
        <v>0.9957424235705441</v>
      </c>
      <c r="O21" s="137">
        <f t="shared" si="14"/>
        <v>0.15720860421237484</v>
      </c>
      <c r="P21" s="139">
        <f t="shared" si="15"/>
        <v>6.8542865630219918</v>
      </c>
      <c r="Q21" s="137">
        <f t="shared" si="16"/>
        <v>2.7264721387943593</v>
      </c>
      <c r="R21" s="137">
        <f t="shared" si="17"/>
        <v>4.1944487097938321</v>
      </c>
      <c r="S21" s="140">
        <f t="shared" si="22"/>
        <v>1.0729650599417331</v>
      </c>
      <c r="T21" s="140">
        <f t="shared" si="23"/>
        <v>1.0729650599417331</v>
      </c>
      <c r="U21" s="138">
        <f t="shared" si="24"/>
        <v>0</v>
      </c>
      <c r="V21" s="141"/>
      <c r="W21" s="128">
        <f t="shared" si="25"/>
        <v>710</v>
      </c>
      <c r="X21" s="128">
        <f t="shared" si="25"/>
        <v>64.5</v>
      </c>
      <c r="Y21" s="129">
        <f t="shared" si="0"/>
        <v>581</v>
      </c>
      <c r="Z21" s="122">
        <f t="shared" si="1"/>
        <v>0.33191330658111617</v>
      </c>
      <c r="AA21" s="128">
        <f t="shared" si="26"/>
        <v>2.7</v>
      </c>
      <c r="AB21" s="128">
        <v>1</v>
      </c>
      <c r="AC21" s="129">
        <f t="shared" si="18"/>
        <v>1.2328767123287672</v>
      </c>
      <c r="AD21" s="130">
        <f t="shared" si="27"/>
        <v>0.3</v>
      </c>
      <c r="AE21" s="131">
        <f t="shared" si="19"/>
        <v>0.13698630136986301</v>
      </c>
      <c r="AF21" s="128">
        <f t="shared" si="28"/>
        <v>8.6999999999999994E-2</v>
      </c>
      <c r="AG21" s="121">
        <f t="shared" si="2"/>
        <v>6.8542865630219918</v>
      </c>
      <c r="AH21" s="125">
        <f t="shared" si="29"/>
        <v>0.8195508933778024</v>
      </c>
      <c r="AI21" s="125">
        <f t="shared" si="30"/>
        <v>2.1491794319490021</v>
      </c>
      <c r="AJ21" s="122">
        <f t="shared" si="31"/>
        <v>6.8983409199318696E-2</v>
      </c>
      <c r="AK21" s="121">
        <f t="shared" si="3"/>
        <v>0.83732782990464338</v>
      </c>
      <c r="AL21" s="121">
        <f t="shared" si="4"/>
        <v>0.91965394349154128</v>
      </c>
      <c r="AM21" s="121">
        <f t="shared" si="5"/>
        <v>0.86597280641296126</v>
      </c>
      <c r="AN21" s="121">
        <f t="shared" si="20"/>
        <v>1.9804403514963009</v>
      </c>
      <c r="AO21" s="121">
        <f t="shared" si="32"/>
        <v>3.1892574724699103</v>
      </c>
      <c r="AP21" s="121">
        <f t="shared" si="33"/>
        <v>3.4609911668600915</v>
      </c>
    </row>
    <row r="22" spans="1:42" s="142" customFormat="1">
      <c r="A22" s="105">
        <f t="shared" si="6"/>
        <v>1102.6820121108965</v>
      </c>
      <c r="B22" s="132">
        <f t="shared" si="7"/>
        <v>3969.6552435992271</v>
      </c>
      <c r="C22" s="133">
        <f t="shared" si="21"/>
        <v>1.1026820121108964</v>
      </c>
      <c r="D22" s="134">
        <f t="shared" si="34"/>
        <v>6.7000000000000004E-2</v>
      </c>
      <c r="E22" s="134">
        <f t="shared" si="34"/>
        <v>1.0999999999999999E-2</v>
      </c>
      <c r="F22" s="134">
        <f t="shared" si="34"/>
        <v>710</v>
      </c>
      <c r="G22" s="134">
        <f t="shared" si="34"/>
        <v>64.5</v>
      </c>
      <c r="H22" s="134">
        <f t="shared" si="34"/>
        <v>0.58099999999999996</v>
      </c>
      <c r="I22" s="135">
        <f t="shared" si="9"/>
        <v>0.33772330658111616</v>
      </c>
      <c r="J22" s="136">
        <f t="shared" si="35"/>
        <v>0.58127935728247193</v>
      </c>
      <c r="K22" s="137">
        <f t="shared" si="10"/>
        <v>0.57327204472412885</v>
      </c>
      <c r="L22" s="137">
        <f t="shared" si="11"/>
        <v>1.4075130175074408</v>
      </c>
      <c r="M22" s="138">
        <f t="shared" si="12"/>
        <v>0.15987531477009415</v>
      </c>
      <c r="N22" s="137">
        <f t="shared" si="13"/>
        <v>1.0075002685638466</v>
      </c>
      <c r="O22" s="137">
        <f t="shared" si="14"/>
        <v>0.15868513365062459</v>
      </c>
      <c r="P22" s="139">
        <f t="shared" si="15"/>
        <v>6.8971373954546307</v>
      </c>
      <c r="Q22" s="137">
        <f t="shared" si="16"/>
        <v>2.7623157760907331</v>
      </c>
      <c r="R22" s="137">
        <f t="shared" si="17"/>
        <v>4.1698847288964833</v>
      </c>
      <c r="S22" s="140">
        <f t="shared" si="22"/>
        <v>1.1026820121108964</v>
      </c>
      <c r="T22" s="140">
        <f t="shared" si="23"/>
        <v>1.1026820121108964</v>
      </c>
      <c r="U22" s="138">
        <f t="shared" si="24"/>
        <v>0</v>
      </c>
      <c r="V22" s="141"/>
      <c r="W22" s="128">
        <f t="shared" si="25"/>
        <v>710</v>
      </c>
      <c r="X22" s="128">
        <f t="shared" si="25"/>
        <v>64.5</v>
      </c>
      <c r="Y22" s="129">
        <f t="shared" si="0"/>
        <v>581</v>
      </c>
      <c r="Z22" s="122">
        <f t="shared" si="1"/>
        <v>0.33772330658111616</v>
      </c>
      <c r="AA22" s="128">
        <f t="shared" si="26"/>
        <v>2.7</v>
      </c>
      <c r="AB22" s="128">
        <v>1</v>
      </c>
      <c r="AC22" s="129">
        <f t="shared" si="18"/>
        <v>1.2328767123287672</v>
      </c>
      <c r="AD22" s="130">
        <f t="shared" si="27"/>
        <v>0.3</v>
      </c>
      <c r="AE22" s="131">
        <f t="shared" si="19"/>
        <v>0.13698630136986301</v>
      </c>
      <c r="AF22" s="128">
        <f t="shared" si="28"/>
        <v>8.6999999999999994E-2</v>
      </c>
      <c r="AG22" s="121">
        <f t="shared" si="2"/>
        <v>6.8971373954546307</v>
      </c>
      <c r="AH22" s="125">
        <f t="shared" si="29"/>
        <v>0.8195508933778024</v>
      </c>
      <c r="AI22" s="125">
        <f t="shared" si="30"/>
        <v>2.1491794319490021</v>
      </c>
      <c r="AJ22" s="122">
        <f t="shared" si="31"/>
        <v>6.9383591522246282E-2</v>
      </c>
      <c r="AK22" s="121">
        <f t="shared" si="3"/>
        <v>0.83732782990464338</v>
      </c>
      <c r="AL22" s="121">
        <f t="shared" si="4"/>
        <v>0.91965394349154128</v>
      </c>
      <c r="AM22" s="121">
        <f t="shared" si="5"/>
        <v>0.86597280641296126</v>
      </c>
      <c r="AN22" s="121">
        <f t="shared" si="20"/>
        <v>1.9804403514963009</v>
      </c>
      <c r="AO22" s="121">
        <f t="shared" si="32"/>
        <v>3.2091957018218351</v>
      </c>
      <c r="AP22" s="121">
        <f t="shared" si="33"/>
        <v>3.4826281893537319</v>
      </c>
    </row>
    <row r="23" spans="1:42" s="142" customFormat="1">
      <c r="A23" s="105">
        <f t="shared" si="6"/>
        <v>1132.3448185281359</v>
      </c>
      <c r="B23" s="132">
        <f t="shared" si="7"/>
        <v>4076.4413467012896</v>
      </c>
      <c r="C23" s="133">
        <f t="shared" si="21"/>
        <v>1.132344818528136</v>
      </c>
      <c r="D23" s="134">
        <f t="shared" ref="D23:H38" si="36">D22</f>
        <v>6.7000000000000004E-2</v>
      </c>
      <c r="E23" s="134">
        <f t="shared" si="36"/>
        <v>1.0999999999999999E-2</v>
      </c>
      <c r="F23" s="134">
        <f t="shared" si="36"/>
        <v>710</v>
      </c>
      <c r="G23" s="134">
        <f t="shared" si="36"/>
        <v>64.5</v>
      </c>
      <c r="H23" s="134">
        <f t="shared" si="36"/>
        <v>0.58099999999999996</v>
      </c>
      <c r="I23" s="135">
        <f t="shared" si="9"/>
        <v>0.34353330658111619</v>
      </c>
      <c r="J23" s="136">
        <f t="shared" si="35"/>
        <v>0.59127935728247194</v>
      </c>
      <c r="K23" s="137">
        <f t="shared" si="10"/>
        <v>0.5712362677319196</v>
      </c>
      <c r="L23" s="137">
        <f t="shared" si="11"/>
        <v>1.3872080522484143</v>
      </c>
      <c r="M23" s="138">
        <f t="shared" si="12"/>
        <v>0.163200229161789</v>
      </c>
      <c r="N23" s="137">
        <f t="shared" si="13"/>
        <v>1.0192974533793411</v>
      </c>
      <c r="O23" s="137">
        <f t="shared" si="14"/>
        <v>0.16011050417198727</v>
      </c>
      <c r="P23" s="139">
        <f t="shared" si="15"/>
        <v>6.938377625717564</v>
      </c>
      <c r="Q23" s="137">
        <f t="shared" si="16"/>
        <v>2.7972073166248523</v>
      </c>
      <c r="R23" s="137">
        <f t="shared" si="17"/>
        <v>4.1444884491169134</v>
      </c>
      <c r="S23" s="140">
        <f t="shared" si="22"/>
        <v>1.132344818528136</v>
      </c>
      <c r="T23" s="140">
        <f t="shared" si="23"/>
        <v>1.132344818528136</v>
      </c>
      <c r="U23" s="138">
        <f t="shared" si="24"/>
        <v>0</v>
      </c>
      <c r="V23" s="141"/>
      <c r="W23" s="128">
        <f t="shared" ref="W23:X38" si="37">W22</f>
        <v>710</v>
      </c>
      <c r="X23" s="128">
        <f t="shared" si="37"/>
        <v>64.5</v>
      </c>
      <c r="Y23" s="129">
        <f t="shared" si="0"/>
        <v>581</v>
      </c>
      <c r="Z23" s="122">
        <f t="shared" si="1"/>
        <v>0.34353330658111619</v>
      </c>
      <c r="AA23" s="128">
        <f t="shared" si="26"/>
        <v>2.7</v>
      </c>
      <c r="AB23" s="128">
        <v>1</v>
      </c>
      <c r="AC23" s="129">
        <f t="shared" si="18"/>
        <v>1.2328767123287672</v>
      </c>
      <c r="AD23" s="130">
        <f t="shared" si="27"/>
        <v>0.3</v>
      </c>
      <c r="AE23" s="131">
        <f t="shared" si="19"/>
        <v>0.13698630136986301</v>
      </c>
      <c r="AF23" s="128">
        <f t="shared" si="28"/>
        <v>8.6999999999999994E-2</v>
      </c>
      <c r="AG23" s="121">
        <f t="shared" si="2"/>
        <v>6.938377625717564</v>
      </c>
      <c r="AH23" s="125">
        <f t="shared" si="29"/>
        <v>0.8195508933778024</v>
      </c>
      <c r="AI23" s="125">
        <f t="shared" si="30"/>
        <v>2.1491794319490021</v>
      </c>
      <c r="AJ23" s="122">
        <f t="shared" si="31"/>
        <v>6.9779210092794294E-2</v>
      </c>
      <c r="AK23" s="121">
        <f t="shared" si="3"/>
        <v>0.83732782990464338</v>
      </c>
      <c r="AL23" s="121">
        <f t="shared" si="4"/>
        <v>0.91965394349154128</v>
      </c>
      <c r="AM23" s="121">
        <f t="shared" si="5"/>
        <v>0.86597280641296126</v>
      </c>
      <c r="AN23" s="121">
        <f t="shared" si="20"/>
        <v>1.9804403514963009</v>
      </c>
      <c r="AO23" s="121">
        <f t="shared" si="32"/>
        <v>3.2283845278685903</v>
      </c>
      <c r="AP23" s="121">
        <f t="shared" si="33"/>
        <v>3.503451957275737</v>
      </c>
    </row>
    <row r="24" spans="1:42" s="142" customFormat="1">
      <c r="A24" s="105">
        <f t="shared" si="6"/>
        <v>1161.9256996243946</v>
      </c>
      <c r="B24" s="132">
        <f t="shared" si="7"/>
        <v>4182.9325186478209</v>
      </c>
      <c r="C24" s="133">
        <f t="shared" si="21"/>
        <v>1.1619256996243947</v>
      </c>
      <c r="D24" s="134">
        <f t="shared" si="36"/>
        <v>6.7000000000000004E-2</v>
      </c>
      <c r="E24" s="134">
        <f t="shared" si="36"/>
        <v>1.0999999999999999E-2</v>
      </c>
      <c r="F24" s="134">
        <f t="shared" si="36"/>
        <v>710</v>
      </c>
      <c r="G24" s="134">
        <f t="shared" si="36"/>
        <v>64.5</v>
      </c>
      <c r="H24" s="134">
        <f t="shared" si="36"/>
        <v>0.58099999999999996</v>
      </c>
      <c r="I24" s="135">
        <f t="shared" si="9"/>
        <v>0.34934330658111618</v>
      </c>
      <c r="J24" s="136">
        <f t="shared" si="35"/>
        <v>0.60127935728247195</v>
      </c>
      <c r="K24" s="137">
        <f t="shared" si="10"/>
        <v>0.56895593949127821</v>
      </c>
      <c r="L24" s="137">
        <f t="shared" si="11"/>
        <v>1.3668262294998796</v>
      </c>
      <c r="M24" s="138">
        <f t="shared" si="12"/>
        <v>0.16651260660986994</v>
      </c>
      <c r="N24" s="137">
        <f t="shared" si="13"/>
        <v>1.0311392923962397</v>
      </c>
      <c r="O24" s="137">
        <f t="shared" si="14"/>
        <v>0.1614841058213535</v>
      </c>
      <c r="P24" s="139">
        <f t="shared" si="15"/>
        <v>6.9780043882606675</v>
      </c>
      <c r="Q24" s="137">
        <f t="shared" si="16"/>
        <v>2.8311244096690436</v>
      </c>
      <c r="R24" s="137">
        <f t="shared" si="17"/>
        <v>4.1182479660247191</v>
      </c>
      <c r="S24" s="140">
        <f t="shared" si="22"/>
        <v>1.1619256996243947</v>
      </c>
      <c r="T24" s="140">
        <f t="shared" si="23"/>
        <v>1.1619256996243947</v>
      </c>
      <c r="U24" s="138">
        <f t="shared" si="24"/>
        <v>0</v>
      </c>
      <c r="V24" s="141"/>
      <c r="W24" s="128">
        <f t="shared" si="37"/>
        <v>710</v>
      </c>
      <c r="X24" s="128">
        <f t="shared" si="37"/>
        <v>64.5</v>
      </c>
      <c r="Y24" s="129">
        <f t="shared" si="0"/>
        <v>581</v>
      </c>
      <c r="Z24" s="122">
        <f t="shared" si="1"/>
        <v>0.34934330658111618</v>
      </c>
      <c r="AA24" s="128">
        <f t="shared" si="26"/>
        <v>2.7</v>
      </c>
      <c r="AB24" s="128">
        <v>1</v>
      </c>
      <c r="AC24" s="129">
        <f t="shared" si="18"/>
        <v>1.2328767123287672</v>
      </c>
      <c r="AD24" s="130">
        <f t="shared" si="27"/>
        <v>0.3</v>
      </c>
      <c r="AE24" s="131">
        <f t="shared" si="19"/>
        <v>0.13698630136986301</v>
      </c>
      <c r="AF24" s="128">
        <f t="shared" si="28"/>
        <v>8.6999999999999994E-2</v>
      </c>
      <c r="AG24" s="121">
        <f t="shared" si="2"/>
        <v>6.9780043882606675</v>
      </c>
      <c r="AH24" s="125">
        <f t="shared" si="29"/>
        <v>0.8195508933778024</v>
      </c>
      <c r="AI24" s="125">
        <f t="shared" si="30"/>
        <v>2.1491794319490021</v>
      </c>
      <c r="AJ24" s="122">
        <f t="shared" si="31"/>
        <v>7.0170392841307022E-2</v>
      </c>
      <c r="AK24" s="121">
        <f t="shared" si="3"/>
        <v>0.83732782990464338</v>
      </c>
      <c r="AL24" s="121">
        <f t="shared" si="4"/>
        <v>0.91965394349154128</v>
      </c>
      <c r="AM24" s="121">
        <f t="shared" si="5"/>
        <v>0.86597280641296126</v>
      </c>
      <c r="AN24" s="121">
        <f t="shared" si="20"/>
        <v>1.9804403514963009</v>
      </c>
      <c r="AO24" s="121">
        <f t="shared" si="32"/>
        <v>3.2468226172872887</v>
      </c>
      <c r="AP24" s="121">
        <f t="shared" si="33"/>
        <v>3.523461023700365</v>
      </c>
    </row>
    <row r="25" spans="1:42" s="142" customFormat="1">
      <c r="A25" s="105">
        <f t="shared" si="6"/>
        <v>1191.3963648848196</v>
      </c>
      <c r="B25" s="132">
        <f t="shared" si="7"/>
        <v>4289.0269135853505</v>
      </c>
      <c r="C25" s="133">
        <f t="shared" si="21"/>
        <v>1.1913963648848196</v>
      </c>
      <c r="D25" s="134">
        <f t="shared" si="36"/>
        <v>6.7000000000000004E-2</v>
      </c>
      <c r="E25" s="134">
        <f t="shared" si="36"/>
        <v>1.0999999999999999E-2</v>
      </c>
      <c r="F25" s="134">
        <f t="shared" si="36"/>
        <v>710</v>
      </c>
      <c r="G25" s="134">
        <f t="shared" si="36"/>
        <v>64.5</v>
      </c>
      <c r="H25" s="134">
        <f t="shared" si="36"/>
        <v>0.58099999999999996</v>
      </c>
      <c r="I25" s="135">
        <f t="shared" si="9"/>
        <v>0.35515330658111616</v>
      </c>
      <c r="J25" s="136">
        <f t="shared" si="35"/>
        <v>0.61127935728247196</v>
      </c>
      <c r="K25" s="137">
        <f t="shared" si="10"/>
        <v>0.56642810646410613</v>
      </c>
      <c r="L25" s="137">
        <f t="shared" si="11"/>
        <v>1.3463580991597153</v>
      </c>
      <c r="M25" s="138">
        <f t="shared" si="12"/>
        <v>0.16981101786868533</v>
      </c>
      <c r="N25" s="137">
        <f t="shared" si="13"/>
        <v>1.0430312761238751</v>
      </c>
      <c r="O25" s="137">
        <f t="shared" si="14"/>
        <v>0.16280529813040601</v>
      </c>
      <c r="P25" s="139">
        <f t="shared" si="15"/>
        <v>7.0160133296305016</v>
      </c>
      <c r="Q25" s="137">
        <f t="shared" si="16"/>
        <v>2.864044389229071</v>
      </c>
      <c r="R25" s="137">
        <f t="shared" si="17"/>
        <v>4.0911496586467857</v>
      </c>
      <c r="S25" s="140">
        <f t="shared" si="22"/>
        <v>1.1913963648848196</v>
      </c>
      <c r="T25" s="140">
        <f t="shared" si="23"/>
        <v>1.1913963648848196</v>
      </c>
      <c r="U25" s="138">
        <f t="shared" si="24"/>
        <v>0</v>
      </c>
      <c r="V25" s="141"/>
      <c r="W25" s="128">
        <f t="shared" si="37"/>
        <v>710</v>
      </c>
      <c r="X25" s="128">
        <f t="shared" si="37"/>
        <v>64.5</v>
      </c>
      <c r="Y25" s="129">
        <f t="shared" si="0"/>
        <v>581</v>
      </c>
      <c r="Z25" s="122">
        <f t="shared" si="1"/>
        <v>0.35515330658111616</v>
      </c>
      <c r="AA25" s="128">
        <f t="shared" si="26"/>
        <v>2.7</v>
      </c>
      <c r="AB25" s="128">
        <v>1</v>
      </c>
      <c r="AC25" s="129">
        <f t="shared" si="18"/>
        <v>1.2328767123287672</v>
      </c>
      <c r="AD25" s="130">
        <f t="shared" si="27"/>
        <v>0.3</v>
      </c>
      <c r="AE25" s="131">
        <f t="shared" si="19"/>
        <v>0.13698630136986301</v>
      </c>
      <c r="AF25" s="128">
        <f t="shared" si="28"/>
        <v>8.6999999999999994E-2</v>
      </c>
      <c r="AG25" s="121">
        <f t="shared" si="2"/>
        <v>7.0160133296305016</v>
      </c>
      <c r="AH25" s="125">
        <f t="shared" si="29"/>
        <v>0.8195508933778024</v>
      </c>
      <c r="AI25" s="125">
        <f t="shared" si="30"/>
        <v>2.1491794319490021</v>
      </c>
      <c r="AJ25" s="122">
        <f t="shared" si="31"/>
        <v>7.0557262055070291E-2</v>
      </c>
      <c r="AK25" s="121">
        <f t="shared" si="3"/>
        <v>0.83732782990464338</v>
      </c>
      <c r="AL25" s="121">
        <f t="shared" si="4"/>
        <v>0.91965394349154128</v>
      </c>
      <c r="AM25" s="121">
        <f t="shared" si="5"/>
        <v>0.86597280641296126</v>
      </c>
      <c r="AN25" s="121">
        <f t="shared" si="20"/>
        <v>1.9804403514963009</v>
      </c>
      <c r="AO25" s="121">
        <f t="shared" si="32"/>
        <v>3.2645079444427627</v>
      </c>
      <c r="AP25" s="121">
        <f t="shared" si="33"/>
        <v>3.5426531904026426</v>
      </c>
    </row>
    <row r="26" spans="1:42">
      <c r="A26" s="105">
        <f t="shared" si="6"/>
        <v>1220.7279857127617</v>
      </c>
      <c r="B26" s="106">
        <f t="shared" si="7"/>
        <v>4394.6207485659424</v>
      </c>
      <c r="C26" s="107">
        <f t="shared" si="21"/>
        <v>1.2207279857127618</v>
      </c>
      <c r="D26" s="108">
        <f t="shared" si="36"/>
        <v>6.7000000000000004E-2</v>
      </c>
      <c r="E26" s="108">
        <f t="shared" si="36"/>
        <v>1.0999999999999999E-2</v>
      </c>
      <c r="F26" s="108">
        <f t="shared" si="36"/>
        <v>710</v>
      </c>
      <c r="G26" s="108">
        <f t="shared" si="36"/>
        <v>64.5</v>
      </c>
      <c r="H26" s="108">
        <f t="shared" si="36"/>
        <v>0.58099999999999996</v>
      </c>
      <c r="I26" s="113">
        <f t="shared" si="9"/>
        <v>0.36096330658111619</v>
      </c>
      <c r="J26" s="114">
        <f t="shared" si="35"/>
        <v>0.62127935728247197</v>
      </c>
      <c r="K26" s="115">
        <f t="shared" si="10"/>
        <v>0.56364943866078898</v>
      </c>
      <c r="L26" s="115">
        <f t="shared" si="11"/>
        <v>1.3257938634558968</v>
      </c>
      <c r="M26" s="112">
        <f t="shared" si="12"/>
        <v>0.17309401544941164</v>
      </c>
      <c r="N26" s="116">
        <f t="shared" si="13"/>
        <v>1.0549790970677937</v>
      </c>
      <c r="O26" s="115">
        <f t="shared" si="14"/>
        <v>0.1640734076442924</v>
      </c>
      <c r="P26" s="117">
        <f t="shared" si="15"/>
        <v>7.0523985623843304</v>
      </c>
      <c r="Q26" s="115">
        <f t="shared" si="16"/>
        <v>2.8959442180347637</v>
      </c>
      <c r="R26" s="115">
        <f t="shared" si="17"/>
        <v>4.0631780859320354</v>
      </c>
      <c r="S26" s="119">
        <f t="shared" si="22"/>
        <v>1.2207279857127618</v>
      </c>
      <c r="T26" s="119">
        <f t="shared" si="23"/>
        <v>1.2207279857127618</v>
      </c>
      <c r="U26" s="112">
        <f t="shared" si="24"/>
        <v>0</v>
      </c>
      <c r="V26" s="127"/>
      <c r="W26" s="128">
        <f t="shared" si="37"/>
        <v>710</v>
      </c>
      <c r="X26" s="128">
        <f t="shared" si="37"/>
        <v>64.5</v>
      </c>
      <c r="Y26" s="129">
        <f t="shared" si="0"/>
        <v>581</v>
      </c>
      <c r="Z26" s="122">
        <f t="shared" si="1"/>
        <v>0.36096330658111619</v>
      </c>
      <c r="AA26" s="128">
        <f t="shared" si="26"/>
        <v>2.7</v>
      </c>
      <c r="AB26" s="128">
        <v>1</v>
      </c>
      <c r="AC26" s="129">
        <f t="shared" si="18"/>
        <v>1.2328767123287672</v>
      </c>
      <c r="AD26" s="130">
        <f t="shared" si="27"/>
        <v>0.3</v>
      </c>
      <c r="AE26" s="131">
        <f t="shared" si="19"/>
        <v>0.13698630136986301</v>
      </c>
      <c r="AF26" s="128">
        <f t="shared" si="28"/>
        <v>8.6999999999999994E-2</v>
      </c>
      <c r="AG26" s="121">
        <f t="shared" si="2"/>
        <v>7.0523985623843304</v>
      </c>
      <c r="AH26" s="125">
        <f t="shared" si="29"/>
        <v>0.8195508933778024</v>
      </c>
      <c r="AI26" s="125">
        <f t="shared" si="30"/>
        <v>2.1491794319490021</v>
      </c>
      <c r="AJ26" s="122">
        <f t="shared" si="31"/>
        <v>7.0939934715013517E-2</v>
      </c>
      <c r="AK26" s="121">
        <f t="shared" si="3"/>
        <v>0.83732782990464338</v>
      </c>
      <c r="AL26" s="121">
        <f t="shared" si="4"/>
        <v>0.91965394349154128</v>
      </c>
      <c r="AM26" s="121">
        <f t="shared" si="5"/>
        <v>0.86597280641296126</v>
      </c>
      <c r="AN26" s="121">
        <f t="shared" si="20"/>
        <v>1.9804403514963009</v>
      </c>
      <c r="AO26" s="121">
        <f t="shared" si="32"/>
        <v>3.2814377699440391</v>
      </c>
      <c r="AP26" s="121">
        <f t="shared" si="33"/>
        <v>3.5610254845877911</v>
      </c>
    </row>
    <row r="27" spans="1:42">
      <c r="A27" s="105">
        <f t="shared" si="6"/>
        <v>1249.8911650643311</v>
      </c>
      <c r="B27" s="106">
        <f t="shared" si="7"/>
        <v>4499.6081942315923</v>
      </c>
      <c r="C27" s="107">
        <f t="shared" si="21"/>
        <v>1.2498911650643312</v>
      </c>
      <c r="D27" s="108">
        <f t="shared" si="36"/>
        <v>6.7000000000000004E-2</v>
      </c>
      <c r="E27" s="108">
        <f t="shared" si="36"/>
        <v>1.0999999999999999E-2</v>
      </c>
      <c r="F27" s="108">
        <f t="shared" si="36"/>
        <v>710</v>
      </c>
      <c r="G27" s="108">
        <f t="shared" si="36"/>
        <v>64.5</v>
      </c>
      <c r="H27" s="108">
        <f t="shared" si="36"/>
        <v>0.58099999999999996</v>
      </c>
      <c r="I27" s="113">
        <f t="shared" si="9"/>
        <v>0.36677330658111618</v>
      </c>
      <c r="J27" s="114">
        <f t="shared" si="35"/>
        <v>0.63127935728247198</v>
      </c>
      <c r="K27" s="115">
        <f t="shared" si="10"/>
        <v>0.56061620634149723</v>
      </c>
      <c r="L27" s="115">
        <f t="shared" si="11"/>
        <v>1.3051233283240393</v>
      </c>
      <c r="M27" s="112">
        <f t="shared" si="12"/>
        <v>0.17636013136682191</v>
      </c>
      <c r="N27" s="116">
        <f t="shared" si="13"/>
        <v>1.0669886779794029</v>
      </c>
      <c r="O27" s="115">
        <f t="shared" si="14"/>
        <v>0.16528772517136903</v>
      </c>
      <c r="P27" s="117">
        <f t="shared" si="15"/>
        <v>7.0871526085711984</v>
      </c>
      <c r="Q27" s="115">
        <f t="shared" si="16"/>
        <v>2.926800426722683</v>
      </c>
      <c r="R27" s="115">
        <f t="shared" si="17"/>
        <v>4.0343158656965619</v>
      </c>
      <c r="S27" s="119">
        <f t="shared" si="22"/>
        <v>1.2498911650643312</v>
      </c>
      <c r="T27" s="119">
        <f t="shared" si="23"/>
        <v>1.2498911650643312</v>
      </c>
      <c r="U27" s="112">
        <f t="shared" si="24"/>
        <v>0</v>
      </c>
      <c r="V27" s="127"/>
      <c r="W27" s="128">
        <f t="shared" si="37"/>
        <v>710</v>
      </c>
      <c r="X27" s="128">
        <f t="shared" si="37"/>
        <v>64.5</v>
      </c>
      <c r="Y27" s="129">
        <f t="shared" si="0"/>
        <v>581</v>
      </c>
      <c r="Z27" s="122">
        <f t="shared" si="1"/>
        <v>0.36677330658111618</v>
      </c>
      <c r="AA27" s="128">
        <f t="shared" si="26"/>
        <v>2.7</v>
      </c>
      <c r="AB27" s="128">
        <v>1</v>
      </c>
      <c r="AC27" s="129">
        <f t="shared" si="18"/>
        <v>1.2328767123287672</v>
      </c>
      <c r="AD27" s="130">
        <f t="shared" si="27"/>
        <v>0.3</v>
      </c>
      <c r="AE27" s="131">
        <f t="shared" si="19"/>
        <v>0.13698630136986301</v>
      </c>
      <c r="AF27" s="128">
        <f t="shared" si="28"/>
        <v>8.6999999999999994E-2</v>
      </c>
      <c r="AG27" s="121">
        <f t="shared" si="2"/>
        <v>7.0871526085711984</v>
      </c>
      <c r="AH27" s="125">
        <f t="shared" si="29"/>
        <v>0.8195508933778024</v>
      </c>
      <c r="AI27" s="125">
        <f t="shared" si="30"/>
        <v>2.1491794319490021</v>
      </c>
      <c r="AJ27" s="122">
        <f t="shared" si="31"/>
        <v>7.1318522807251844E-2</v>
      </c>
      <c r="AK27" s="121">
        <f t="shared" si="3"/>
        <v>0.83732782990464338</v>
      </c>
      <c r="AL27" s="121">
        <f t="shared" si="4"/>
        <v>0.91965394349154128</v>
      </c>
      <c r="AM27" s="121">
        <f t="shared" si="5"/>
        <v>0.86597280641296126</v>
      </c>
      <c r="AN27" s="121">
        <f t="shared" si="20"/>
        <v>1.9804403514963009</v>
      </c>
      <c r="AO27" s="121">
        <f t="shared" si="32"/>
        <v>3.2976086143464309</v>
      </c>
      <c r="AP27" s="121">
        <f t="shared" si="33"/>
        <v>3.5785741303526635</v>
      </c>
    </row>
    <row r="28" spans="1:42">
      <c r="A28" s="105">
        <f t="shared" si="6"/>
        <v>1278.8559034302421</v>
      </c>
      <c r="B28" s="106">
        <f t="shared" si="7"/>
        <v>4603.8812523488714</v>
      </c>
      <c r="C28" s="107">
        <f t="shared" si="21"/>
        <v>1.278855903430242</v>
      </c>
      <c r="D28" s="108">
        <f t="shared" si="36"/>
        <v>6.7000000000000004E-2</v>
      </c>
      <c r="E28" s="108">
        <f t="shared" si="36"/>
        <v>1.0999999999999999E-2</v>
      </c>
      <c r="F28" s="108">
        <f t="shared" si="36"/>
        <v>710</v>
      </c>
      <c r="G28" s="108">
        <f t="shared" si="36"/>
        <v>64.5</v>
      </c>
      <c r="H28" s="108">
        <f t="shared" si="36"/>
        <v>0.58099999999999996</v>
      </c>
      <c r="I28" s="113">
        <f t="shared" si="9"/>
        <v>0.37258330658111621</v>
      </c>
      <c r="J28" s="114">
        <f t="shared" si="35"/>
        <v>0.64127935728247198</v>
      </c>
      <c r="K28" s="115">
        <f t="shared" si="10"/>
        <v>0.55732425312634826</v>
      </c>
      <c r="L28" s="115">
        <f t="shared" si="11"/>
        <v>1.2843358499514668</v>
      </c>
      <c r="M28" s="112">
        <f t="shared" si="12"/>
        <v>0.17960787474047007</v>
      </c>
      <c r="N28" s="116">
        <f t="shared" si="13"/>
        <v>1.0790662029138676</v>
      </c>
      <c r="O28" s="115">
        <f t="shared" si="14"/>
        <v>0.16644750271620415</v>
      </c>
      <c r="P28" s="117">
        <f t="shared" si="15"/>
        <v>7.1202663317416581</v>
      </c>
      <c r="Q28" s="115">
        <f t="shared" si="16"/>
        <v>2.9565890474034306</v>
      </c>
      <c r="R28" s="115">
        <f t="shared" si="17"/>
        <v>4.0045435337586053</v>
      </c>
      <c r="S28" s="119">
        <f t="shared" si="22"/>
        <v>1.278855903430242</v>
      </c>
      <c r="T28" s="119">
        <f t="shared" si="23"/>
        <v>1.278855903430242</v>
      </c>
      <c r="U28" s="112">
        <f t="shared" si="24"/>
        <v>0</v>
      </c>
      <c r="V28" s="127"/>
      <c r="W28" s="128">
        <f t="shared" si="37"/>
        <v>710</v>
      </c>
      <c r="X28" s="128">
        <f t="shared" si="37"/>
        <v>64.5</v>
      </c>
      <c r="Y28" s="129">
        <f t="shared" si="0"/>
        <v>581</v>
      </c>
      <c r="Z28" s="122">
        <f t="shared" si="1"/>
        <v>0.37258330658111621</v>
      </c>
      <c r="AA28" s="128">
        <f t="shared" si="26"/>
        <v>2.7</v>
      </c>
      <c r="AB28" s="128">
        <v>1</v>
      </c>
      <c r="AC28" s="129">
        <f t="shared" si="18"/>
        <v>1.2328767123287672</v>
      </c>
      <c r="AD28" s="130">
        <f t="shared" si="27"/>
        <v>0.3</v>
      </c>
      <c r="AE28" s="131">
        <f t="shared" si="19"/>
        <v>0.13698630136986301</v>
      </c>
      <c r="AF28" s="128">
        <f t="shared" si="28"/>
        <v>8.6999999999999994E-2</v>
      </c>
      <c r="AG28" s="121">
        <f t="shared" si="2"/>
        <v>7.1202663317416581</v>
      </c>
      <c r="AH28" s="125">
        <f t="shared" si="29"/>
        <v>0.8195508933778024</v>
      </c>
      <c r="AI28" s="125">
        <f t="shared" si="30"/>
        <v>2.1491794319490021</v>
      </c>
      <c r="AJ28" s="122">
        <f t="shared" si="31"/>
        <v>7.1693133611714768E-2</v>
      </c>
      <c r="AK28" s="121">
        <f t="shared" si="3"/>
        <v>0.83732782990464338</v>
      </c>
      <c r="AL28" s="121">
        <f t="shared" si="4"/>
        <v>0.91965394349154128</v>
      </c>
      <c r="AM28" s="121">
        <f t="shared" si="5"/>
        <v>0.86597280641296126</v>
      </c>
      <c r="AN28" s="121">
        <f t="shared" si="20"/>
        <v>1.9804403514963009</v>
      </c>
      <c r="AO28" s="121">
        <f t="shared" si="32"/>
        <v>3.3130162265160812</v>
      </c>
      <c r="AP28" s="121">
        <f t="shared" si="33"/>
        <v>3.5952945143548583</v>
      </c>
    </row>
    <row r="29" spans="1:42">
      <c r="A29" s="105">
        <f t="shared" si="6"/>
        <v>1307.5915606681269</v>
      </c>
      <c r="B29" s="106">
        <f>C29*3600</f>
        <v>4707.329618405257</v>
      </c>
      <c r="C29" s="107">
        <f t="shared" si="21"/>
        <v>1.307591560668127</v>
      </c>
      <c r="D29" s="108">
        <f t="shared" si="36"/>
        <v>6.7000000000000004E-2</v>
      </c>
      <c r="E29" s="108">
        <f t="shared" si="36"/>
        <v>1.0999999999999999E-2</v>
      </c>
      <c r="F29" s="108">
        <f t="shared" si="36"/>
        <v>710</v>
      </c>
      <c r="G29" s="108">
        <f t="shared" si="36"/>
        <v>64.5</v>
      </c>
      <c r="H29" s="108">
        <f t="shared" si="36"/>
        <v>0.58099999999999996</v>
      </c>
      <c r="I29" s="113">
        <f t="shared" si="9"/>
        <v>0.3783933065811162</v>
      </c>
      <c r="J29" s="114">
        <f t="shared" si="35"/>
        <v>0.65127935728247199</v>
      </c>
      <c r="K29" s="115">
        <f t="shared" si="10"/>
        <v>0.55376896503230622</v>
      </c>
      <c r="L29" s="115">
        <f t="shared" si="11"/>
        <v>1.2634202756347439</v>
      </c>
      <c r="M29" s="112">
        <f t="shared" si="12"/>
        <v>0.18283572922806701</v>
      </c>
      <c r="N29" s="116">
        <f t="shared" si="13"/>
        <v>1.0912181515918835</v>
      </c>
      <c r="O29" s="115">
        <f t="shared" si="14"/>
        <v>0.16755195004898318</v>
      </c>
      <c r="P29" s="117">
        <f t="shared" si="15"/>
        <v>7.1517288562185435</v>
      </c>
      <c r="Q29" s="115">
        <f t="shared" si="16"/>
        <v>2.9852855406722982</v>
      </c>
      <c r="R29" s="115">
        <f t="shared" si="17"/>
        <v>3.9738393804941556</v>
      </c>
      <c r="S29" s="119">
        <f t="shared" si="22"/>
        <v>1.307591560668127</v>
      </c>
      <c r="T29" s="119">
        <f t="shared" si="23"/>
        <v>1.307591560668127</v>
      </c>
      <c r="U29" s="112">
        <f t="shared" si="24"/>
        <v>0</v>
      </c>
      <c r="V29" s="127"/>
      <c r="W29" s="128">
        <f t="shared" si="37"/>
        <v>710</v>
      </c>
      <c r="X29" s="128">
        <f t="shared" si="37"/>
        <v>64.5</v>
      </c>
      <c r="Y29" s="129">
        <f t="shared" si="0"/>
        <v>581</v>
      </c>
      <c r="Z29" s="122">
        <f t="shared" si="1"/>
        <v>0.3783933065811162</v>
      </c>
      <c r="AA29" s="128">
        <f t="shared" si="26"/>
        <v>2.7</v>
      </c>
      <c r="AB29" s="128">
        <v>1</v>
      </c>
      <c r="AC29" s="129">
        <f t="shared" si="18"/>
        <v>1.2328767123287672</v>
      </c>
      <c r="AD29" s="130">
        <f t="shared" si="27"/>
        <v>0.3</v>
      </c>
      <c r="AE29" s="131">
        <f t="shared" si="19"/>
        <v>0.13698630136986301</v>
      </c>
      <c r="AF29" s="128">
        <f t="shared" si="28"/>
        <v>8.6999999999999994E-2</v>
      </c>
      <c r="AG29" s="121">
        <f t="shared" si="2"/>
        <v>7.1517288562185435</v>
      </c>
      <c r="AH29" s="125">
        <f t="shared" si="29"/>
        <v>0.8195508933778024</v>
      </c>
      <c r="AI29" s="125">
        <f t="shared" si="30"/>
        <v>2.1491794319490021</v>
      </c>
      <c r="AJ29" s="122">
        <f t="shared" si="31"/>
        <v>7.2063869969876404E-2</v>
      </c>
      <c r="AK29" s="121">
        <f t="shared" si="3"/>
        <v>0.83732782990464338</v>
      </c>
      <c r="AL29" s="121">
        <f t="shared" si="4"/>
        <v>0.91965394349154128</v>
      </c>
      <c r="AM29" s="121">
        <f t="shared" si="5"/>
        <v>0.86597280641296126</v>
      </c>
      <c r="AN29" s="121">
        <f t="shared" si="20"/>
        <v>1.9804403514963009</v>
      </c>
      <c r="AO29" s="121">
        <f t="shared" si="32"/>
        <v>3.3276555460671497</v>
      </c>
      <c r="AP29" s="121">
        <f t="shared" si="33"/>
        <v>3.6111811450494482</v>
      </c>
    </row>
    <row r="30" spans="1:42">
      <c r="A30" s="105">
        <f t="shared" si="6"/>
        <v>1336.0668130999763</v>
      </c>
      <c r="B30" s="106">
        <f t="shared" si="7"/>
        <v>4809.8405271599149</v>
      </c>
      <c r="C30" s="107">
        <f t="shared" si="21"/>
        <v>1.3360668130999764</v>
      </c>
      <c r="D30" s="108">
        <f t="shared" si="36"/>
        <v>6.7000000000000004E-2</v>
      </c>
      <c r="E30" s="108">
        <f t="shared" si="36"/>
        <v>1.0999999999999999E-2</v>
      </c>
      <c r="F30" s="108">
        <f t="shared" si="36"/>
        <v>710</v>
      </c>
      <c r="G30" s="108">
        <f t="shared" si="36"/>
        <v>64.5</v>
      </c>
      <c r="H30" s="108">
        <f t="shared" si="36"/>
        <v>0.58099999999999996</v>
      </c>
      <c r="I30" s="113">
        <f t="shared" si="9"/>
        <v>0.38420330658111623</v>
      </c>
      <c r="J30" s="114">
        <f t="shared" si="35"/>
        <v>0.661279357282472</v>
      </c>
      <c r="K30" s="115">
        <f t="shared" si="10"/>
        <v>0.54994523485803681</v>
      </c>
      <c r="L30" s="115">
        <f t="shared" si="11"/>
        <v>1.2423648779475767</v>
      </c>
      <c r="M30" s="112">
        <f t="shared" si="12"/>
        <v>0.18604215026575383</v>
      </c>
      <c r="N30" s="116">
        <f t="shared" si="13"/>
        <v>1.1034513376481276</v>
      </c>
      <c r="O30" s="115">
        <f t="shared" si="14"/>
        <v>0.16860023085592524</v>
      </c>
      <c r="P30" s="117">
        <f t="shared" si="15"/>
        <v>7.181527472088761</v>
      </c>
      <c r="Q30" s="115">
        <f t="shared" si="16"/>
        <v>3.012864714958567</v>
      </c>
      <c r="R30" s="115">
        <f t="shared" si="17"/>
        <v>3.9421792614641338</v>
      </c>
      <c r="S30" s="119">
        <f t="shared" si="22"/>
        <v>1.3360668130999764</v>
      </c>
      <c r="T30" s="119">
        <f t="shared" si="23"/>
        <v>1.3360668130999764</v>
      </c>
      <c r="U30" s="112">
        <f t="shared" si="24"/>
        <v>0</v>
      </c>
      <c r="V30" s="127"/>
      <c r="W30" s="128">
        <f t="shared" si="37"/>
        <v>710</v>
      </c>
      <c r="X30" s="128">
        <f t="shared" si="37"/>
        <v>64.5</v>
      </c>
      <c r="Y30" s="129">
        <f t="shared" si="0"/>
        <v>581</v>
      </c>
      <c r="Z30" s="122">
        <f t="shared" si="1"/>
        <v>0.38420330658111623</v>
      </c>
      <c r="AA30" s="128">
        <f t="shared" si="26"/>
        <v>2.7</v>
      </c>
      <c r="AB30" s="128">
        <v>1</v>
      </c>
      <c r="AC30" s="129">
        <f t="shared" si="18"/>
        <v>1.2328767123287672</v>
      </c>
      <c r="AD30" s="130">
        <f t="shared" si="27"/>
        <v>0.3</v>
      </c>
      <c r="AE30" s="131">
        <f t="shared" si="19"/>
        <v>0.13698630136986301</v>
      </c>
      <c r="AF30" s="128">
        <f t="shared" si="28"/>
        <v>8.6999999999999994E-2</v>
      </c>
      <c r="AG30" s="121">
        <f t="shared" si="2"/>
        <v>7.181527472088761</v>
      </c>
      <c r="AH30" s="125">
        <f t="shared" si="29"/>
        <v>0.8195508933778024</v>
      </c>
      <c r="AI30" s="125">
        <f t="shared" si="30"/>
        <v>2.1491794319490021</v>
      </c>
      <c r="AJ30" s="122">
        <f t="shared" si="31"/>
        <v>7.2430830533396676E-2</v>
      </c>
      <c r="AK30" s="121">
        <f t="shared" si="3"/>
        <v>0.83732782990464338</v>
      </c>
      <c r="AL30" s="121">
        <f t="shared" si="4"/>
        <v>0.91965394349154128</v>
      </c>
      <c r="AM30" s="121">
        <f t="shared" si="5"/>
        <v>0.86597280641296126</v>
      </c>
      <c r="AN30" s="121">
        <f t="shared" si="20"/>
        <v>1.9804403514963009</v>
      </c>
      <c r="AO30" s="121">
        <f t="shared" si="32"/>
        <v>3.3415206591550759</v>
      </c>
      <c r="AP30" s="121">
        <f t="shared" si="33"/>
        <v>3.6262276047157056</v>
      </c>
    </row>
    <row r="31" spans="1:42">
      <c r="A31" s="105">
        <f t="shared" si="6"/>
        <v>1364.2496051822111</v>
      </c>
      <c r="B31" s="106">
        <f t="shared" si="7"/>
        <v>4911.2985786559602</v>
      </c>
      <c r="C31" s="107">
        <f t="shared" si="21"/>
        <v>1.3642496051822113</v>
      </c>
      <c r="D31" s="108">
        <f t="shared" si="36"/>
        <v>6.7000000000000004E-2</v>
      </c>
      <c r="E31" s="108">
        <f t="shared" si="36"/>
        <v>1.0999999999999999E-2</v>
      </c>
      <c r="F31" s="108">
        <f t="shared" si="36"/>
        <v>710</v>
      </c>
      <c r="G31" s="108">
        <f t="shared" si="36"/>
        <v>64.5</v>
      </c>
      <c r="H31" s="108">
        <f t="shared" si="36"/>
        <v>0.58099999999999996</v>
      </c>
      <c r="I31" s="113">
        <f t="shared" si="9"/>
        <v>0.39001330658111621</v>
      </c>
      <c r="J31" s="114">
        <f t="shared" si="35"/>
        <v>0.67127935728247201</v>
      </c>
      <c r="K31" s="115">
        <f t="shared" si="10"/>
        <v>0.5458474212205926</v>
      </c>
      <c r="L31" s="115">
        <f t="shared" si="11"/>
        <v>1.2211572810311704</v>
      </c>
      <c r="M31" s="112">
        <f t="shared" si="12"/>
        <v>0.18922556208628355</v>
      </c>
      <c r="N31" s="116">
        <f t="shared" si="13"/>
        <v>1.1157729514565597</v>
      </c>
      <c r="O31" s="115">
        <f t="shared" si="14"/>
        <v>0.16959145840492321</v>
      </c>
      <c r="P31" s="117">
        <f t="shared" si="15"/>
        <v>7.2096475240493003</v>
      </c>
      <c r="Q31" s="115">
        <f t="shared" si="16"/>
        <v>3.0393006369088535</v>
      </c>
      <c r="R31" s="115">
        <f t="shared" si="17"/>
        <v>3.9095363780563854</v>
      </c>
      <c r="S31" s="119">
        <f t="shared" si="22"/>
        <v>1.3642496051822113</v>
      </c>
      <c r="T31" s="119">
        <f t="shared" si="23"/>
        <v>1.3642496051822113</v>
      </c>
      <c r="U31" s="112">
        <f t="shared" si="24"/>
        <v>0</v>
      </c>
      <c r="V31" s="127"/>
      <c r="W31" s="128">
        <f t="shared" si="37"/>
        <v>710</v>
      </c>
      <c r="X31" s="128">
        <f t="shared" si="37"/>
        <v>64.5</v>
      </c>
      <c r="Y31" s="129">
        <f t="shared" si="0"/>
        <v>581</v>
      </c>
      <c r="Z31" s="122">
        <f t="shared" si="1"/>
        <v>0.39001330658111621</v>
      </c>
      <c r="AA31" s="128">
        <f t="shared" si="26"/>
        <v>2.7</v>
      </c>
      <c r="AB31" s="128">
        <v>1</v>
      </c>
      <c r="AC31" s="129">
        <f t="shared" si="18"/>
        <v>1.2328767123287672</v>
      </c>
      <c r="AD31" s="130">
        <f t="shared" si="27"/>
        <v>0.3</v>
      </c>
      <c r="AE31" s="131">
        <f t="shared" si="19"/>
        <v>0.13698630136986301</v>
      </c>
      <c r="AF31" s="128">
        <f t="shared" si="28"/>
        <v>8.6999999999999994E-2</v>
      </c>
      <c r="AG31" s="121">
        <f t="shared" si="2"/>
        <v>7.2096475240493003</v>
      </c>
      <c r="AH31" s="125">
        <f t="shared" si="29"/>
        <v>0.8195508933778024</v>
      </c>
      <c r="AI31" s="125">
        <f t="shared" si="30"/>
        <v>2.1491794319490021</v>
      </c>
      <c r="AJ31" s="122">
        <f t="shared" si="31"/>
        <v>7.2794109995301198E-2</v>
      </c>
      <c r="AK31" s="121">
        <f t="shared" si="3"/>
        <v>0.83732782990464338</v>
      </c>
      <c r="AL31" s="121">
        <f t="shared" si="4"/>
        <v>0.91965394349154128</v>
      </c>
      <c r="AM31" s="121">
        <f t="shared" si="5"/>
        <v>0.86597280641296126</v>
      </c>
      <c r="AN31" s="121">
        <f t="shared" si="20"/>
        <v>1.9804403514963009</v>
      </c>
      <c r="AO31" s="121">
        <f t="shared" si="32"/>
        <v>3.3546047467573095</v>
      </c>
      <c r="AP31" s="121">
        <f t="shared" si="33"/>
        <v>3.6404264933312063</v>
      </c>
    </row>
    <row r="32" spans="1:42">
      <c r="A32" s="105">
        <f t="shared" si="6"/>
        <v>1392.1070949254231</v>
      </c>
      <c r="B32" s="106">
        <f t="shared" si="7"/>
        <v>5011.5855417315233</v>
      </c>
      <c r="C32" s="107">
        <f t="shared" si="21"/>
        <v>1.3921070949254231</v>
      </c>
      <c r="D32" s="108">
        <f t="shared" si="36"/>
        <v>6.7000000000000004E-2</v>
      </c>
      <c r="E32" s="108">
        <f t="shared" si="36"/>
        <v>1.0999999999999999E-2</v>
      </c>
      <c r="F32" s="108">
        <f t="shared" si="36"/>
        <v>710</v>
      </c>
      <c r="G32" s="108">
        <f t="shared" si="36"/>
        <v>64.5</v>
      </c>
      <c r="H32" s="108">
        <f t="shared" si="36"/>
        <v>0.58099999999999996</v>
      </c>
      <c r="I32" s="113">
        <f t="shared" si="9"/>
        <v>0.3958233065811162</v>
      </c>
      <c r="J32" s="114">
        <f t="shared" si="35"/>
        <v>0.68127935728247202</v>
      </c>
      <c r="K32" s="115">
        <f t="shared" si="10"/>
        <v>0.54146930140431859</v>
      </c>
      <c r="L32" s="115">
        <f t="shared" si="11"/>
        <v>1.199784377590589</v>
      </c>
      <c r="M32" s="112">
        <f t="shared" si="12"/>
        <v>0.19238435448167673</v>
      </c>
      <c r="N32" s="116">
        <f t="shared" si="13"/>
        <v>1.1281906083555375</v>
      </c>
      <c r="O32" s="115">
        <f t="shared" si="14"/>
        <v>0.17052469064788456</v>
      </c>
      <c r="P32" s="117">
        <f t="shared" si="15"/>
        <v>7.2360722818445797</v>
      </c>
      <c r="Q32" s="115">
        <f t="shared" si="16"/>
        <v>3.0645665312538695</v>
      </c>
      <c r="R32" s="115">
        <f t="shared" si="17"/>
        <v>3.8758810232148084</v>
      </c>
      <c r="S32" s="119">
        <f t="shared" si="22"/>
        <v>1.3921070949254231</v>
      </c>
      <c r="T32" s="119">
        <f t="shared" si="23"/>
        <v>1.3921070949254231</v>
      </c>
      <c r="U32" s="112">
        <f t="shared" si="24"/>
        <v>0</v>
      </c>
      <c r="V32" s="127"/>
      <c r="W32" s="128">
        <f t="shared" si="37"/>
        <v>710</v>
      </c>
      <c r="X32" s="128">
        <f t="shared" si="37"/>
        <v>64.5</v>
      </c>
      <c r="Y32" s="129">
        <f t="shared" si="0"/>
        <v>581</v>
      </c>
      <c r="Z32" s="122">
        <f t="shared" si="1"/>
        <v>0.3958233065811162</v>
      </c>
      <c r="AA32" s="128">
        <f t="shared" si="26"/>
        <v>2.7</v>
      </c>
      <c r="AB32" s="128">
        <v>1</v>
      </c>
      <c r="AC32" s="129">
        <f t="shared" si="18"/>
        <v>1.2328767123287672</v>
      </c>
      <c r="AD32" s="130">
        <f t="shared" si="27"/>
        <v>0.3</v>
      </c>
      <c r="AE32" s="131">
        <f t="shared" si="19"/>
        <v>0.13698630136986301</v>
      </c>
      <c r="AF32" s="128">
        <f t="shared" si="28"/>
        <v>8.6999999999999994E-2</v>
      </c>
      <c r="AG32" s="121">
        <f t="shared" si="2"/>
        <v>7.2360722818445797</v>
      </c>
      <c r="AH32" s="125">
        <f t="shared" si="29"/>
        <v>0.8195508933778024</v>
      </c>
      <c r="AI32" s="125">
        <f t="shared" si="30"/>
        <v>2.1491794319490021</v>
      </c>
      <c r="AJ32" s="122">
        <f t="shared" si="31"/>
        <v>7.3153799305166717E-2</v>
      </c>
      <c r="AK32" s="121">
        <f t="shared" si="3"/>
        <v>0.83732782990464338</v>
      </c>
      <c r="AL32" s="121">
        <f t="shared" si="4"/>
        <v>0.91965394349154128</v>
      </c>
      <c r="AM32" s="121">
        <f t="shared" si="5"/>
        <v>0.86597280641296126</v>
      </c>
      <c r="AN32" s="121">
        <f t="shared" si="20"/>
        <v>1.9804403514963009</v>
      </c>
      <c r="AO32" s="121">
        <f t="shared" si="32"/>
        <v>3.3669000243886034</v>
      </c>
      <c r="AP32" s="121">
        <f t="shared" si="33"/>
        <v>3.6537693631506958</v>
      </c>
    </row>
    <row r="33" spans="1:42">
      <c r="A33" s="105">
        <f t="shared" si="6"/>
        <v>1419.6055920810527</v>
      </c>
      <c r="B33" s="106">
        <f t="shared" si="7"/>
        <v>5110.5801314917899</v>
      </c>
      <c r="C33" s="107">
        <f t="shared" si="21"/>
        <v>1.4196055920810529</v>
      </c>
      <c r="D33" s="108">
        <f t="shared" si="36"/>
        <v>6.7000000000000004E-2</v>
      </c>
      <c r="E33" s="108">
        <f t="shared" si="36"/>
        <v>1.0999999999999999E-2</v>
      </c>
      <c r="F33" s="108">
        <f t="shared" si="36"/>
        <v>710</v>
      </c>
      <c r="G33" s="108">
        <f t="shared" si="36"/>
        <v>64.5</v>
      </c>
      <c r="H33" s="108">
        <f t="shared" si="36"/>
        <v>0.58099999999999996</v>
      </c>
      <c r="I33" s="113">
        <f t="shared" si="9"/>
        <v>0.40163330658111623</v>
      </c>
      <c r="J33" s="114">
        <f t="shared" si="35"/>
        <v>0.69127935728247203</v>
      </c>
      <c r="K33" s="115">
        <f t="shared" si="10"/>
        <v>0.53680401700563907</v>
      </c>
      <c r="L33" s="115">
        <f t="shared" si="11"/>
        <v>1.1782322348967469</v>
      </c>
      <c r="M33" s="112">
        <f t="shared" si="12"/>
        <v>0.19551687927154204</v>
      </c>
      <c r="N33" s="116">
        <f t="shared" si="13"/>
        <v>1.1407124032606597</v>
      </c>
      <c r="O33" s="115">
        <f t="shared" si="14"/>
        <v>0.17139892466555853</v>
      </c>
      <c r="P33" s="117">
        <f t="shared" si="15"/>
        <v>7.2607827895485437</v>
      </c>
      <c r="Q33" s="115">
        <f t="shared" si="16"/>
        <v>3.0886346683040693</v>
      </c>
      <c r="R33" s="115">
        <f t="shared" si="17"/>
        <v>3.8411802862484943</v>
      </c>
      <c r="S33" s="119">
        <f t="shared" si="22"/>
        <v>1.4196055920810529</v>
      </c>
      <c r="T33" s="119">
        <f t="shared" si="23"/>
        <v>1.4196055920810529</v>
      </c>
      <c r="U33" s="112">
        <f t="shared" si="24"/>
        <v>0</v>
      </c>
      <c r="V33" s="127"/>
      <c r="W33" s="128">
        <f t="shared" si="37"/>
        <v>710</v>
      </c>
      <c r="X33" s="128">
        <f t="shared" si="37"/>
        <v>64.5</v>
      </c>
      <c r="Y33" s="129">
        <f t="shared" si="0"/>
        <v>581</v>
      </c>
      <c r="Z33" s="122">
        <f t="shared" si="1"/>
        <v>0.40163330658111623</v>
      </c>
      <c r="AA33" s="128">
        <f t="shared" si="26"/>
        <v>2.7</v>
      </c>
      <c r="AB33" s="128">
        <v>1</v>
      </c>
      <c r="AC33" s="129">
        <f t="shared" si="18"/>
        <v>1.2328767123287672</v>
      </c>
      <c r="AD33" s="130">
        <f t="shared" si="27"/>
        <v>0.3</v>
      </c>
      <c r="AE33" s="131">
        <f t="shared" si="19"/>
        <v>0.13698630136986301</v>
      </c>
      <c r="AF33" s="128">
        <f t="shared" si="28"/>
        <v>8.6999999999999994E-2</v>
      </c>
      <c r="AG33" s="121">
        <f t="shared" si="2"/>
        <v>7.2607827895485437</v>
      </c>
      <c r="AH33" s="125">
        <f t="shared" si="29"/>
        <v>0.8195508933778024</v>
      </c>
      <c r="AI33" s="125">
        <f t="shared" si="30"/>
        <v>2.1491794319490021</v>
      </c>
      <c r="AJ33" s="122">
        <f t="shared" si="31"/>
        <v>7.3509985869636765E-2</v>
      </c>
      <c r="AK33" s="121">
        <f t="shared" si="3"/>
        <v>0.83732782990464338</v>
      </c>
      <c r="AL33" s="121">
        <f t="shared" si="4"/>
        <v>0.91965394349154128</v>
      </c>
      <c r="AM33" s="121">
        <f t="shared" si="5"/>
        <v>0.86597280641296126</v>
      </c>
      <c r="AN33" s="121">
        <f t="shared" si="20"/>
        <v>1.9804403514963009</v>
      </c>
      <c r="AO33" s="121">
        <f t="shared" si="32"/>
        <v>3.3783976719728979</v>
      </c>
      <c r="AP33" s="121">
        <f t="shared" si="33"/>
        <v>3.6662466426028613</v>
      </c>
    </row>
    <row r="34" spans="1:42" s="142" customFormat="1">
      <c r="A34" s="143">
        <f t="shared" si="6"/>
        <v>1446.7104879153508</v>
      </c>
      <c r="B34" s="132">
        <f t="shared" si="7"/>
        <v>5208.1577564952631</v>
      </c>
      <c r="C34" s="133">
        <f t="shared" si="21"/>
        <v>1.446710487915351</v>
      </c>
      <c r="D34" s="134">
        <f t="shared" si="36"/>
        <v>6.7000000000000004E-2</v>
      </c>
      <c r="E34" s="134">
        <f t="shared" si="36"/>
        <v>1.0999999999999999E-2</v>
      </c>
      <c r="F34" s="134">
        <f t="shared" si="36"/>
        <v>710</v>
      </c>
      <c r="G34" s="134">
        <f t="shared" si="36"/>
        <v>64.5</v>
      </c>
      <c r="H34" s="134">
        <f t="shared" si="36"/>
        <v>0.58099999999999996</v>
      </c>
      <c r="I34" s="135">
        <f t="shared" si="9"/>
        <v>0.40744330658111622</v>
      </c>
      <c r="J34" s="136">
        <f t="shared" si="35"/>
        <v>0.70127935728247204</v>
      </c>
      <c r="K34" s="137">
        <f t="shared" si="10"/>
        <v>0.53184401113813451</v>
      </c>
      <c r="L34" s="137">
        <f t="shared" si="11"/>
        <v>1.1564859877391085</v>
      </c>
      <c r="M34" s="138">
        <f t="shared" si="12"/>
        <v>0.19862144643173443</v>
      </c>
      <c r="N34" s="137">
        <f t="shared" si="13"/>
        <v>1.1533469728592476</v>
      </c>
      <c r="O34" s="137">
        <f t="shared" si="14"/>
        <v>0.17221309034117857</v>
      </c>
      <c r="P34" s="139">
        <f t="shared" si="15"/>
        <v>7.283757690348815</v>
      </c>
      <c r="Q34" s="137">
        <f t="shared" si="16"/>
        <v>3.1114762368418454</v>
      </c>
      <c r="R34" s="137">
        <f t="shared" si="17"/>
        <v>3.8053977093653861</v>
      </c>
      <c r="S34" s="140">
        <f t="shared" si="22"/>
        <v>1.446710487915351</v>
      </c>
      <c r="T34" s="140">
        <f t="shared" si="23"/>
        <v>1.446710487915351</v>
      </c>
      <c r="U34" s="138">
        <f t="shared" si="24"/>
        <v>0</v>
      </c>
      <c r="V34" s="141"/>
      <c r="W34" s="144">
        <f t="shared" si="37"/>
        <v>710</v>
      </c>
      <c r="X34" s="144">
        <f t="shared" si="37"/>
        <v>64.5</v>
      </c>
      <c r="Y34" s="145">
        <f t="shared" si="0"/>
        <v>581</v>
      </c>
      <c r="Z34" s="146">
        <f t="shared" si="1"/>
        <v>0.40744330658111622</v>
      </c>
      <c r="AA34" s="128">
        <f t="shared" si="26"/>
        <v>2.7</v>
      </c>
      <c r="AB34" s="144">
        <v>1</v>
      </c>
      <c r="AC34" s="145">
        <f t="shared" si="18"/>
        <v>1.2328767123287672</v>
      </c>
      <c r="AD34" s="147">
        <f t="shared" si="27"/>
        <v>0.3</v>
      </c>
      <c r="AE34" s="148">
        <f t="shared" si="19"/>
        <v>0.13698630136986301</v>
      </c>
      <c r="AF34" s="128">
        <f t="shared" si="28"/>
        <v>8.6999999999999994E-2</v>
      </c>
      <c r="AG34" s="149">
        <f t="shared" si="2"/>
        <v>7.283757690348815</v>
      </c>
      <c r="AH34" s="150">
        <f t="shared" si="29"/>
        <v>0.8195508933778024</v>
      </c>
      <c r="AI34" s="150">
        <f t="shared" si="30"/>
        <v>2.1491794319490021</v>
      </c>
      <c r="AJ34" s="146">
        <f t="shared" si="31"/>
        <v>7.3862753739463674E-2</v>
      </c>
      <c r="AK34" s="149">
        <f t="shared" si="3"/>
        <v>0.83732782990464338</v>
      </c>
      <c r="AL34" s="149">
        <f t="shared" si="4"/>
        <v>0.91965394349154128</v>
      </c>
      <c r="AM34" s="149">
        <f t="shared" si="5"/>
        <v>0.86597280641296126</v>
      </c>
      <c r="AN34" s="149">
        <f t="shared" si="20"/>
        <v>1.9804403514963009</v>
      </c>
      <c r="AO34" s="149">
        <f t="shared" si="32"/>
        <v>3.3890877523164624</v>
      </c>
      <c r="AP34" s="149">
        <f t="shared" si="33"/>
        <v>3.6778475478171551</v>
      </c>
    </row>
    <row r="35" spans="1:42">
      <c r="A35" s="105">
        <f t="shared" si="6"/>
        <v>1473.3861751466497</v>
      </c>
      <c r="B35" s="106">
        <f t="shared" si="7"/>
        <v>5304.1902305279391</v>
      </c>
      <c r="C35" s="107">
        <f t="shared" si="21"/>
        <v>1.4733861751466497</v>
      </c>
      <c r="D35" s="108">
        <f t="shared" si="36"/>
        <v>6.7000000000000004E-2</v>
      </c>
      <c r="E35" s="108">
        <f t="shared" si="36"/>
        <v>1.0999999999999999E-2</v>
      </c>
      <c r="F35" s="108">
        <f t="shared" si="36"/>
        <v>710</v>
      </c>
      <c r="G35" s="108">
        <f t="shared" si="36"/>
        <v>64.5</v>
      </c>
      <c r="H35" s="108">
        <f t="shared" si="36"/>
        <v>0.58099999999999996</v>
      </c>
      <c r="I35" s="113">
        <f t="shared" si="9"/>
        <v>0.41325330658111625</v>
      </c>
      <c r="J35" s="114">
        <f t="shared" si="35"/>
        <v>0.71127935728247205</v>
      </c>
      <c r="K35" s="115">
        <f t="shared" si="10"/>
        <v>0.5265809556883061</v>
      </c>
      <c r="L35" s="115">
        <f t="shared" si="11"/>
        <v>1.1345297158287579</v>
      </c>
      <c r="M35" s="112">
        <f t="shared" si="12"/>
        <v>0.2016963198300801</v>
      </c>
      <c r="N35" s="116">
        <f t="shared" si="13"/>
        <v>1.1661035668391615</v>
      </c>
      <c r="O35" s="115">
        <f t="shared" si="14"/>
        <v>0.17296604312496688</v>
      </c>
      <c r="P35" s="117">
        <f t="shared" si="15"/>
        <v>7.3049730227497953</v>
      </c>
      <c r="Q35" s="115">
        <f t="shared" si="16"/>
        <v>3.1330611997055953</v>
      </c>
      <c r="R35" s="115">
        <f t="shared" si="17"/>
        <v>3.7684928868780685</v>
      </c>
      <c r="S35" s="119">
        <f t="shared" si="22"/>
        <v>1.4733861751466497</v>
      </c>
      <c r="T35" s="119">
        <f t="shared" si="23"/>
        <v>1.4733861751466497</v>
      </c>
      <c r="U35" s="112">
        <f t="shared" si="24"/>
        <v>0</v>
      </c>
      <c r="V35" s="127"/>
      <c r="W35" s="128">
        <f t="shared" si="37"/>
        <v>710</v>
      </c>
      <c r="X35" s="128">
        <f t="shared" si="37"/>
        <v>64.5</v>
      </c>
      <c r="Y35" s="129">
        <f t="shared" si="0"/>
        <v>581</v>
      </c>
      <c r="Z35" s="122">
        <f t="shared" si="1"/>
        <v>0.41325330658111625</v>
      </c>
      <c r="AA35" s="128">
        <f t="shared" si="26"/>
        <v>2.7</v>
      </c>
      <c r="AB35" s="128">
        <v>1</v>
      </c>
      <c r="AC35" s="129">
        <f t="shared" si="18"/>
        <v>1.2328767123287672</v>
      </c>
      <c r="AD35" s="130">
        <f t="shared" si="27"/>
        <v>0.3</v>
      </c>
      <c r="AE35" s="131">
        <f t="shared" si="19"/>
        <v>0.13698630136986301</v>
      </c>
      <c r="AF35" s="128">
        <f t="shared" si="28"/>
        <v>8.6999999999999994E-2</v>
      </c>
      <c r="AG35" s="121">
        <f t="shared" si="2"/>
        <v>7.3049730227497953</v>
      </c>
      <c r="AH35" s="125">
        <f t="shared" si="29"/>
        <v>0.8195508933778024</v>
      </c>
      <c r="AI35" s="125">
        <f t="shared" si="30"/>
        <v>2.1491794319490021</v>
      </c>
      <c r="AJ35" s="122">
        <f t="shared" si="31"/>
        <v>7.4212183784161431E-2</v>
      </c>
      <c r="AK35" s="121">
        <f t="shared" si="3"/>
        <v>0.83732782990464338</v>
      </c>
      <c r="AL35" s="121">
        <f t="shared" si="4"/>
        <v>0.91965394349154128</v>
      </c>
      <c r="AM35" s="121">
        <f t="shared" si="5"/>
        <v>0.86597280641296126</v>
      </c>
      <c r="AN35" s="121">
        <f t="shared" si="20"/>
        <v>1.9804403514963009</v>
      </c>
      <c r="AO35" s="121">
        <f t="shared" si="32"/>
        <v>3.3989591162824486</v>
      </c>
      <c r="AP35" s="121">
        <f t="shared" si="33"/>
        <v>3.6885599797189546</v>
      </c>
    </row>
    <row r="36" spans="1:42">
      <c r="A36" s="105">
        <f t="shared" si="6"/>
        <v>1499.595956316675</v>
      </c>
      <c r="B36" s="106">
        <f t="shared" si="7"/>
        <v>5398.54544274003</v>
      </c>
      <c r="C36" s="107">
        <f t="shared" si="21"/>
        <v>1.499595956316675</v>
      </c>
      <c r="D36" s="108">
        <f t="shared" si="36"/>
        <v>6.7000000000000004E-2</v>
      </c>
      <c r="E36" s="108">
        <f t="shared" si="36"/>
        <v>1.0999999999999999E-2</v>
      </c>
      <c r="F36" s="108">
        <f t="shared" si="36"/>
        <v>710</v>
      </c>
      <c r="G36" s="108">
        <f t="shared" si="36"/>
        <v>64.5</v>
      </c>
      <c r="H36" s="108">
        <f t="shared" si="36"/>
        <v>0.58099999999999996</v>
      </c>
      <c r="I36" s="113">
        <f t="shared" si="9"/>
        <v>0.41906330658111623</v>
      </c>
      <c r="J36" s="114">
        <f t="shared" si="35"/>
        <v>0.72127935728247206</v>
      </c>
      <c r="K36" s="115">
        <f t="shared" si="10"/>
        <v>0.52100566676737747</v>
      </c>
      <c r="L36" s="115">
        <f t="shared" si="11"/>
        <v>1.1123463025882974</v>
      </c>
      <c r="M36" s="112">
        <f t="shared" si="12"/>
        <v>0.20473971250616058</v>
      </c>
      <c r="N36" s="116">
        <f t="shared" si="13"/>
        <v>1.1789921299318691</v>
      </c>
      <c r="O36" s="115">
        <f t="shared" si="14"/>
        <v>0.17365655572102245</v>
      </c>
      <c r="P36" s="117">
        <f t="shared" si="15"/>
        <v>7.3244019831841483</v>
      </c>
      <c r="Q36" s="115">
        <f t="shared" si="16"/>
        <v>3.1533581287662278</v>
      </c>
      <c r="R36" s="115">
        <f t="shared" si="17"/>
        <v>3.7304209958767247</v>
      </c>
      <c r="S36" s="119">
        <f t="shared" si="22"/>
        <v>1.499595956316675</v>
      </c>
      <c r="T36" s="119">
        <f t="shared" si="23"/>
        <v>1.499595956316675</v>
      </c>
      <c r="U36" s="112">
        <f t="shared" si="24"/>
        <v>0</v>
      </c>
      <c r="V36" s="127"/>
      <c r="W36" s="128">
        <f t="shared" si="37"/>
        <v>710</v>
      </c>
      <c r="X36" s="128">
        <f t="shared" si="37"/>
        <v>64.5</v>
      </c>
      <c r="Y36" s="129">
        <f t="shared" si="0"/>
        <v>581</v>
      </c>
      <c r="Z36" s="122">
        <f t="shared" si="1"/>
        <v>0.41906330658111623</v>
      </c>
      <c r="AA36" s="128">
        <f t="shared" si="26"/>
        <v>2.7</v>
      </c>
      <c r="AB36" s="128">
        <v>1</v>
      </c>
      <c r="AC36" s="129">
        <f t="shared" si="18"/>
        <v>1.2328767123287672</v>
      </c>
      <c r="AD36" s="130">
        <f t="shared" si="27"/>
        <v>0.3</v>
      </c>
      <c r="AE36" s="131">
        <f t="shared" si="19"/>
        <v>0.13698630136986301</v>
      </c>
      <c r="AF36" s="128">
        <f t="shared" si="28"/>
        <v>8.6999999999999994E-2</v>
      </c>
      <c r="AG36" s="121">
        <f t="shared" si="2"/>
        <v>7.3244019831841483</v>
      </c>
      <c r="AH36" s="125">
        <f t="shared" si="29"/>
        <v>0.8195508933778024</v>
      </c>
      <c r="AI36" s="125">
        <f t="shared" si="30"/>
        <v>2.1491794319490021</v>
      </c>
      <c r="AJ36" s="122">
        <f t="shared" si="31"/>
        <v>7.455835385525153E-2</v>
      </c>
      <c r="AK36" s="121">
        <f t="shared" si="3"/>
        <v>0.83732782990464338</v>
      </c>
      <c r="AL36" s="121">
        <f t="shared" si="4"/>
        <v>0.91965394349154128</v>
      </c>
      <c r="AM36" s="121">
        <f t="shared" si="5"/>
        <v>0.86597280641296126</v>
      </c>
      <c r="AN36" s="121">
        <f t="shared" si="20"/>
        <v>1.9804403514963009</v>
      </c>
      <c r="AO36" s="121">
        <f t="shared" si="32"/>
        <v>3.4079992923354707</v>
      </c>
      <c r="AP36" s="121">
        <f t="shared" si="33"/>
        <v>3.6983704041630303</v>
      </c>
    </row>
    <row r="37" spans="1:42">
      <c r="A37" s="105">
        <f t="shared" si="6"/>
        <v>1525.3019384823363</v>
      </c>
      <c r="B37" s="106">
        <f t="shared" si="7"/>
        <v>5491.0869785364102</v>
      </c>
      <c r="C37" s="107">
        <f t="shared" si="21"/>
        <v>1.5253019384823361</v>
      </c>
      <c r="D37" s="108">
        <f t="shared" si="36"/>
        <v>6.7000000000000004E-2</v>
      </c>
      <c r="E37" s="108">
        <f t="shared" si="36"/>
        <v>1.0999999999999999E-2</v>
      </c>
      <c r="F37" s="108">
        <f t="shared" si="36"/>
        <v>710</v>
      </c>
      <c r="G37" s="108">
        <f t="shared" si="36"/>
        <v>64.5</v>
      </c>
      <c r="H37" s="108">
        <f t="shared" si="36"/>
        <v>0.58099999999999996</v>
      </c>
      <c r="I37" s="113">
        <f t="shared" si="9"/>
        <v>0.42487330658111622</v>
      </c>
      <c r="J37" s="114">
        <f t="shared" si="35"/>
        <v>0.73127935728247206</v>
      </c>
      <c r="K37" s="115">
        <f t="shared" si="10"/>
        <v>0.51510800606652318</v>
      </c>
      <c r="L37" s="115">
        <f t="shared" si="11"/>
        <v>1.0899172715477552</v>
      </c>
      <c r="M37" s="112">
        <f t="shared" si="12"/>
        <v>0.20774978142015527</v>
      </c>
      <c r="N37" s="116">
        <f t="shared" si="13"/>
        <v>1.192023396966424</v>
      </c>
      <c r="O37" s="115">
        <f t="shared" si="14"/>
        <v>0.17428330848946164</v>
      </c>
      <c r="P37" s="117">
        <f t="shared" si="15"/>
        <v>7.3420146488508209</v>
      </c>
      <c r="Q37" s="115">
        <f t="shared" si="16"/>
        <v>3.1723340152426882</v>
      </c>
      <c r="R37" s="115">
        <f t="shared" si="17"/>
        <v>3.6911322444115076</v>
      </c>
      <c r="S37" s="119">
        <f t="shared" si="22"/>
        <v>1.5253019384823361</v>
      </c>
      <c r="T37" s="119">
        <f t="shared" si="23"/>
        <v>1.5253019384823361</v>
      </c>
      <c r="U37" s="112">
        <f t="shared" si="24"/>
        <v>0</v>
      </c>
      <c r="V37" s="127"/>
      <c r="W37" s="128">
        <f t="shared" si="37"/>
        <v>710</v>
      </c>
      <c r="X37" s="128">
        <f t="shared" si="37"/>
        <v>64.5</v>
      </c>
      <c r="Y37" s="129">
        <f t="shared" si="0"/>
        <v>581</v>
      </c>
      <c r="Z37" s="122">
        <f t="shared" si="1"/>
        <v>0.42487330658111622</v>
      </c>
      <c r="AA37" s="128">
        <f t="shared" si="26"/>
        <v>2.7</v>
      </c>
      <c r="AB37" s="128">
        <v>1</v>
      </c>
      <c r="AC37" s="129">
        <f t="shared" si="18"/>
        <v>1.2328767123287672</v>
      </c>
      <c r="AD37" s="130">
        <f t="shared" si="27"/>
        <v>0.3</v>
      </c>
      <c r="AE37" s="131">
        <f t="shared" si="19"/>
        <v>0.13698630136986301</v>
      </c>
      <c r="AF37" s="128">
        <f t="shared" si="28"/>
        <v>8.6999999999999994E-2</v>
      </c>
      <c r="AG37" s="121">
        <f t="shared" si="2"/>
        <v>7.3420146488508209</v>
      </c>
      <c r="AH37" s="125">
        <f t="shared" si="29"/>
        <v>0.8195508933778024</v>
      </c>
      <c r="AI37" s="125">
        <f t="shared" si="30"/>
        <v>2.1491794319490021</v>
      </c>
      <c r="AJ37" s="122">
        <f t="shared" si="31"/>
        <v>7.4901338938994144E-2</v>
      </c>
      <c r="AK37" s="121">
        <f t="shared" si="3"/>
        <v>0.83732782990464338</v>
      </c>
      <c r="AL37" s="121">
        <f t="shared" si="4"/>
        <v>0.91965394349154128</v>
      </c>
      <c r="AM37" s="121">
        <f t="shared" si="5"/>
        <v>0.86597280641296126</v>
      </c>
      <c r="AN37" s="121">
        <f t="shared" si="20"/>
        <v>1.9804403514963009</v>
      </c>
      <c r="AO37" s="121">
        <f t="shared" si="32"/>
        <v>3.4161943575798372</v>
      </c>
      <c r="AP37" s="121">
        <f t="shared" si="33"/>
        <v>3.7072637119838721</v>
      </c>
    </row>
    <row r="38" spans="1:42">
      <c r="A38" s="105">
        <f t="shared" si="6"/>
        <v>1550.464911626766</v>
      </c>
      <c r="B38" s="106">
        <f t="shared" si="7"/>
        <v>5581.6736818563577</v>
      </c>
      <c r="C38" s="107">
        <f t="shared" si="21"/>
        <v>1.5504649116267661</v>
      </c>
      <c r="D38" s="108">
        <f t="shared" si="36"/>
        <v>6.7000000000000004E-2</v>
      </c>
      <c r="E38" s="108">
        <f t="shared" si="36"/>
        <v>1.0999999999999999E-2</v>
      </c>
      <c r="F38" s="108">
        <f t="shared" si="36"/>
        <v>710</v>
      </c>
      <c r="G38" s="108">
        <f t="shared" si="36"/>
        <v>64.5</v>
      </c>
      <c r="H38" s="108">
        <f t="shared" si="36"/>
        <v>0.58099999999999996</v>
      </c>
      <c r="I38" s="113">
        <f t="shared" si="9"/>
        <v>0.43068330658111625</v>
      </c>
      <c r="J38" s="114">
        <f t="shared" si="35"/>
        <v>0.74127935728247207</v>
      </c>
      <c r="K38" s="115">
        <f t="shared" si="10"/>
        <v>0.50887676526241499</v>
      </c>
      <c r="L38" s="115">
        <f t="shared" si="11"/>
        <v>1.0672225956451284</v>
      </c>
      <c r="M38" s="112">
        <f t="shared" si="12"/>
        <v>0.21072462158085864</v>
      </c>
      <c r="N38" s="116">
        <f t="shared" si="13"/>
        <v>1.20520900366585</v>
      </c>
      <c r="O38" s="115">
        <f t="shared" si="14"/>
        <v>0.17484487830733386</v>
      </c>
      <c r="P38" s="117">
        <f t="shared" si="15"/>
        <v>7.3577776531055541</v>
      </c>
      <c r="Q38" s="115">
        <f t="shared" si="16"/>
        <v>3.189954050339499</v>
      </c>
      <c r="R38" s="115">
        <f t="shared" si="17"/>
        <v>3.6505712196758475</v>
      </c>
      <c r="S38" s="119">
        <f t="shared" si="22"/>
        <v>1.5504649116267661</v>
      </c>
      <c r="T38" s="119">
        <f t="shared" si="23"/>
        <v>1.5504649116267661</v>
      </c>
      <c r="U38" s="112">
        <f t="shared" si="24"/>
        <v>0</v>
      </c>
      <c r="V38" s="127"/>
      <c r="W38" s="128">
        <f t="shared" si="37"/>
        <v>710</v>
      </c>
      <c r="X38" s="128">
        <f t="shared" si="37"/>
        <v>64.5</v>
      </c>
      <c r="Y38" s="129">
        <f t="shared" si="0"/>
        <v>581</v>
      </c>
      <c r="Z38" s="122">
        <f t="shared" si="1"/>
        <v>0.43068330658111625</v>
      </c>
      <c r="AA38" s="128">
        <f t="shared" si="26"/>
        <v>2.7</v>
      </c>
      <c r="AB38" s="128">
        <v>1</v>
      </c>
      <c r="AC38" s="129">
        <f t="shared" si="18"/>
        <v>1.2328767123287672</v>
      </c>
      <c r="AD38" s="130">
        <f t="shared" si="27"/>
        <v>0.3</v>
      </c>
      <c r="AE38" s="131">
        <f t="shared" si="19"/>
        <v>0.13698630136986301</v>
      </c>
      <c r="AF38" s="128">
        <f t="shared" si="28"/>
        <v>8.6999999999999994E-2</v>
      </c>
      <c r="AG38" s="121">
        <f t="shared" si="2"/>
        <v>7.3577776531055541</v>
      </c>
      <c r="AH38" s="125">
        <f t="shared" si="29"/>
        <v>0.8195508933778024</v>
      </c>
      <c r="AI38" s="125">
        <f t="shared" si="30"/>
        <v>2.1491794319490021</v>
      </c>
      <c r="AJ38" s="122">
        <f t="shared" si="31"/>
        <v>7.5241211299415703E-2</v>
      </c>
      <c r="AK38" s="121">
        <f t="shared" si="3"/>
        <v>0.83732782990464338</v>
      </c>
      <c r="AL38" s="121">
        <f t="shared" si="4"/>
        <v>0.91965394349154128</v>
      </c>
      <c r="AM38" s="121">
        <f t="shared" si="5"/>
        <v>0.86597280641296126</v>
      </c>
      <c r="AN38" s="121">
        <f t="shared" si="20"/>
        <v>1.9804403514963009</v>
      </c>
      <c r="AO38" s="121">
        <f t="shared" si="32"/>
        <v>3.4235287867207482</v>
      </c>
      <c r="AP38" s="121">
        <f t="shared" si="33"/>
        <v>3.7152230550879568</v>
      </c>
    </row>
    <row r="39" spans="1:42">
      <c r="A39" s="105">
        <f t="shared" si="6"/>
        <v>1575.0442075642768</v>
      </c>
      <c r="B39" s="106">
        <f t="shared" si="7"/>
        <v>5670.1591472313967</v>
      </c>
      <c r="C39" s="107">
        <f t="shared" si="21"/>
        <v>1.5750442075642768</v>
      </c>
      <c r="D39" s="108">
        <f t="shared" ref="D39:H54" si="38">D38</f>
        <v>6.7000000000000004E-2</v>
      </c>
      <c r="E39" s="108">
        <f t="shared" si="38"/>
        <v>1.0999999999999999E-2</v>
      </c>
      <c r="F39" s="108">
        <f t="shared" si="38"/>
        <v>710</v>
      </c>
      <c r="G39" s="108">
        <f t="shared" si="38"/>
        <v>64.5</v>
      </c>
      <c r="H39" s="108">
        <f t="shared" si="38"/>
        <v>0.58099999999999996</v>
      </c>
      <c r="I39" s="113">
        <f t="shared" si="9"/>
        <v>0.43649330658111624</v>
      </c>
      <c r="J39" s="114">
        <f t="shared" si="35"/>
        <v>0.75127935728247208</v>
      </c>
      <c r="K39" s="115">
        <f t="shared" si="10"/>
        <v>0.50229952989630466</v>
      </c>
      <c r="L39" s="115">
        <f t="shared" si="11"/>
        <v>1.0442404735387711</v>
      </c>
      <c r="M39" s="112">
        <f t="shared" si="12"/>
        <v>0.21366225944440162</v>
      </c>
      <c r="N39" s="116">
        <f t="shared" si="13"/>
        <v>1.2185616166096438</v>
      </c>
      <c r="O39" s="115">
        <f t="shared" si="14"/>
        <v>0.17533972556830218</v>
      </c>
      <c r="P39" s="117">
        <f t="shared" si="15"/>
        <v>7.3716538038114718</v>
      </c>
      <c r="Q39" s="115">
        <f t="shared" si="16"/>
        <v>3.2061813699474841</v>
      </c>
      <c r="R39" s="115">
        <f t="shared" si="17"/>
        <v>3.6086761140604975</v>
      </c>
      <c r="S39" s="119">
        <f t="shared" si="22"/>
        <v>1.5750442075642768</v>
      </c>
      <c r="T39" s="119">
        <f t="shared" si="23"/>
        <v>1.5750442075642768</v>
      </c>
      <c r="U39" s="112">
        <f t="shared" si="24"/>
        <v>0</v>
      </c>
      <c r="V39" s="127"/>
      <c r="W39" s="128">
        <f t="shared" ref="W39:X54" si="39">W38</f>
        <v>710</v>
      </c>
      <c r="X39" s="128">
        <f t="shared" si="39"/>
        <v>64.5</v>
      </c>
      <c r="Y39" s="129">
        <f t="shared" si="0"/>
        <v>581</v>
      </c>
      <c r="Z39" s="122">
        <f t="shared" si="1"/>
        <v>0.43649330658111624</v>
      </c>
      <c r="AA39" s="128">
        <f t="shared" si="26"/>
        <v>2.7</v>
      </c>
      <c r="AB39" s="128">
        <v>1</v>
      </c>
      <c r="AC39" s="129">
        <f t="shared" si="18"/>
        <v>1.2328767123287672</v>
      </c>
      <c r="AD39" s="130">
        <f t="shared" si="27"/>
        <v>0.3</v>
      </c>
      <c r="AE39" s="131">
        <f t="shared" si="19"/>
        <v>0.13698630136986301</v>
      </c>
      <c r="AF39" s="128">
        <f t="shared" si="28"/>
        <v>8.6999999999999994E-2</v>
      </c>
      <c r="AG39" s="121">
        <f t="shared" si="2"/>
        <v>7.3716538038114718</v>
      </c>
      <c r="AH39" s="125">
        <f t="shared" si="29"/>
        <v>0.8195508933778024</v>
      </c>
      <c r="AI39" s="125">
        <f t="shared" si="30"/>
        <v>2.1491794319490021</v>
      </c>
      <c r="AJ39" s="122">
        <f t="shared" si="31"/>
        <v>7.5578040612371791E-2</v>
      </c>
      <c r="AK39" s="121">
        <f t="shared" si="3"/>
        <v>0.83732782990464338</v>
      </c>
      <c r="AL39" s="121">
        <f t="shared" si="4"/>
        <v>0.91965394349154128</v>
      </c>
      <c r="AM39" s="121">
        <f t="shared" si="5"/>
        <v>0.86597280641296126</v>
      </c>
      <c r="AN39" s="121">
        <f t="shared" si="20"/>
        <v>1.9804403514963009</v>
      </c>
      <c r="AO39" s="121">
        <f t="shared" si="32"/>
        <v>3.4299852744851664</v>
      </c>
      <c r="AP39" s="121">
        <f t="shared" si="33"/>
        <v>3.7222296537443786</v>
      </c>
    </row>
    <row r="40" spans="1:42">
      <c r="A40" s="105">
        <f t="shared" si="6"/>
        <v>1598.9975353079374</v>
      </c>
      <c r="B40" s="106">
        <f t="shared" si="7"/>
        <v>5756.3911271085744</v>
      </c>
      <c r="C40" s="107">
        <f t="shared" si="21"/>
        <v>1.5989975353079373</v>
      </c>
      <c r="D40" s="108">
        <f t="shared" si="38"/>
        <v>6.7000000000000004E-2</v>
      </c>
      <c r="E40" s="108">
        <f t="shared" si="38"/>
        <v>1.0999999999999999E-2</v>
      </c>
      <c r="F40" s="108">
        <f t="shared" si="38"/>
        <v>710</v>
      </c>
      <c r="G40" s="108">
        <f t="shared" si="38"/>
        <v>64.5</v>
      </c>
      <c r="H40" s="108">
        <f t="shared" si="38"/>
        <v>0.58099999999999996</v>
      </c>
      <c r="I40" s="113">
        <f t="shared" si="9"/>
        <v>0.44230330658111627</v>
      </c>
      <c r="J40" s="114">
        <f t="shared" si="35"/>
        <v>0.76127935728247209</v>
      </c>
      <c r="K40" s="115">
        <f t="shared" si="10"/>
        <v>0.49536251820677596</v>
      </c>
      <c r="L40" s="115">
        <f t="shared" si="11"/>
        <v>1.0209470654828605</v>
      </c>
      <c r="M40" s="112">
        <f t="shared" si="12"/>
        <v>0.21656064545180956</v>
      </c>
      <c r="N40" s="116">
        <f t="shared" si="13"/>
        <v>1.2320950866901277</v>
      </c>
      <c r="O40" s="115">
        <f t="shared" si="14"/>
        <v>0.17576617891852256</v>
      </c>
      <c r="P40" s="117">
        <f t="shared" si="15"/>
        <v>7.383601632567891</v>
      </c>
      <c r="Q40" s="115">
        <f t="shared" si="16"/>
        <v>3.2209767555341862</v>
      </c>
      <c r="R40" s="115">
        <f t="shared" si="17"/>
        <v>3.5653778008744146</v>
      </c>
      <c r="S40" s="119">
        <f t="shared" si="22"/>
        <v>1.5989975353079373</v>
      </c>
      <c r="T40" s="119">
        <f t="shared" si="23"/>
        <v>1.5989975353079373</v>
      </c>
      <c r="U40" s="112">
        <f t="shared" si="24"/>
        <v>0</v>
      </c>
      <c r="V40" s="127"/>
      <c r="W40" s="128">
        <f t="shared" si="39"/>
        <v>710</v>
      </c>
      <c r="X40" s="128">
        <f t="shared" si="39"/>
        <v>64.5</v>
      </c>
      <c r="Y40" s="129">
        <f t="shared" si="0"/>
        <v>581</v>
      </c>
      <c r="Z40" s="122">
        <f t="shared" si="1"/>
        <v>0.44230330658111627</v>
      </c>
      <c r="AA40" s="128">
        <f t="shared" si="26"/>
        <v>2.7</v>
      </c>
      <c r="AB40" s="128">
        <v>1</v>
      </c>
      <c r="AC40" s="129">
        <f t="shared" si="18"/>
        <v>1.2328767123287672</v>
      </c>
      <c r="AD40" s="130">
        <f t="shared" si="27"/>
        <v>0.3</v>
      </c>
      <c r="AE40" s="131">
        <f t="shared" si="19"/>
        <v>0.13698630136986301</v>
      </c>
      <c r="AF40" s="128">
        <f t="shared" si="28"/>
        <v>8.6999999999999994E-2</v>
      </c>
      <c r="AG40" s="121">
        <f t="shared" si="2"/>
        <v>7.383601632567891</v>
      </c>
      <c r="AH40" s="125">
        <f t="shared" si="29"/>
        <v>0.8195508933778024</v>
      </c>
      <c r="AI40" s="125">
        <f t="shared" si="30"/>
        <v>2.1491794319490021</v>
      </c>
      <c r="AJ40" s="122">
        <f t="shared" si="31"/>
        <v>7.5911894091318072E-2</v>
      </c>
      <c r="AK40" s="121">
        <f t="shared" si="3"/>
        <v>0.83732782990464338</v>
      </c>
      <c r="AL40" s="121">
        <f t="shared" si="4"/>
        <v>0.91965394349154128</v>
      </c>
      <c r="AM40" s="121">
        <f t="shared" si="5"/>
        <v>0.86597280641296126</v>
      </c>
      <c r="AN40" s="121">
        <f t="shared" si="20"/>
        <v>1.9804403514963009</v>
      </c>
      <c r="AO40" s="121">
        <f t="shared" si="32"/>
        <v>3.4355445258807484</v>
      </c>
      <c r="AP40" s="121">
        <f t="shared" si="33"/>
        <v>3.7282625689732529</v>
      </c>
    </row>
    <row r="41" spans="1:42">
      <c r="A41" s="105">
        <f t="shared" si="6"/>
        <v>1622.2807878172518</v>
      </c>
      <c r="B41" s="106">
        <f t="shared" si="7"/>
        <v>5840.2108361421069</v>
      </c>
      <c r="C41" s="107">
        <f t="shared" si="21"/>
        <v>1.622280787817252</v>
      </c>
      <c r="D41" s="108">
        <f t="shared" si="38"/>
        <v>6.7000000000000004E-2</v>
      </c>
      <c r="E41" s="108">
        <f t="shared" si="38"/>
        <v>1.0999999999999999E-2</v>
      </c>
      <c r="F41" s="108">
        <f t="shared" si="38"/>
        <v>710</v>
      </c>
      <c r="G41" s="108">
        <f t="shared" si="38"/>
        <v>64.5</v>
      </c>
      <c r="H41" s="108">
        <f t="shared" si="38"/>
        <v>0.58099999999999996</v>
      </c>
      <c r="I41" s="113">
        <f t="shared" si="9"/>
        <v>0.44811330658111626</v>
      </c>
      <c r="J41" s="114">
        <f t="shared" si="35"/>
        <v>0.7712793572824721</v>
      </c>
      <c r="K41" s="115">
        <f t="shared" si="10"/>
        <v>0.48805038915491927</v>
      </c>
      <c r="L41" s="115">
        <f t="shared" si="11"/>
        <v>0.99731617926515137</v>
      </c>
      <c r="M41" s="112">
        <f t="shared" si="12"/>
        <v>0.21941764554382875</v>
      </c>
      <c r="N41" s="116">
        <f t="shared" si="13"/>
        <v>1.2458246315826169</v>
      </c>
      <c r="O41" s="115">
        <f t="shared" si="14"/>
        <v>0.17612241721781857</v>
      </c>
      <c r="P41" s="117">
        <f t="shared" si="15"/>
        <v>7.3935748594713679</v>
      </c>
      <c r="Q41" s="115">
        <f t="shared" si="16"/>
        <v>3.2342982812297936</v>
      </c>
      <c r="R41" s="115">
        <f t="shared" si="17"/>
        <v>3.5205987234637206</v>
      </c>
      <c r="S41" s="119">
        <f t="shared" si="22"/>
        <v>1.622280787817252</v>
      </c>
      <c r="T41" s="119">
        <f t="shared" si="23"/>
        <v>1.622280787817252</v>
      </c>
      <c r="U41" s="112">
        <f t="shared" si="24"/>
        <v>0</v>
      </c>
      <c r="V41" s="127"/>
      <c r="W41" s="128">
        <f t="shared" si="39"/>
        <v>710</v>
      </c>
      <c r="X41" s="128">
        <f t="shared" si="39"/>
        <v>64.5</v>
      </c>
      <c r="Y41" s="129">
        <f t="shared" si="0"/>
        <v>581</v>
      </c>
      <c r="Z41" s="122">
        <f t="shared" si="1"/>
        <v>0.44811330658111626</v>
      </c>
      <c r="AA41" s="128">
        <f t="shared" si="26"/>
        <v>2.7</v>
      </c>
      <c r="AB41" s="128">
        <v>1</v>
      </c>
      <c r="AC41" s="129">
        <f t="shared" si="18"/>
        <v>1.2328767123287672</v>
      </c>
      <c r="AD41" s="130">
        <f t="shared" si="27"/>
        <v>0.3</v>
      </c>
      <c r="AE41" s="131">
        <f t="shared" si="19"/>
        <v>0.13698630136986301</v>
      </c>
      <c r="AF41" s="128">
        <f t="shared" si="28"/>
        <v>8.6999999999999994E-2</v>
      </c>
      <c r="AG41" s="121">
        <f t="shared" si="2"/>
        <v>7.3935748594713679</v>
      </c>
      <c r="AH41" s="125">
        <f t="shared" si="29"/>
        <v>0.8195508933778024</v>
      </c>
      <c r="AI41" s="125">
        <f t="shared" si="30"/>
        <v>2.1491794319490021</v>
      </c>
      <c r="AJ41" s="122">
        <f t="shared" si="31"/>
        <v>7.6242836605404443E-2</v>
      </c>
      <c r="AK41" s="121">
        <f t="shared" si="3"/>
        <v>0.83732782990464338</v>
      </c>
      <c r="AL41" s="121">
        <f t="shared" si="4"/>
        <v>0.91965394349154128</v>
      </c>
      <c r="AM41" s="121">
        <f t="shared" si="5"/>
        <v>0.86597280641296126</v>
      </c>
      <c r="AN41" s="121">
        <f t="shared" si="20"/>
        <v>1.9804403514963009</v>
      </c>
      <c r="AO41" s="121">
        <f t="shared" si="32"/>
        <v>3.4401850071524462</v>
      </c>
      <c r="AP41" s="121">
        <f t="shared" si="33"/>
        <v>3.7332984322831182</v>
      </c>
    </row>
    <row r="42" spans="1:42">
      <c r="A42" s="105">
        <f t="shared" si="6"/>
        <v>1644.8478136580616</v>
      </c>
      <c r="B42" s="106">
        <f t="shared" si="7"/>
        <v>5921.4521291690216</v>
      </c>
      <c r="C42" s="107">
        <f t="shared" si="21"/>
        <v>1.6448478136580615</v>
      </c>
      <c r="D42" s="108">
        <f t="shared" si="38"/>
        <v>6.7000000000000004E-2</v>
      </c>
      <c r="E42" s="108">
        <f t="shared" si="38"/>
        <v>1.0999999999999999E-2</v>
      </c>
      <c r="F42" s="108">
        <f t="shared" si="38"/>
        <v>710</v>
      </c>
      <c r="G42" s="108">
        <f t="shared" si="38"/>
        <v>64.5</v>
      </c>
      <c r="H42" s="108">
        <f t="shared" si="38"/>
        <v>0.58099999999999996</v>
      </c>
      <c r="I42" s="113">
        <f t="shared" si="9"/>
        <v>0.45392330658111624</v>
      </c>
      <c r="J42" s="114">
        <f t="shared" si="35"/>
        <v>0.78127935728247211</v>
      </c>
      <c r="K42" s="115">
        <f t="shared" si="10"/>
        <v>0.48034601222907836</v>
      </c>
      <c r="L42" s="115">
        <f t="shared" si="11"/>
        <v>0.97331889397120752</v>
      </c>
      <c r="M42" s="112">
        <f t="shared" si="12"/>
        <v>0.22223103145341694</v>
      </c>
      <c r="N42" s="116">
        <f t="shared" si="13"/>
        <v>1.2597670543383981</v>
      </c>
      <c r="O42" s="115">
        <f t="shared" si="14"/>
        <v>0.17640644807156652</v>
      </c>
      <c r="P42" s="117">
        <f t="shared" si="15"/>
        <v>7.4015217537378311</v>
      </c>
      <c r="Q42" s="115">
        <f t="shared" si="16"/>
        <v>3.246100894300501</v>
      </c>
      <c r="R42" s="115">
        <f t="shared" si="17"/>
        <v>3.4742515506327161</v>
      </c>
      <c r="S42" s="119">
        <f t="shared" si="22"/>
        <v>1.6448478136580615</v>
      </c>
      <c r="T42" s="119">
        <f t="shared" si="23"/>
        <v>1.6448478136580615</v>
      </c>
      <c r="U42" s="112">
        <f t="shared" si="24"/>
        <v>0</v>
      </c>
      <c r="V42" s="127"/>
      <c r="W42" s="128">
        <f t="shared" si="39"/>
        <v>710</v>
      </c>
      <c r="X42" s="128">
        <f t="shared" si="39"/>
        <v>64.5</v>
      </c>
      <c r="Y42" s="129">
        <f t="shared" si="0"/>
        <v>581</v>
      </c>
      <c r="Z42" s="122">
        <f t="shared" si="1"/>
        <v>0.45392330658111624</v>
      </c>
      <c r="AA42" s="128">
        <f t="shared" si="26"/>
        <v>2.7</v>
      </c>
      <c r="AB42" s="128">
        <v>1</v>
      </c>
      <c r="AC42" s="129">
        <f t="shared" si="18"/>
        <v>1.2328767123287672</v>
      </c>
      <c r="AD42" s="130">
        <f t="shared" si="27"/>
        <v>0.3</v>
      </c>
      <c r="AE42" s="131">
        <f t="shared" si="19"/>
        <v>0.13698630136986301</v>
      </c>
      <c r="AF42" s="128">
        <f t="shared" si="28"/>
        <v>8.6999999999999994E-2</v>
      </c>
      <c r="AG42" s="121">
        <f t="shared" si="2"/>
        <v>7.4015217537378311</v>
      </c>
      <c r="AH42" s="125">
        <f t="shared" si="29"/>
        <v>0.8195508933778024</v>
      </c>
      <c r="AI42" s="125">
        <f t="shared" si="30"/>
        <v>2.1491794319490021</v>
      </c>
      <c r="AJ42" s="122">
        <f t="shared" si="31"/>
        <v>7.6570930790453656E-2</v>
      </c>
      <c r="AK42" s="121">
        <f t="shared" si="3"/>
        <v>0.83732782990464338</v>
      </c>
      <c r="AL42" s="121">
        <f t="shared" si="4"/>
        <v>0.91965394349154128</v>
      </c>
      <c r="AM42" s="121">
        <f t="shared" si="5"/>
        <v>0.86597280641296126</v>
      </c>
      <c r="AN42" s="121">
        <f t="shared" si="20"/>
        <v>1.9804403514963009</v>
      </c>
      <c r="AO42" s="121">
        <f t="shared" si="32"/>
        <v>3.4438826482839064</v>
      </c>
      <c r="AP42" s="121">
        <f t="shared" si="33"/>
        <v>3.737311122824623</v>
      </c>
    </row>
    <row r="43" spans="1:42">
      <c r="A43" s="105">
        <f t="shared" si="6"/>
        <v>1666.6501452597579</v>
      </c>
      <c r="B43" s="106">
        <f t="shared" si="7"/>
        <v>5999.9405229351287</v>
      </c>
      <c r="C43" s="107">
        <f t="shared" si="21"/>
        <v>1.666650145259758</v>
      </c>
      <c r="D43" s="108">
        <f t="shared" si="38"/>
        <v>6.7000000000000004E-2</v>
      </c>
      <c r="E43" s="108">
        <f t="shared" si="38"/>
        <v>1.0999999999999999E-2</v>
      </c>
      <c r="F43" s="108">
        <f t="shared" si="38"/>
        <v>710</v>
      </c>
      <c r="G43" s="108">
        <f t="shared" si="38"/>
        <v>64.5</v>
      </c>
      <c r="H43" s="108">
        <f t="shared" si="38"/>
        <v>0.58099999999999996</v>
      </c>
      <c r="I43" s="113">
        <f t="shared" si="9"/>
        <v>0.45973330658111627</v>
      </c>
      <c r="J43" s="114">
        <f t="shared" si="35"/>
        <v>0.79127935728247212</v>
      </c>
      <c r="K43" s="115">
        <f t="shared" si="10"/>
        <v>0.47223018939335887</v>
      </c>
      <c r="L43" s="115">
        <f t="shared" si="11"/>
        <v>0.94892310565198601</v>
      </c>
      <c r="M43" s="112">
        <f t="shared" si="12"/>
        <v>0.22499846952709096</v>
      </c>
      <c r="N43" s="116">
        <f t="shared" si="13"/>
        <v>1.2739410073518658</v>
      </c>
      <c r="O43" s="115">
        <f t="shared" si="14"/>
        <v>0.17661608208593116</v>
      </c>
      <c r="P43" s="117">
        <f t="shared" si="15"/>
        <v>7.4073843647149111</v>
      </c>
      <c r="Q43" s="115">
        <f t="shared" si="16"/>
        <v>3.2563359124232636</v>
      </c>
      <c r="R43" s="115">
        <f t="shared" si="17"/>
        <v>3.4262375365599054</v>
      </c>
      <c r="S43" s="119">
        <f t="shared" si="22"/>
        <v>1.666650145259758</v>
      </c>
      <c r="T43" s="119">
        <f t="shared" si="23"/>
        <v>1.666650145259758</v>
      </c>
      <c r="U43" s="112">
        <f t="shared" si="24"/>
        <v>0</v>
      </c>
      <c r="V43" s="127"/>
      <c r="W43" s="128">
        <f t="shared" si="39"/>
        <v>710</v>
      </c>
      <c r="X43" s="128">
        <f t="shared" si="39"/>
        <v>64.5</v>
      </c>
      <c r="Y43" s="129">
        <f t="shared" si="0"/>
        <v>581</v>
      </c>
      <c r="Z43" s="122">
        <f t="shared" si="1"/>
        <v>0.45973330658111627</v>
      </c>
      <c r="AA43" s="128">
        <f t="shared" si="26"/>
        <v>2.7</v>
      </c>
      <c r="AB43" s="128">
        <v>1</v>
      </c>
      <c r="AC43" s="129">
        <f t="shared" si="18"/>
        <v>1.2328767123287672</v>
      </c>
      <c r="AD43" s="130">
        <f t="shared" si="27"/>
        <v>0.3</v>
      </c>
      <c r="AE43" s="131">
        <f t="shared" si="19"/>
        <v>0.13698630136986301</v>
      </c>
      <c r="AF43" s="128">
        <f t="shared" si="28"/>
        <v>8.6999999999999994E-2</v>
      </c>
      <c r="AG43" s="121">
        <f t="shared" si="2"/>
        <v>7.4073843647149111</v>
      </c>
      <c r="AH43" s="125">
        <f t="shared" si="29"/>
        <v>0.8195508933778024</v>
      </c>
      <c r="AI43" s="125">
        <f t="shared" si="30"/>
        <v>2.1491794319490021</v>
      </c>
      <c r="AJ43" s="122">
        <f t="shared" si="31"/>
        <v>7.6896237153338612E-2</v>
      </c>
      <c r="AK43" s="121">
        <f t="shared" si="3"/>
        <v>0.83732782990464338</v>
      </c>
      <c r="AL43" s="121">
        <f t="shared" si="4"/>
        <v>0.91965394349154128</v>
      </c>
      <c r="AM43" s="121">
        <f t="shared" si="5"/>
        <v>0.86597280641296126</v>
      </c>
      <c r="AN43" s="121">
        <f t="shared" si="20"/>
        <v>1.9804403514963009</v>
      </c>
      <c r="AO43" s="121">
        <f t="shared" si="32"/>
        <v>3.4466104851922301</v>
      </c>
      <c r="AP43" s="121">
        <f t="shared" si="33"/>
        <v>3.7402713790992692</v>
      </c>
    </row>
    <row r="44" spans="1:42">
      <c r="A44" s="105">
        <f t="shared" si="6"/>
        <v>1687.6366729621736</v>
      </c>
      <c r="B44" s="106">
        <f t="shared" si="7"/>
        <v>6075.4920226638251</v>
      </c>
      <c r="C44" s="107">
        <f t="shared" si="21"/>
        <v>1.6876366729621737</v>
      </c>
      <c r="D44" s="108">
        <f t="shared" si="38"/>
        <v>6.7000000000000004E-2</v>
      </c>
      <c r="E44" s="108">
        <f t="shared" si="38"/>
        <v>1.0999999999999999E-2</v>
      </c>
      <c r="F44" s="108">
        <f t="shared" si="38"/>
        <v>710</v>
      </c>
      <c r="G44" s="108">
        <f t="shared" si="38"/>
        <v>64.5</v>
      </c>
      <c r="H44" s="108">
        <f t="shared" si="38"/>
        <v>0.58099999999999996</v>
      </c>
      <c r="I44" s="113">
        <f t="shared" si="9"/>
        <v>0.46554330658111626</v>
      </c>
      <c r="J44" s="114">
        <f t="shared" si="35"/>
        <v>0.80127935728247213</v>
      </c>
      <c r="K44" s="115">
        <f t="shared" si="10"/>
        <v>0.46368131651447558</v>
      </c>
      <c r="L44" s="115">
        <f t="shared" si="11"/>
        <v>0.9240929739382493</v>
      </c>
      <c r="M44" s="112">
        <f t="shared" si="12"/>
        <v>0.22771750776200317</v>
      </c>
      <c r="N44" s="116">
        <f t="shared" si="13"/>
        <v>1.2883673138775471</v>
      </c>
      <c r="O44" s="115">
        <f t="shared" si="14"/>
        <v>0.17674890173723126</v>
      </c>
      <c r="P44" s="117">
        <f t="shared" si="15"/>
        <v>7.4110975899402138</v>
      </c>
      <c r="Q44" s="115">
        <f t="shared" si="16"/>
        <v>3.2649504160417506</v>
      </c>
      <c r="R44" s="115">
        <f t="shared" si="17"/>
        <v>3.3764445031553953</v>
      </c>
      <c r="S44" s="119">
        <f t="shared" si="22"/>
        <v>1.6876366729621737</v>
      </c>
      <c r="T44" s="119">
        <f t="shared" si="23"/>
        <v>1.6876366729621737</v>
      </c>
      <c r="U44" s="112">
        <f t="shared" si="24"/>
        <v>0</v>
      </c>
      <c r="V44" s="127"/>
      <c r="W44" s="128">
        <f t="shared" si="39"/>
        <v>710</v>
      </c>
      <c r="X44" s="128">
        <f t="shared" si="39"/>
        <v>64.5</v>
      </c>
      <c r="Y44" s="129">
        <f t="shared" si="0"/>
        <v>581</v>
      </c>
      <c r="Z44" s="122">
        <f t="shared" si="1"/>
        <v>0.46554330658111626</v>
      </c>
      <c r="AA44" s="128">
        <f t="shared" si="26"/>
        <v>2.7</v>
      </c>
      <c r="AB44" s="128">
        <v>1</v>
      </c>
      <c r="AC44" s="129">
        <f t="shared" si="18"/>
        <v>1.2328767123287672</v>
      </c>
      <c r="AD44" s="130">
        <f t="shared" si="27"/>
        <v>0.3</v>
      </c>
      <c r="AE44" s="131">
        <f t="shared" si="19"/>
        <v>0.13698630136986301</v>
      </c>
      <c r="AF44" s="128">
        <f t="shared" si="28"/>
        <v>8.6999999999999994E-2</v>
      </c>
      <c r="AG44" s="121">
        <f t="shared" si="2"/>
        <v>7.4110975899402138</v>
      </c>
      <c r="AH44" s="125">
        <f t="shared" si="29"/>
        <v>0.8195508933778024</v>
      </c>
      <c r="AI44" s="125">
        <f t="shared" si="30"/>
        <v>2.1491794319490021</v>
      </c>
      <c r="AJ44" s="122">
        <f t="shared" si="31"/>
        <v>7.721881417022898E-2</v>
      </c>
      <c r="AK44" s="121">
        <f t="shared" si="3"/>
        <v>0.83732782990464338</v>
      </c>
      <c r="AL44" s="121">
        <f t="shared" si="4"/>
        <v>0.91965394349154128</v>
      </c>
      <c r="AM44" s="121">
        <f t="shared" si="5"/>
        <v>0.86597280641296126</v>
      </c>
      <c r="AN44" s="121">
        <f t="shared" si="20"/>
        <v>1.9804403514963009</v>
      </c>
      <c r="AO44" s="121">
        <f t="shared" si="32"/>
        <v>3.4483382261012032</v>
      </c>
      <c r="AP44" s="121">
        <f t="shared" si="33"/>
        <v>3.74214632838643</v>
      </c>
    </row>
    <row r="45" spans="1:42">
      <c r="A45" s="105">
        <f t="shared" si="6"/>
        <v>1707.7532506343314</v>
      </c>
      <c r="B45" s="106">
        <f t="shared" si="7"/>
        <v>6147.9117022835935</v>
      </c>
      <c r="C45" s="107">
        <f t="shared" si="21"/>
        <v>1.7077532506343316</v>
      </c>
      <c r="D45" s="108">
        <f t="shared" si="38"/>
        <v>6.7000000000000004E-2</v>
      </c>
      <c r="E45" s="108">
        <f t="shared" si="38"/>
        <v>1.0999999999999999E-2</v>
      </c>
      <c r="F45" s="108">
        <f t="shared" si="38"/>
        <v>710</v>
      </c>
      <c r="G45" s="108">
        <f t="shared" si="38"/>
        <v>64.5</v>
      </c>
      <c r="H45" s="108">
        <f t="shared" si="38"/>
        <v>0.58099999999999996</v>
      </c>
      <c r="I45" s="113">
        <f t="shared" si="9"/>
        <v>0.47135330658111629</v>
      </c>
      <c r="J45" s="114">
        <f t="shared" si="35"/>
        <v>0.81127935728247214</v>
      </c>
      <c r="K45" s="115">
        <f t="shared" si="10"/>
        <v>0.45467496741596292</v>
      </c>
      <c r="L45" s="115">
        <f t="shared" si="11"/>
        <v>0.89878824168057103</v>
      </c>
      <c r="M45" s="112">
        <f t="shared" si="12"/>
        <v>0.23038556066054128</v>
      </c>
      <c r="N45" s="116">
        <f t="shared" si="13"/>
        <v>1.3030693633192578</v>
      </c>
      <c r="O45" s="115">
        <f t="shared" si="14"/>
        <v>0.17680222338562937</v>
      </c>
      <c r="P45" s="117">
        <f t="shared" si="15"/>
        <v>7.412588036064462</v>
      </c>
      <c r="Q45" s="115">
        <f t="shared" si="16"/>
        <v>3.2718865070095564</v>
      </c>
      <c r="R45" s="115">
        <f t="shared" si="17"/>
        <v>3.324744334546021</v>
      </c>
      <c r="S45" s="119">
        <f t="shared" si="22"/>
        <v>1.7077532506343316</v>
      </c>
      <c r="T45" s="119">
        <f t="shared" si="23"/>
        <v>1.7077532506343316</v>
      </c>
      <c r="U45" s="112">
        <f t="shared" si="24"/>
        <v>0</v>
      </c>
      <c r="V45" s="127"/>
      <c r="W45" s="128">
        <f t="shared" si="39"/>
        <v>710</v>
      </c>
      <c r="X45" s="128">
        <f t="shared" si="39"/>
        <v>64.5</v>
      </c>
      <c r="Y45" s="129">
        <f t="shared" si="0"/>
        <v>581</v>
      </c>
      <c r="Z45" s="122">
        <f t="shared" si="1"/>
        <v>0.47135330658111629</v>
      </c>
      <c r="AA45" s="128">
        <f t="shared" si="26"/>
        <v>2.7</v>
      </c>
      <c r="AB45" s="128">
        <v>1</v>
      </c>
      <c r="AC45" s="129">
        <f t="shared" si="18"/>
        <v>1.2328767123287672</v>
      </c>
      <c r="AD45" s="130">
        <f t="shared" si="27"/>
        <v>0.3</v>
      </c>
      <c r="AE45" s="131">
        <f t="shared" si="19"/>
        <v>0.13698630136986301</v>
      </c>
      <c r="AF45" s="128">
        <f t="shared" si="28"/>
        <v>8.6999999999999994E-2</v>
      </c>
      <c r="AG45" s="121">
        <f t="shared" si="2"/>
        <v>7.412588036064462</v>
      </c>
      <c r="AH45" s="125">
        <f t="shared" si="29"/>
        <v>0.8195508933778024</v>
      </c>
      <c r="AI45" s="125">
        <f t="shared" si="30"/>
        <v>2.1491794319490021</v>
      </c>
      <c r="AJ45" s="122">
        <f t="shared" si="31"/>
        <v>7.7538718379139171E-2</v>
      </c>
      <c r="AK45" s="121">
        <f t="shared" si="3"/>
        <v>0.83732782990464338</v>
      </c>
      <c r="AL45" s="121">
        <f t="shared" si="4"/>
        <v>0.91965394349154128</v>
      </c>
      <c r="AM45" s="121">
        <f t="shared" si="5"/>
        <v>0.86597280641296126</v>
      </c>
      <c r="AN45" s="121">
        <f t="shared" si="20"/>
        <v>1.9804403514963009</v>
      </c>
      <c r="AO45" s="121">
        <f t="shared" si="32"/>
        <v>3.449031721535829</v>
      </c>
      <c r="AP45" s="121">
        <f t="shared" si="33"/>
        <v>3.7428989115799216</v>
      </c>
    </row>
    <row r="46" spans="1:42">
      <c r="A46" s="105">
        <f t="shared" si="6"/>
        <v>1726.9422139131025</v>
      </c>
      <c r="B46" s="106">
        <f t="shared" si="7"/>
        <v>6216.9919700871687</v>
      </c>
      <c r="C46" s="107">
        <f t="shared" si="21"/>
        <v>1.7269422139131023</v>
      </c>
      <c r="D46" s="108">
        <f t="shared" si="38"/>
        <v>6.7000000000000004E-2</v>
      </c>
      <c r="E46" s="108">
        <f t="shared" si="38"/>
        <v>1.0999999999999999E-2</v>
      </c>
      <c r="F46" s="108">
        <f t="shared" si="38"/>
        <v>710</v>
      </c>
      <c r="G46" s="108">
        <f t="shared" si="38"/>
        <v>64.5</v>
      </c>
      <c r="H46" s="108">
        <f t="shared" si="38"/>
        <v>0.58099999999999996</v>
      </c>
      <c r="I46" s="113">
        <f t="shared" si="9"/>
        <v>0.47716330658111628</v>
      </c>
      <c r="J46" s="114">
        <f t="shared" si="35"/>
        <v>0.82127935728247214</v>
      </c>
      <c r="K46" s="115">
        <f t="shared" si="10"/>
        <v>0.44518337783975798</v>
      </c>
      <c r="L46" s="115">
        <f t="shared" si="11"/>
        <v>0.87296338991286737</v>
      </c>
      <c r="M46" s="112">
        <f t="shared" si="12"/>
        <v>0.2329998913902715</v>
      </c>
      <c r="N46" s="116">
        <f t="shared" si="13"/>
        <v>1.3180736021962938</v>
      </c>
      <c r="O46" s="115">
        <f t="shared" si="14"/>
        <v>0.17677305045941741</v>
      </c>
      <c r="P46" s="117">
        <f t="shared" si="15"/>
        <v>7.4117726133206592</v>
      </c>
      <c r="Q46" s="115">
        <f t="shared" si="16"/>
        <v>3.2770803948364753</v>
      </c>
      <c r="R46" s="115">
        <f t="shared" si="17"/>
        <v>3.2709898333210679</v>
      </c>
      <c r="S46" s="119">
        <f t="shared" si="22"/>
        <v>1.7269422139131023</v>
      </c>
      <c r="T46" s="119">
        <f t="shared" si="23"/>
        <v>1.7269422139131023</v>
      </c>
      <c r="U46" s="112">
        <f t="shared" si="24"/>
        <v>0</v>
      </c>
      <c r="V46" s="127"/>
      <c r="W46" s="128">
        <f t="shared" si="39"/>
        <v>710</v>
      </c>
      <c r="X46" s="128">
        <f t="shared" si="39"/>
        <v>64.5</v>
      </c>
      <c r="Y46" s="129">
        <f t="shared" si="0"/>
        <v>581</v>
      </c>
      <c r="Z46" s="122">
        <f t="shared" si="1"/>
        <v>0.47716330658111628</v>
      </c>
      <c r="AA46" s="128">
        <f t="shared" si="26"/>
        <v>2.7</v>
      </c>
      <c r="AB46" s="128">
        <v>1</v>
      </c>
      <c r="AC46" s="129">
        <f t="shared" si="18"/>
        <v>1.2328767123287672</v>
      </c>
      <c r="AD46" s="130">
        <f t="shared" si="27"/>
        <v>0.3</v>
      </c>
      <c r="AE46" s="131">
        <f t="shared" si="19"/>
        <v>0.13698630136986301</v>
      </c>
      <c r="AF46" s="128">
        <f t="shared" si="28"/>
        <v>8.6999999999999994E-2</v>
      </c>
      <c r="AG46" s="121">
        <f t="shared" si="2"/>
        <v>7.4117726133206592</v>
      </c>
      <c r="AH46" s="125">
        <f t="shared" si="29"/>
        <v>0.8195508933778024</v>
      </c>
      <c r="AI46" s="125">
        <f t="shared" si="30"/>
        <v>2.1491794319490021</v>
      </c>
      <c r="AJ46" s="122">
        <f t="shared" si="31"/>
        <v>7.7856004467173973E-2</v>
      </c>
      <c r="AK46" s="121">
        <f t="shared" si="3"/>
        <v>0.83732782990464338</v>
      </c>
      <c r="AL46" s="121">
        <f t="shared" si="4"/>
        <v>0.91965394349154128</v>
      </c>
      <c r="AM46" s="121">
        <f t="shared" si="5"/>
        <v>0.86597280641296126</v>
      </c>
      <c r="AN46" s="121">
        <f t="shared" si="20"/>
        <v>1.9804403514963009</v>
      </c>
      <c r="AO46" s="121">
        <f t="shared" si="32"/>
        <v>3.4486523103374522</v>
      </c>
      <c r="AP46" s="121">
        <f t="shared" si="33"/>
        <v>3.7424871734817824</v>
      </c>
    </row>
    <row r="47" spans="1:42">
      <c r="A47" s="105">
        <f t="shared" si="6"/>
        <v>1745.1417854306965</v>
      </c>
      <c r="B47" s="106">
        <f t="shared" si="7"/>
        <v>6282.5104275505073</v>
      </c>
      <c r="C47" s="107">
        <f t="shared" si="21"/>
        <v>1.7451417854306965</v>
      </c>
      <c r="D47" s="108">
        <f t="shared" si="38"/>
        <v>6.7000000000000004E-2</v>
      </c>
      <c r="E47" s="108">
        <f t="shared" si="38"/>
        <v>1.0999999999999999E-2</v>
      </c>
      <c r="F47" s="108">
        <f t="shared" si="38"/>
        <v>710</v>
      </c>
      <c r="G47" s="108">
        <f t="shared" si="38"/>
        <v>64.5</v>
      </c>
      <c r="H47" s="108">
        <f t="shared" si="38"/>
        <v>0.58099999999999996</v>
      </c>
      <c r="I47" s="113">
        <f t="shared" si="9"/>
        <v>0.48297330658111631</v>
      </c>
      <c r="J47" s="114">
        <f t="shared" si="35"/>
        <v>0.83127935728247215</v>
      </c>
      <c r="K47" s="115">
        <f t="shared" si="10"/>
        <v>0.43517479823046545</v>
      </c>
      <c r="L47" s="115">
        <f t="shared" si="11"/>
        <v>0.84656657647644573</v>
      </c>
      <c r="M47" s="112">
        <f t="shared" si="12"/>
        <v>0.23555759058220854</v>
      </c>
      <c r="N47" s="116">
        <f t="shared" si="13"/>
        <v>1.3334101508028546</v>
      </c>
      <c r="O47" s="115">
        <f t="shared" si="14"/>
        <v>0.17665801512038726</v>
      </c>
      <c r="P47" s="117">
        <f t="shared" si="15"/>
        <v>7.4085567827271941</v>
      </c>
      <c r="Q47" s="115">
        <f t="shared" si="16"/>
        <v>3.2804612577989096</v>
      </c>
      <c r="R47" s="115">
        <f t="shared" si="17"/>
        <v>3.2150107304404774</v>
      </c>
      <c r="S47" s="119">
        <f t="shared" si="22"/>
        <v>1.7451417854306965</v>
      </c>
      <c r="T47" s="119">
        <f t="shared" si="23"/>
        <v>1.7451417854306965</v>
      </c>
      <c r="U47" s="112">
        <f t="shared" si="24"/>
        <v>0</v>
      </c>
      <c r="V47" s="127"/>
      <c r="W47" s="128">
        <f t="shared" si="39"/>
        <v>710</v>
      </c>
      <c r="X47" s="128">
        <f t="shared" si="39"/>
        <v>64.5</v>
      </c>
      <c r="Y47" s="129">
        <f t="shared" si="0"/>
        <v>581</v>
      </c>
      <c r="Z47" s="122">
        <f t="shared" si="1"/>
        <v>0.48297330658111631</v>
      </c>
      <c r="AA47" s="128">
        <f t="shared" si="26"/>
        <v>2.7</v>
      </c>
      <c r="AB47" s="128">
        <v>1</v>
      </c>
      <c r="AC47" s="129">
        <f t="shared" si="18"/>
        <v>1.2328767123287672</v>
      </c>
      <c r="AD47" s="130">
        <f t="shared" si="27"/>
        <v>0.3</v>
      </c>
      <c r="AE47" s="131">
        <f t="shared" si="19"/>
        <v>0.13698630136986301</v>
      </c>
      <c r="AF47" s="128">
        <f t="shared" si="28"/>
        <v>8.6999999999999994E-2</v>
      </c>
      <c r="AG47" s="121">
        <f t="shared" si="2"/>
        <v>7.4085567827271941</v>
      </c>
      <c r="AH47" s="125">
        <f t="shared" si="29"/>
        <v>0.8195508933778024</v>
      </c>
      <c r="AI47" s="125">
        <f t="shared" si="30"/>
        <v>2.1491794319490021</v>
      </c>
      <c r="AJ47" s="122">
        <f t="shared" si="31"/>
        <v>7.8170725352836146E-2</v>
      </c>
      <c r="AK47" s="121">
        <f t="shared" si="3"/>
        <v>0.83732782990464338</v>
      </c>
      <c r="AL47" s="121">
        <f t="shared" si="4"/>
        <v>0.91965394349154128</v>
      </c>
      <c r="AM47" s="121">
        <f t="shared" si="5"/>
        <v>0.86597280641296126</v>
      </c>
      <c r="AN47" s="121">
        <f t="shared" si="20"/>
        <v>1.9804403514963009</v>
      </c>
      <c r="AO47" s="121">
        <f t="shared" si="32"/>
        <v>3.4471560040981224</v>
      </c>
      <c r="AP47" s="121">
        <f t="shared" si="33"/>
        <v>3.7408633777481541</v>
      </c>
    </row>
    <row r="48" spans="1:42">
      <c r="A48" s="105">
        <f t="shared" si="6"/>
        <v>1762.2853318073362</v>
      </c>
      <c r="B48" s="106">
        <f t="shared" si="7"/>
        <v>6344.2271945064103</v>
      </c>
      <c r="C48" s="107">
        <f t="shared" si="21"/>
        <v>1.7622853318073362</v>
      </c>
      <c r="D48" s="108">
        <f t="shared" si="38"/>
        <v>6.7000000000000004E-2</v>
      </c>
      <c r="E48" s="108">
        <f t="shared" si="38"/>
        <v>1.0999999999999999E-2</v>
      </c>
      <c r="F48" s="108">
        <f t="shared" si="38"/>
        <v>710</v>
      </c>
      <c r="G48" s="108">
        <f t="shared" si="38"/>
        <v>64.5</v>
      </c>
      <c r="H48" s="108">
        <f t="shared" si="38"/>
        <v>0.58099999999999996</v>
      </c>
      <c r="I48" s="113">
        <f t="shared" si="9"/>
        <v>0.48878330658111629</v>
      </c>
      <c r="J48" s="114">
        <f t="shared" si="35"/>
        <v>0.84127935728247216</v>
      </c>
      <c r="K48" s="115">
        <f t="shared" si="10"/>
        <v>0.42461267212017595</v>
      </c>
      <c r="L48" s="115">
        <f t="shared" si="11"/>
        <v>0.81953828635357906</v>
      </c>
      <c r="M48" s="112">
        <f t="shared" si="12"/>
        <v>0.2380555508867718</v>
      </c>
      <c r="N48" s="116">
        <f t="shared" si="13"/>
        <v>1.3491135873642401</v>
      </c>
      <c r="O48" s="115">
        <f t="shared" si="14"/>
        <v>0.1764533046856791</v>
      </c>
      <c r="P48" s="117">
        <f t="shared" si="15"/>
        <v>7.4028323441428405</v>
      </c>
      <c r="Q48" s="115">
        <f t="shared" si="16"/>
        <v>3.2819498058414314</v>
      </c>
      <c r="R48" s="115">
        <f t="shared" si="17"/>
        <v>3.1566085559409935</v>
      </c>
      <c r="S48" s="119">
        <f t="shared" si="22"/>
        <v>1.7622853318073362</v>
      </c>
      <c r="T48" s="119">
        <f t="shared" si="23"/>
        <v>1.7622853318073362</v>
      </c>
      <c r="U48" s="112">
        <f t="shared" si="24"/>
        <v>0</v>
      </c>
      <c r="V48" s="127"/>
      <c r="W48" s="128">
        <f t="shared" si="39"/>
        <v>710</v>
      </c>
      <c r="X48" s="128">
        <f t="shared" si="39"/>
        <v>64.5</v>
      </c>
      <c r="Y48" s="129">
        <f t="shared" si="0"/>
        <v>581</v>
      </c>
      <c r="Z48" s="122">
        <f t="shared" si="1"/>
        <v>0.48878330658111629</v>
      </c>
      <c r="AA48" s="128">
        <f t="shared" si="26"/>
        <v>2.7</v>
      </c>
      <c r="AB48" s="128">
        <v>1</v>
      </c>
      <c r="AC48" s="129">
        <f t="shared" si="18"/>
        <v>1.2328767123287672</v>
      </c>
      <c r="AD48" s="130">
        <f t="shared" si="27"/>
        <v>0.3</v>
      </c>
      <c r="AE48" s="131">
        <f t="shared" si="19"/>
        <v>0.13698630136986301</v>
      </c>
      <c r="AF48" s="128">
        <f t="shared" si="28"/>
        <v>8.6999999999999994E-2</v>
      </c>
      <c r="AG48" s="121">
        <f t="shared" si="2"/>
        <v>7.4028323441428405</v>
      </c>
      <c r="AH48" s="125">
        <f t="shared" si="29"/>
        <v>0.8195508933778024</v>
      </c>
      <c r="AI48" s="125">
        <f t="shared" si="30"/>
        <v>2.1491794319490021</v>
      </c>
      <c r="AJ48" s="122">
        <f t="shared" si="31"/>
        <v>7.8482932263731611E-2</v>
      </c>
      <c r="AK48" s="121">
        <f t="shared" si="3"/>
        <v>0.83732782990464338</v>
      </c>
      <c r="AL48" s="121">
        <f t="shared" si="4"/>
        <v>0.91965394349154128</v>
      </c>
      <c r="AM48" s="121">
        <f t="shared" si="5"/>
        <v>0.86597280641296126</v>
      </c>
      <c r="AN48" s="121">
        <f t="shared" si="20"/>
        <v>1.9804403514963009</v>
      </c>
      <c r="AO48" s="121">
        <f t="shared" si="32"/>
        <v>3.4444924579561595</v>
      </c>
      <c r="AP48" s="121">
        <f t="shared" si="33"/>
        <v>3.737972889993737</v>
      </c>
    </row>
    <row r="49" spans="1:42">
      <c r="A49" s="105">
        <f t="shared" si="6"/>
        <v>1778.3004231341515</v>
      </c>
      <c r="B49" s="106">
        <f t="shared" si="7"/>
        <v>6401.8815232829456</v>
      </c>
      <c r="C49" s="107">
        <f t="shared" si="21"/>
        <v>1.7783004231341515</v>
      </c>
      <c r="D49" s="108">
        <f t="shared" si="38"/>
        <v>6.7000000000000004E-2</v>
      </c>
      <c r="E49" s="108">
        <f t="shared" si="38"/>
        <v>1.0999999999999999E-2</v>
      </c>
      <c r="F49" s="108">
        <f t="shared" si="38"/>
        <v>710</v>
      </c>
      <c r="G49" s="108">
        <f t="shared" si="38"/>
        <v>64.5</v>
      </c>
      <c r="H49" s="108">
        <f t="shared" si="38"/>
        <v>0.58099999999999996</v>
      </c>
      <c r="I49" s="113">
        <f t="shared" si="9"/>
        <v>0.49459330658111628</v>
      </c>
      <c r="J49" s="114">
        <f t="shared" si="35"/>
        <v>0.85127935728247217</v>
      </c>
      <c r="K49" s="115">
        <f t="shared" si="10"/>
        <v>0.41345457892632637</v>
      </c>
      <c r="L49" s="115">
        <f t="shared" si="11"/>
        <v>0.79180959168540177</v>
      </c>
      <c r="M49" s="112">
        <f t="shared" si="12"/>
        <v>0.24049043610696558</v>
      </c>
      <c r="N49" s="116">
        <f t="shared" si="13"/>
        <v>1.3652239589664512</v>
      </c>
      <c r="O49" s="115">
        <f t="shared" si="14"/>
        <v>0.17615456755463765</v>
      </c>
      <c r="P49" s="117">
        <f t="shared" si="15"/>
        <v>7.3944746074775187</v>
      </c>
      <c r="Q49" s="115">
        <f t="shared" si="16"/>
        <v>3.281456442189159</v>
      </c>
      <c r="R49" s="115">
        <f t="shared" si="17"/>
        <v>3.0955499505330497</v>
      </c>
      <c r="S49" s="119">
        <f t="shared" si="22"/>
        <v>1.7783004231341515</v>
      </c>
      <c r="T49" s="119">
        <f t="shared" si="23"/>
        <v>1.7783004231341515</v>
      </c>
      <c r="U49" s="112">
        <f t="shared" si="24"/>
        <v>0</v>
      </c>
      <c r="V49" s="127"/>
      <c r="W49" s="128">
        <f t="shared" si="39"/>
        <v>710</v>
      </c>
      <c r="X49" s="128">
        <f t="shared" si="39"/>
        <v>64.5</v>
      </c>
      <c r="Y49" s="129">
        <f t="shared" si="0"/>
        <v>581</v>
      </c>
      <c r="Z49" s="122">
        <f t="shared" si="1"/>
        <v>0.49459330658111628</v>
      </c>
      <c r="AA49" s="128">
        <f t="shared" si="26"/>
        <v>2.7</v>
      </c>
      <c r="AB49" s="128">
        <v>1</v>
      </c>
      <c r="AC49" s="129">
        <f t="shared" si="18"/>
        <v>1.2328767123287672</v>
      </c>
      <c r="AD49" s="130">
        <f t="shared" si="27"/>
        <v>0.3</v>
      </c>
      <c r="AE49" s="131">
        <f t="shared" si="19"/>
        <v>0.13698630136986301</v>
      </c>
      <c r="AF49" s="128">
        <f t="shared" si="28"/>
        <v>8.6999999999999994E-2</v>
      </c>
      <c r="AG49" s="121">
        <f t="shared" si="2"/>
        <v>7.3944746074775187</v>
      </c>
      <c r="AH49" s="125">
        <f t="shared" si="29"/>
        <v>0.8195508933778024</v>
      </c>
      <c r="AI49" s="125">
        <f t="shared" si="30"/>
        <v>2.1491794319490021</v>
      </c>
      <c r="AJ49" s="122">
        <f t="shared" si="31"/>
        <v>7.8792674809980812E-2</v>
      </c>
      <c r="AK49" s="121">
        <f t="shared" si="3"/>
        <v>0.83732782990464338</v>
      </c>
      <c r="AL49" s="121">
        <f t="shared" si="4"/>
        <v>0.91965394349154128</v>
      </c>
      <c r="AM49" s="121">
        <f t="shared" si="5"/>
        <v>0.86597280641296126</v>
      </c>
      <c r="AN49" s="121">
        <f t="shared" si="20"/>
        <v>1.9804403514963009</v>
      </c>
      <c r="AO49" s="121">
        <f t="shared" si="32"/>
        <v>3.4406036543778828</v>
      </c>
      <c r="AP49" s="121">
        <f t="shared" si="33"/>
        <v>3.7337527494280254</v>
      </c>
    </row>
    <row r="50" spans="1:42">
      <c r="A50" s="105">
        <f t="shared" si="6"/>
        <v>1793.1076246309069</v>
      </c>
      <c r="B50" s="106">
        <f t="shared" si="7"/>
        <v>6455.187448671265</v>
      </c>
      <c r="C50" s="107">
        <f t="shared" si="21"/>
        <v>1.793107624630907</v>
      </c>
      <c r="D50" s="108">
        <f t="shared" si="38"/>
        <v>6.7000000000000004E-2</v>
      </c>
      <c r="E50" s="108">
        <f t="shared" si="38"/>
        <v>1.0999999999999999E-2</v>
      </c>
      <c r="F50" s="108">
        <f t="shared" si="38"/>
        <v>710</v>
      </c>
      <c r="G50" s="108">
        <f t="shared" si="38"/>
        <v>64.5</v>
      </c>
      <c r="H50" s="108">
        <f t="shared" si="38"/>
        <v>0.58099999999999996</v>
      </c>
      <c r="I50" s="113">
        <f t="shared" si="9"/>
        <v>0.50040330658111631</v>
      </c>
      <c r="J50" s="114">
        <f t="shared" si="35"/>
        <v>0.86127935728247218</v>
      </c>
      <c r="K50" s="115">
        <f t="shared" si="10"/>
        <v>0.40165085278791013</v>
      </c>
      <c r="L50" s="115">
        <f t="shared" si="11"/>
        <v>0.76329987386967024</v>
      </c>
      <c r="M50" s="112">
        <f t="shared" si="12"/>
        <v>0.24285864329942983</v>
      </c>
      <c r="N50" s="116">
        <f t="shared" si="13"/>
        <v>1.3817881050173912</v>
      </c>
      <c r="O50" s="115">
        <f t="shared" si="14"/>
        <v>0.17575679108655606</v>
      </c>
      <c r="P50" s="117">
        <f t="shared" si="15"/>
        <v>7.3833387202946499</v>
      </c>
      <c r="Q50" s="115">
        <f t="shared" si="16"/>
        <v>3.278878875317214</v>
      </c>
      <c r="R50" s="115">
        <f t="shared" si="17"/>
        <v>3.0315578033717725</v>
      </c>
      <c r="S50" s="119">
        <f t="shared" si="22"/>
        <v>1.793107624630907</v>
      </c>
      <c r="T50" s="119">
        <f t="shared" si="23"/>
        <v>1.793107624630907</v>
      </c>
      <c r="U50" s="112">
        <f t="shared" si="24"/>
        <v>0</v>
      </c>
      <c r="V50" s="127"/>
      <c r="W50" s="128">
        <f t="shared" si="39"/>
        <v>710</v>
      </c>
      <c r="X50" s="128">
        <f t="shared" si="39"/>
        <v>64.5</v>
      </c>
      <c r="Y50" s="129">
        <f t="shared" si="0"/>
        <v>581</v>
      </c>
      <c r="Z50" s="122">
        <f t="shared" si="1"/>
        <v>0.50040330658111631</v>
      </c>
      <c r="AA50" s="128">
        <f t="shared" si="26"/>
        <v>2.7</v>
      </c>
      <c r="AB50" s="128">
        <v>1</v>
      </c>
      <c r="AC50" s="129">
        <f t="shared" si="18"/>
        <v>1.2328767123287672</v>
      </c>
      <c r="AD50" s="130">
        <f t="shared" si="27"/>
        <v>0.3</v>
      </c>
      <c r="AE50" s="131">
        <f t="shared" si="19"/>
        <v>0.13698630136986301</v>
      </c>
      <c r="AF50" s="128">
        <f t="shared" si="28"/>
        <v>8.6999999999999994E-2</v>
      </c>
      <c r="AG50" s="121">
        <f t="shared" si="2"/>
        <v>7.3833387202946499</v>
      </c>
      <c r="AH50" s="125">
        <f t="shared" si="29"/>
        <v>0.8195508933778024</v>
      </c>
      <c r="AI50" s="125">
        <f t="shared" si="30"/>
        <v>2.1491794319490021</v>
      </c>
      <c r="AJ50" s="122">
        <f t="shared" si="31"/>
        <v>7.9100001053621027E-2</v>
      </c>
      <c r="AK50" s="121">
        <f t="shared" si="3"/>
        <v>0.83732782990464338</v>
      </c>
      <c r="AL50" s="121">
        <f t="shared" si="4"/>
        <v>0.91965394349154128</v>
      </c>
      <c r="AM50" s="121">
        <f t="shared" si="5"/>
        <v>0.86597280641296126</v>
      </c>
      <c r="AN50" s="121">
        <f t="shared" si="20"/>
        <v>1.9804403514963009</v>
      </c>
      <c r="AO50" s="121">
        <f t="shared" si="32"/>
        <v>3.435422194413523</v>
      </c>
      <c r="AP50" s="121">
        <f t="shared" si="33"/>
        <v>3.728129814521425</v>
      </c>
    </row>
    <row r="51" spans="1:42">
      <c r="A51" s="105">
        <f t="shared" si="6"/>
        <v>1806.6189178695925</v>
      </c>
      <c r="B51" s="106">
        <f t="shared" si="7"/>
        <v>6503.8281043305333</v>
      </c>
      <c r="C51" s="107">
        <f t="shared" si="21"/>
        <v>1.8066189178695926</v>
      </c>
      <c r="D51" s="108">
        <f t="shared" si="38"/>
        <v>6.7000000000000004E-2</v>
      </c>
      <c r="E51" s="108">
        <f t="shared" si="38"/>
        <v>1.0999999999999999E-2</v>
      </c>
      <c r="F51" s="108">
        <f t="shared" si="38"/>
        <v>710</v>
      </c>
      <c r="G51" s="108">
        <f t="shared" si="38"/>
        <v>64.5</v>
      </c>
      <c r="H51" s="108">
        <f t="shared" si="38"/>
        <v>0.58099999999999996</v>
      </c>
      <c r="I51" s="113">
        <f t="shared" si="9"/>
        <v>0.5062133065811163</v>
      </c>
      <c r="J51" s="114">
        <f t="shared" si="35"/>
        <v>0.87127935728247219</v>
      </c>
      <c r="K51" s="115">
        <f t="shared" si="10"/>
        <v>0.38914274688777795</v>
      </c>
      <c r="L51" s="115">
        <f t="shared" si="11"/>
        <v>0.73391378931799889</v>
      </c>
      <c r="M51" s="112">
        <f t="shared" si="12"/>
        <v>0.24515625560722326</v>
      </c>
      <c r="N51" s="116">
        <f t="shared" si="13"/>
        <v>1.3988614201419125</v>
      </c>
      <c r="O51" s="115">
        <f t="shared" si="14"/>
        <v>0.17525414031530909</v>
      </c>
      <c r="P51" s="117">
        <f t="shared" si="15"/>
        <v>7.3692548182986792</v>
      </c>
      <c r="Q51" s="115">
        <f t="shared" si="16"/>
        <v>3.2740989629021304</v>
      </c>
      <c r="R51" s="115">
        <f t="shared" si="17"/>
        <v>2.9642992947965761</v>
      </c>
      <c r="S51" s="119">
        <f t="shared" si="22"/>
        <v>1.8066189178695926</v>
      </c>
      <c r="T51" s="119">
        <f t="shared" si="23"/>
        <v>1.8066189178695926</v>
      </c>
      <c r="U51" s="112">
        <f t="shared" si="24"/>
        <v>0</v>
      </c>
      <c r="V51" s="127"/>
      <c r="W51" s="128">
        <f t="shared" si="39"/>
        <v>710</v>
      </c>
      <c r="X51" s="128">
        <f t="shared" si="39"/>
        <v>64.5</v>
      </c>
      <c r="Y51" s="129">
        <f t="shared" si="0"/>
        <v>581</v>
      </c>
      <c r="Z51" s="122">
        <f t="shared" si="1"/>
        <v>0.5062133065811163</v>
      </c>
      <c r="AA51" s="128">
        <f t="shared" si="26"/>
        <v>2.7</v>
      </c>
      <c r="AB51" s="128">
        <v>1</v>
      </c>
      <c r="AC51" s="129">
        <f t="shared" si="18"/>
        <v>1.2328767123287672</v>
      </c>
      <c r="AD51" s="130">
        <f t="shared" si="27"/>
        <v>0.3</v>
      </c>
      <c r="AE51" s="131">
        <f t="shared" si="19"/>
        <v>0.13698630136986301</v>
      </c>
      <c r="AF51" s="128">
        <f t="shared" si="28"/>
        <v>8.6999999999999994E-2</v>
      </c>
      <c r="AG51" s="121">
        <f t="shared" si="2"/>
        <v>7.3692548182986792</v>
      </c>
      <c r="AH51" s="125">
        <f t="shared" si="29"/>
        <v>0.8195508933778024</v>
      </c>
      <c r="AI51" s="125">
        <f t="shared" si="30"/>
        <v>2.1491794319490021</v>
      </c>
      <c r="AJ51" s="122">
        <f t="shared" si="31"/>
        <v>7.9404957574262414E-2</v>
      </c>
      <c r="AK51" s="121">
        <f t="shared" si="3"/>
        <v>0.83732782990464338</v>
      </c>
      <c r="AL51" s="121">
        <f t="shared" si="4"/>
        <v>0.91965394349154128</v>
      </c>
      <c r="AM51" s="121">
        <f t="shared" si="5"/>
        <v>0.86597280641296126</v>
      </c>
      <c r="AN51" s="121">
        <f t="shared" si="20"/>
        <v>1.9804403514963009</v>
      </c>
      <c r="AO51" s="121">
        <f t="shared" si="32"/>
        <v>3.4288690412488299</v>
      </c>
      <c r="AP51" s="121">
        <f t="shared" si="33"/>
        <v>3.721018314301118</v>
      </c>
    </row>
    <row r="52" spans="1:42">
      <c r="A52" s="105">
        <f t="shared" si="6"/>
        <v>1818.7355979865874</v>
      </c>
      <c r="B52" s="106">
        <f t="shared" si="7"/>
        <v>6547.4481527517146</v>
      </c>
      <c r="C52" s="107">
        <f t="shared" si="21"/>
        <v>1.8187355979865873</v>
      </c>
      <c r="D52" s="108">
        <f t="shared" si="38"/>
        <v>6.7000000000000004E-2</v>
      </c>
      <c r="E52" s="108">
        <f t="shared" si="38"/>
        <v>1.0999999999999999E-2</v>
      </c>
      <c r="F52" s="108">
        <f t="shared" si="38"/>
        <v>710</v>
      </c>
      <c r="G52" s="108">
        <f t="shared" si="38"/>
        <v>64.5</v>
      </c>
      <c r="H52" s="108">
        <f t="shared" si="38"/>
        <v>0.58099999999999996</v>
      </c>
      <c r="I52" s="113">
        <f t="shared" si="9"/>
        <v>0.51202330658111628</v>
      </c>
      <c r="J52" s="114">
        <f t="shared" si="35"/>
        <v>0.8812793572824722</v>
      </c>
      <c r="K52" s="115">
        <f t="shared" si="10"/>
        <v>0.3758599454124833</v>
      </c>
      <c r="L52" s="115">
        <f t="shared" si="11"/>
        <v>0.70353714729324346</v>
      </c>
      <c r="M52" s="112">
        <f t="shared" si="12"/>
        <v>0.24737898264982797</v>
      </c>
      <c r="N52" s="116">
        <f t="shared" si="13"/>
        <v>1.4165102491582955</v>
      </c>
      <c r="O52" s="115">
        <f t="shared" si="14"/>
        <v>0.17463974072677768</v>
      </c>
      <c r="P52" s="117">
        <f t="shared" si="15"/>
        <v>7.352021495540952</v>
      </c>
      <c r="Q52" s="115">
        <f t="shared" si="16"/>
        <v>3.2669784580029417</v>
      </c>
      <c r="R52" s="115">
        <f t="shared" si="17"/>
        <v>2.8933694264514238</v>
      </c>
      <c r="S52" s="119">
        <f t="shared" si="22"/>
        <v>1.8187355979865873</v>
      </c>
      <c r="T52" s="119">
        <f t="shared" si="23"/>
        <v>1.8187355979865873</v>
      </c>
      <c r="U52" s="112">
        <f t="shared" si="24"/>
        <v>0</v>
      </c>
      <c r="V52" s="127"/>
      <c r="W52" s="128">
        <f t="shared" si="39"/>
        <v>710</v>
      </c>
      <c r="X52" s="128">
        <f t="shared" si="39"/>
        <v>64.5</v>
      </c>
      <c r="Y52" s="129">
        <f t="shared" si="0"/>
        <v>581</v>
      </c>
      <c r="Z52" s="122">
        <f t="shared" si="1"/>
        <v>0.51202330658111628</v>
      </c>
      <c r="AA52" s="128">
        <f t="shared" si="26"/>
        <v>2.7</v>
      </c>
      <c r="AB52" s="128">
        <v>1</v>
      </c>
      <c r="AC52" s="129">
        <f t="shared" si="18"/>
        <v>1.2328767123287672</v>
      </c>
      <c r="AD52" s="130">
        <f t="shared" si="27"/>
        <v>0.3</v>
      </c>
      <c r="AE52" s="131">
        <f t="shared" si="19"/>
        <v>0.13698630136986301</v>
      </c>
      <c r="AF52" s="128">
        <f t="shared" si="28"/>
        <v>8.6999999999999994E-2</v>
      </c>
      <c r="AG52" s="121">
        <f t="shared" si="2"/>
        <v>7.352021495540952</v>
      </c>
      <c r="AH52" s="125">
        <f t="shared" si="29"/>
        <v>0.8195508933778024</v>
      </c>
      <c r="AI52" s="125">
        <f t="shared" si="30"/>
        <v>2.1491794319490021</v>
      </c>
      <c r="AJ52" s="122">
        <f t="shared" si="31"/>
        <v>7.9707589531240616E-2</v>
      </c>
      <c r="AK52" s="121">
        <f t="shared" si="3"/>
        <v>0.83732782990464338</v>
      </c>
      <c r="AL52" s="121">
        <f t="shared" si="4"/>
        <v>0.91965394349154128</v>
      </c>
      <c r="AM52" s="121">
        <f t="shared" si="5"/>
        <v>0.86597280641296126</v>
      </c>
      <c r="AN52" s="121">
        <f t="shared" si="20"/>
        <v>1.9804403514963009</v>
      </c>
      <c r="AO52" s="121">
        <f t="shared" si="32"/>
        <v>3.4208504819319376</v>
      </c>
      <c r="AP52" s="121">
        <f t="shared" si="33"/>
        <v>3.7123165512085277</v>
      </c>
    </row>
    <row r="53" spans="1:42">
      <c r="A53" s="105">
        <f t="shared" si="6"/>
        <v>1829.3454102620706</v>
      </c>
      <c r="B53" s="106">
        <f t="shared" si="7"/>
        <v>6585.6434769434545</v>
      </c>
      <c r="C53" s="107">
        <f t="shared" si="21"/>
        <v>1.8293454102620708</v>
      </c>
      <c r="D53" s="108">
        <f t="shared" si="38"/>
        <v>6.7000000000000004E-2</v>
      </c>
      <c r="E53" s="108">
        <f t="shared" si="38"/>
        <v>1.0999999999999999E-2</v>
      </c>
      <c r="F53" s="108">
        <f t="shared" si="38"/>
        <v>710</v>
      </c>
      <c r="G53" s="108">
        <f t="shared" si="38"/>
        <v>64.5</v>
      </c>
      <c r="H53" s="108">
        <f t="shared" si="38"/>
        <v>0.58099999999999996</v>
      </c>
      <c r="I53" s="113">
        <f t="shared" si="9"/>
        <v>0.51783330658111637</v>
      </c>
      <c r="J53" s="114">
        <f t="shared" si="35"/>
        <v>0.89127935728247221</v>
      </c>
      <c r="K53" s="115">
        <f t="shared" si="10"/>
        <v>0.36171711443555515</v>
      </c>
      <c r="L53" s="115">
        <f t="shared" si="11"/>
        <v>0.67203118154705532</v>
      </c>
      <c r="M53" s="112">
        <f t="shared" si="12"/>
        <v>0.24952208385186203</v>
      </c>
      <c r="N53" s="116">
        <f t="shared" si="13"/>
        <v>1.4348152152568305</v>
      </c>
      <c r="O53" s="115">
        <f t="shared" si="14"/>
        <v>0.17390537903321426</v>
      </c>
      <c r="P53" s="117">
        <f t="shared" si="15"/>
        <v>7.3313968127491629</v>
      </c>
      <c r="Q53" s="115">
        <f t="shared" si="16"/>
        <v>3.2573531448068342</v>
      </c>
      <c r="R53" s="115">
        <f t="shared" si="17"/>
        <v>2.818267790239005</v>
      </c>
      <c r="S53" s="119">
        <f t="shared" si="22"/>
        <v>1.8293454102620708</v>
      </c>
      <c r="T53" s="119">
        <f t="shared" si="23"/>
        <v>1.8293454102620708</v>
      </c>
      <c r="U53" s="112">
        <f t="shared" si="24"/>
        <v>0</v>
      </c>
      <c r="V53" s="127"/>
      <c r="W53" s="128">
        <f t="shared" si="39"/>
        <v>710</v>
      </c>
      <c r="X53" s="128">
        <f t="shared" si="39"/>
        <v>64.5</v>
      </c>
      <c r="Y53" s="129">
        <f t="shared" si="0"/>
        <v>581</v>
      </c>
      <c r="Z53" s="122">
        <f t="shared" si="1"/>
        <v>0.51783330658111637</v>
      </c>
      <c r="AA53" s="128">
        <f t="shared" si="26"/>
        <v>2.7</v>
      </c>
      <c r="AB53" s="128">
        <v>1</v>
      </c>
      <c r="AC53" s="129">
        <f t="shared" si="18"/>
        <v>1.2328767123287672</v>
      </c>
      <c r="AD53" s="130">
        <f t="shared" si="27"/>
        <v>0.3</v>
      </c>
      <c r="AE53" s="131">
        <f t="shared" si="19"/>
        <v>0.13698630136986301</v>
      </c>
      <c r="AF53" s="128">
        <f t="shared" si="28"/>
        <v>8.6999999999999994E-2</v>
      </c>
      <c r="AG53" s="121">
        <f t="shared" si="2"/>
        <v>7.3313968127491629</v>
      </c>
      <c r="AH53" s="125">
        <f t="shared" si="29"/>
        <v>0.8195508933778024</v>
      </c>
      <c r="AI53" s="125">
        <f t="shared" si="30"/>
        <v>2.1491794319490021</v>
      </c>
      <c r="AJ53" s="122">
        <f t="shared" si="31"/>
        <v>8.0007940722490234E-2</v>
      </c>
      <c r="AK53" s="121">
        <f t="shared" si="3"/>
        <v>0.83732782990464338</v>
      </c>
      <c r="AL53" s="121">
        <f t="shared" si="4"/>
        <v>0.91965394349154128</v>
      </c>
      <c r="AM53" s="121">
        <f t="shared" si="5"/>
        <v>0.86597280641296126</v>
      </c>
      <c r="AN53" s="121">
        <f t="shared" si="20"/>
        <v>1.9804403514963009</v>
      </c>
      <c r="AO53" s="121">
        <f t="shared" si="32"/>
        <v>3.4112539436042444</v>
      </c>
      <c r="AP53" s="121">
        <f t="shared" si="33"/>
        <v>3.701902360861312</v>
      </c>
    </row>
    <row r="54" spans="1:42">
      <c r="A54" s="105">
        <f t="shared" si="6"/>
        <v>1838.3185490885585</v>
      </c>
      <c r="B54" s="106">
        <f t="shared" si="7"/>
        <v>6617.9467767188107</v>
      </c>
      <c r="C54" s="107">
        <f t="shared" si="21"/>
        <v>1.8383185490885585</v>
      </c>
      <c r="D54" s="108">
        <f t="shared" si="38"/>
        <v>6.7000000000000004E-2</v>
      </c>
      <c r="E54" s="108">
        <f t="shared" si="38"/>
        <v>1.0999999999999999E-2</v>
      </c>
      <c r="F54" s="108">
        <f t="shared" si="38"/>
        <v>710</v>
      </c>
      <c r="G54" s="108">
        <f t="shared" si="38"/>
        <v>64.5</v>
      </c>
      <c r="H54" s="108">
        <f t="shared" si="38"/>
        <v>0.58099999999999996</v>
      </c>
      <c r="I54" s="113">
        <f t="shared" si="9"/>
        <v>0.52364330658111635</v>
      </c>
      <c r="J54" s="114">
        <f t="shared" si="35"/>
        <v>0.90127935728247222</v>
      </c>
      <c r="K54" s="115">
        <f t="shared" si="10"/>
        <v>0.34660899351530711</v>
      </c>
      <c r="L54" s="115">
        <f t="shared" si="11"/>
        <v>0.63922437788157405</v>
      </c>
      <c r="M54" s="112">
        <f t="shared" si="12"/>
        <v>0.2515802677985412</v>
      </c>
      <c r="N54" s="116">
        <f t="shared" si="13"/>
        <v>1.4538759681864752</v>
      </c>
      <c r="O54" s="115">
        <f t="shared" si="14"/>
        <v>0.1730410800533112</v>
      </c>
      <c r="P54" s="117">
        <f t="shared" si="15"/>
        <v>7.3070855881298096</v>
      </c>
      <c r="Q54" s="115">
        <f t="shared" si="16"/>
        <v>3.2450245396216038</v>
      </c>
      <c r="R54" s="115">
        <f t="shared" si="17"/>
        <v>2.7383648825257776</v>
      </c>
      <c r="S54" s="119">
        <f t="shared" si="22"/>
        <v>1.8383185490885585</v>
      </c>
      <c r="T54" s="119">
        <f t="shared" si="23"/>
        <v>1.8383185490885585</v>
      </c>
      <c r="U54" s="112">
        <f t="shared" si="24"/>
        <v>0</v>
      </c>
      <c r="V54" s="127"/>
      <c r="W54" s="128">
        <f t="shared" si="39"/>
        <v>710</v>
      </c>
      <c r="X54" s="128">
        <f t="shared" si="39"/>
        <v>64.5</v>
      </c>
      <c r="Y54" s="129">
        <f t="shared" si="0"/>
        <v>581</v>
      </c>
      <c r="Z54" s="122">
        <f t="shared" si="1"/>
        <v>0.52364330658111635</v>
      </c>
      <c r="AA54" s="128">
        <f t="shared" si="26"/>
        <v>2.7</v>
      </c>
      <c r="AB54" s="128">
        <v>1</v>
      </c>
      <c r="AC54" s="129">
        <f t="shared" si="18"/>
        <v>1.2328767123287672</v>
      </c>
      <c r="AD54" s="130">
        <f t="shared" si="27"/>
        <v>0.3</v>
      </c>
      <c r="AE54" s="131">
        <f t="shared" si="19"/>
        <v>0.13698630136986301</v>
      </c>
      <c r="AF54" s="128">
        <f t="shared" si="28"/>
        <v>8.6999999999999994E-2</v>
      </c>
      <c r="AG54" s="121">
        <f t="shared" si="2"/>
        <v>7.3070855881298096</v>
      </c>
      <c r="AH54" s="125">
        <f t="shared" si="29"/>
        <v>0.8195508933778024</v>
      </c>
      <c r="AI54" s="125">
        <f t="shared" si="30"/>
        <v>2.1491794319490021</v>
      </c>
      <c r="AJ54" s="122">
        <f t="shared" si="31"/>
        <v>8.0306053640347028E-2</v>
      </c>
      <c r="AK54" s="121">
        <f t="shared" si="3"/>
        <v>0.83732782990464338</v>
      </c>
      <c r="AL54" s="121">
        <f t="shared" si="4"/>
        <v>0.91965394349154128</v>
      </c>
      <c r="AM54" s="121">
        <f t="shared" si="5"/>
        <v>0.86597280641296126</v>
      </c>
      <c r="AN54" s="121">
        <f t="shared" si="20"/>
        <v>1.9804403514963009</v>
      </c>
      <c r="AO54" s="121">
        <f t="shared" si="32"/>
        <v>3.3999420799887869</v>
      </c>
      <c r="AP54" s="121">
        <f t="shared" si="33"/>
        <v>3.6896266946939442</v>
      </c>
    </row>
    <row r="55" spans="1:42">
      <c r="A55" s="105">
        <f t="shared" si="6"/>
        <v>1845.5018947791675</v>
      </c>
      <c r="B55" s="106">
        <f t="shared" si="7"/>
        <v>6643.806821205003</v>
      </c>
      <c r="C55" s="107">
        <f t="shared" si="21"/>
        <v>1.8455018947791675</v>
      </c>
      <c r="D55" s="108">
        <f t="shared" ref="D55:H70" si="40">D54</f>
        <v>6.7000000000000004E-2</v>
      </c>
      <c r="E55" s="108">
        <f t="shared" si="40"/>
        <v>1.0999999999999999E-2</v>
      </c>
      <c r="F55" s="108">
        <f t="shared" si="40"/>
        <v>710</v>
      </c>
      <c r="G55" s="108">
        <f t="shared" si="40"/>
        <v>64.5</v>
      </c>
      <c r="H55" s="108">
        <f t="shared" si="40"/>
        <v>0.58099999999999996</v>
      </c>
      <c r="I55" s="113">
        <f t="shared" si="9"/>
        <v>0.52945330658111633</v>
      </c>
      <c r="J55" s="114">
        <f t="shared" si="35"/>
        <v>0.91127935728247222</v>
      </c>
      <c r="K55" s="115">
        <f t="shared" si="10"/>
        <v>0.33040319171552202</v>
      </c>
      <c r="L55" s="115">
        <f t="shared" si="11"/>
        <v>0.60490044869250303</v>
      </c>
      <c r="M55" s="112">
        <f t="shared" si="12"/>
        <v>0.25354755692702274</v>
      </c>
      <c r="N55" s="116">
        <f t="shared" si="13"/>
        <v>1.4738181710453255</v>
      </c>
      <c r="O55" s="115">
        <f t="shared" si="14"/>
        <v>0.17203448967330257</v>
      </c>
      <c r="P55" s="117">
        <f t="shared" si="15"/>
        <v>7.2787208725120891</v>
      </c>
      <c r="Q55" s="115">
        <f t="shared" si="16"/>
        <v>3.2297477785455988</v>
      </c>
      <c r="R55" s="115">
        <f t="shared" si="17"/>
        <v>2.652851643125111</v>
      </c>
      <c r="S55" s="119">
        <f t="shared" si="22"/>
        <v>1.8455018947791675</v>
      </c>
      <c r="T55" s="119">
        <f t="shared" si="23"/>
        <v>1.8455018947791675</v>
      </c>
      <c r="U55" s="112">
        <f t="shared" si="24"/>
        <v>0</v>
      </c>
      <c r="V55" s="127"/>
      <c r="W55" s="128">
        <f t="shared" ref="W55:X70" si="41">W54</f>
        <v>710</v>
      </c>
      <c r="X55" s="128">
        <f t="shared" si="41"/>
        <v>64.5</v>
      </c>
      <c r="Y55" s="129">
        <f t="shared" si="0"/>
        <v>581</v>
      </c>
      <c r="Z55" s="122">
        <f t="shared" si="1"/>
        <v>0.52945330658111633</v>
      </c>
      <c r="AA55" s="128">
        <f t="shared" si="26"/>
        <v>2.7</v>
      </c>
      <c r="AB55" s="128">
        <v>1</v>
      </c>
      <c r="AC55" s="129">
        <f t="shared" si="18"/>
        <v>1.2328767123287672</v>
      </c>
      <c r="AD55" s="130">
        <f t="shared" si="27"/>
        <v>0.3</v>
      </c>
      <c r="AE55" s="131">
        <f t="shared" si="19"/>
        <v>0.13698630136986301</v>
      </c>
      <c r="AF55" s="128">
        <f t="shared" si="28"/>
        <v>8.6999999999999994E-2</v>
      </c>
      <c r="AG55" s="121">
        <f t="shared" si="2"/>
        <v>7.2787208725120891</v>
      </c>
      <c r="AH55" s="125">
        <f t="shared" si="29"/>
        <v>0.8195508933778024</v>
      </c>
      <c r="AI55" s="125">
        <f t="shared" si="30"/>
        <v>2.1491794319490021</v>
      </c>
      <c r="AJ55" s="122">
        <f t="shared" si="31"/>
        <v>8.0601969524471226E-2</v>
      </c>
      <c r="AK55" s="121">
        <f t="shared" si="3"/>
        <v>0.83732782990464338</v>
      </c>
      <c r="AL55" s="121">
        <f t="shared" si="4"/>
        <v>0.91965394349154128</v>
      </c>
      <c r="AM55" s="121">
        <f t="shared" si="5"/>
        <v>0.86597280641296126</v>
      </c>
      <c r="AN55" s="121">
        <f t="shared" si="20"/>
        <v>1.9804403514963009</v>
      </c>
      <c r="AO55" s="121">
        <f t="shared" si="32"/>
        <v>3.3867441518883874</v>
      </c>
      <c r="AP55" s="121">
        <f t="shared" si="33"/>
        <v>3.6753042660500874</v>
      </c>
    </row>
    <row r="56" spans="1:42">
      <c r="A56" s="105">
        <f t="shared" si="6"/>
        <v>1850.7104043983404</v>
      </c>
      <c r="B56" s="106">
        <f t="shared" si="7"/>
        <v>6662.5574558340259</v>
      </c>
      <c r="C56" s="107">
        <f t="shared" si="21"/>
        <v>1.8507104043983404</v>
      </c>
      <c r="D56" s="108">
        <f t="shared" si="40"/>
        <v>6.7000000000000004E-2</v>
      </c>
      <c r="E56" s="108">
        <f t="shared" si="40"/>
        <v>1.0999999999999999E-2</v>
      </c>
      <c r="F56" s="108">
        <f t="shared" si="40"/>
        <v>710</v>
      </c>
      <c r="G56" s="108">
        <f t="shared" si="40"/>
        <v>64.5</v>
      </c>
      <c r="H56" s="108">
        <f t="shared" si="40"/>
        <v>0.58099999999999996</v>
      </c>
      <c r="I56" s="113">
        <f t="shared" si="9"/>
        <v>0.53526330658111632</v>
      </c>
      <c r="J56" s="114">
        <f t="shared" si="35"/>
        <v>0.92127935728247223</v>
      </c>
      <c r="K56" s="115">
        <f t="shared" si="10"/>
        <v>0.31292921724555173</v>
      </c>
      <c r="L56" s="115">
        <f t="shared" si="11"/>
        <v>0.56877997213323916</v>
      </c>
      <c r="M56" s="112">
        <f t="shared" si="12"/>
        <v>0.2554171003607198</v>
      </c>
      <c r="N56" s="116">
        <f t="shared" si="13"/>
        <v>1.4948041679262578</v>
      </c>
      <c r="O56" s="115">
        <f t="shared" si="14"/>
        <v>0.17086994125461932</v>
      </c>
      <c r="P56" s="117">
        <f t="shared" si="15"/>
        <v>7.2458359357483273</v>
      </c>
      <c r="Q56" s="115">
        <f t="shared" si="16"/>
        <v>3.2112132763967045</v>
      </c>
      <c r="R56" s="115">
        <f t="shared" si="17"/>
        <v>2.5606608663401222</v>
      </c>
      <c r="S56" s="119">
        <f t="shared" si="22"/>
        <v>1.8507104043983404</v>
      </c>
      <c r="T56" s="119">
        <f t="shared" si="23"/>
        <v>1.8507104043983404</v>
      </c>
      <c r="U56" s="112">
        <f t="shared" si="24"/>
        <v>0</v>
      </c>
      <c r="V56" s="127"/>
      <c r="W56" s="128">
        <f t="shared" si="41"/>
        <v>710</v>
      </c>
      <c r="X56" s="128">
        <f t="shared" si="41"/>
        <v>64.5</v>
      </c>
      <c r="Y56" s="129">
        <f t="shared" si="0"/>
        <v>581</v>
      </c>
      <c r="Z56" s="122">
        <f t="shared" si="1"/>
        <v>0.53526330658111632</v>
      </c>
      <c r="AA56" s="128">
        <f t="shared" si="26"/>
        <v>2.7</v>
      </c>
      <c r="AB56" s="128">
        <v>1</v>
      </c>
      <c r="AC56" s="129">
        <f t="shared" si="18"/>
        <v>1.2328767123287672</v>
      </c>
      <c r="AD56" s="130">
        <f t="shared" si="27"/>
        <v>0.3</v>
      </c>
      <c r="AE56" s="131">
        <f t="shared" si="19"/>
        <v>0.13698630136986301</v>
      </c>
      <c r="AF56" s="128">
        <f t="shared" si="28"/>
        <v>8.6999999999999994E-2</v>
      </c>
      <c r="AG56" s="121">
        <f t="shared" si="2"/>
        <v>7.2458359357483273</v>
      </c>
      <c r="AH56" s="125">
        <f t="shared" si="29"/>
        <v>0.8195508933778024</v>
      </c>
      <c r="AI56" s="125">
        <f t="shared" si="30"/>
        <v>2.1491794319490021</v>
      </c>
      <c r="AJ56" s="122">
        <f t="shared" si="31"/>
        <v>8.0895728412070156E-2</v>
      </c>
      <c r="AK56" s="121">
        <f t="shared" si="3"/>
        <v>0.83732782990464338</v>
      </c>
      <c r="AL56" s="121">
        <f t="shared" si="4"/>
        <v>0.91965394349154128</v>
      </c>
      <c r="AM56" s="121">
        <f t="shared" si="5"/>
        <v>0.86597280641296126</v>
      </c>
      <c r="AN56" s="121">
        <f t="shared" si="20"/>
        <v>1.9804403514963009</v>
      </c>
      <c r="AO56" s="121">
        <f t="shared" si="32"/>
        <v>3.3714429926296932</v>
      </c>
      <c r="AP56" s="121">
        <f t="shared" si="33"/>
        <v>3.6586994050458586</v>
      </c>
    </row>
    <row r="57" spans="1:42">
      <c r="A57" s="105">
        <f t="shared" si="6"/>
        <v>1853.7136676167668</v>
      </c>
      <c r="B57" s="106">
        <f t="shared" si="7"/>
        <v>6673.3692034203605</v>
      </c>
      <c r="C57" s="107">
        <f t="shared" si="21"/>
        <v>1.8537136676167667</v>
      </c>
      <c r="D57" s="108">
        <f t="shared" si="40"/>
        <v>6.7000000000000004E-2</v>
      </c>
      <c r="E57" s="108">
        <f t="shared" si="40"/>
        <v>1.0999999999999999E-2</v>
      </c>
      <c r="F57" s="108">
        <f t="shared" si="40"/>
        <v>710</v>
      </c>
      <c r="G57" s="108">
        <f t="shared" si="40"/>
        <v>64.5</v>
      </c>
      <c r="H57" s="108">
        <f t="shared" si="40"/>
        <v>0.58099999999999996</v>
      </c>
      <c r="I57" s="113">
        <f t="shared" si="9"/>
        <v>0.5410733065811163</v>
      </c>
      <c r="J57" s="114">
        <f t="shared" si="35"/>
        <v>0.93127935728247224</v>
      </c>
      <c r="K57" s="115">
        <f t="shared" si="10"/>
        <v>0.29396100441389078</v>
      </c>
      <c r="L57" s="115">
        <f t="shared" si="11"/>
        <v>0.53049106934594925</v>
      </c>
      <c r="M57" s="112">
        <f t="shared" si="12"/>
        <v>0.25718090591068138</v>
      </c>
      <c r="N57" s="116">
        <f t="shared" si="13"/>
        <v>1.5170500204456734</v>
      </c>
      <c r="O57" s="115">
        <f t="shared" si="14"/>
        <v>0.16952697830960625</v>
      </c>
      <c r="P57" s="117">
        <f t="shared" si="15"/>
        <v>7.2078199625774682</v>
      </c>
      <c r="Q57" s="115">
        <f t="shared" si="16"/>
        <v>3.1890176803288357</v>
      </c>
      <c r="R57" s="115">
        <f t="shared" si="17"/>
        <v>2.4603388647369884</v>
      </c>
      <c r="S57" s="119">
        <f t="shared" si="22"/>
        <v>1.8537136676167667</v>
      </c>
      <c r="T57" s="119">
        <f t="shared" si="23"/>
        <v>1.8537136676167667</v>
      </c>
      <c r="U57" s="112">
        <f t="shared" si="24"/>
        <v>0</v>
      </c>
      <c r="V57" s="127"/>
      <c r="W57" s="128">
        <f t="shared" si="41"/>
        <v>710</v>
      </c>
      <c r="X57" s="128">
        <f t="shared" si="41"/>
        <v>64.5</v>
      </c>
      <c r="Y57" s="129">
        <f t="shared" si="0"/>
        <v>581</v>
      </c>
      <c r="Z57" s="122">
        <f t="shared" si="1"/>
        <v>0.5410733065811163</v>
      </c>
      <c r="AA57" s="128">
        <f t="shared" si="26"/>
        <v>2.7</v>
      </c>
      <c r="AB57" s="128">
        <v>1</v>
      </c>
      <c r="AC57" s="129">
        <f t="shared" si="18"/>
        <v>1.2328767123287672</v>
      </c>
      <c r="AD57" s="130">
        <f t="shared" si="27"/>
        <v>0.3</v>
      </c>
      <c r="AE57" s="131">
        <f t="shared" si="19"/>
        <v>0.13698630136986301</v>
      </c>
      <c r="AF57" s="128">
        <f t="shared" si="28"/>
        <v>8.6999999999999994E-2</v>
      </c>
      <c r="AG57" s="121">
        <f t="shared" si="2"/>
        <v>7.2078199625774682</v>
      </c>
      <c r="AH57" s="125">
        <f t="shared" si="29"/>
        <v>0.8195508933778024</v>
      </c>
      <c r="AI57" s="125">
        <f t="shared" si="30"/>
        <v>2.1491794319490021</v>
      </c>
      <c r="AJ57" s="122">
        <f t="shared" si="31"/>
        <v>8.118736918558607E-2</v>
      </c>
      <c r="AK57" s="121">
        <f t="shared" si="3"/>
        <v>0.83732782990464338</v>
      </c>
      <c r="AL57" s="121">
        <f t="shared" si="4"/>
        <v>0.91965394349154128</v>
      </c>
      <c r="AM57" s="121">
        <f t="shared" si="5"/>
        <v>0.86597280641296126</v>
      </c>
      <c r="AN57" s="121">
        <f t="shared" si="20"/>
        <v>1.9804403514963009</v>
      </c>
      <c r="AO57" s="121">
        <f t="shared" si="32"/>
        <v>3.3537543936203567</v>
      </c>
      <c r="AP57" s="121">
        <f t="shared" si="33"/>
        <v>3.6395036877185802</v>
      </c>
    </row>
    <row r="58" spans="1:42">
      <c r="A58" s="105">
        <f t="shared" si="6"/>
        <v>1854.2137169524867</v>
      </c>
      <c r="B58" s="106">
        <f t="shared" si="7"/>
        <v>6675.1693810289526</v>
      </c>
      <c r="C58" s="107">
        <f t="shared" si="21"/>
        <v>1.8542137169524868</v>
      </c>
      <c r="D58" s="108">
        <f t="shared" si="40"/>
        <v>6.7000000000000004E-2</v>
      </c>
      <c r="E58" s="108">
        <f t="shared" si="40"/>
        <v>1.0999999999999999E-2</v>
      </c>
      <c r="F58" s="108">
        <f t="shared" si="40"/>
        <v>710</v>
      </c>
      <c r="G58" s="108">
        <f t="shared" si="40"/>
        <v>64.5</v>
      </c>
      <c r="H58" s="108">
        <f t="shared" si="40"/>
        <v>0.58099999999999996</v>
      </c>
      <c r="I58" s="113">
        <f t="shared" si="9"/>
        <v>0.54688330658111639</v>
      </c>
      <c r="J58" s="114">
        <f t="shared" si="35"/>
        <v>0.94127935728247225</v>
      </c>
      <c r="K58" s="115">
        <f t="shared" si="10"/>
        <v>0.27318748219150346</v>
      </c>
      <c r="L58" s="115">
        <f t="shared" si="11"/>
        <v>0.48951987838867694</v>
      </c>
      <c r="M58" s="112">
        <f t="shared" si="12"/>
        <v>0.25882943951782972</v>
      </c>
      <c r="N58" s="116">
        <f t="shared" si="13"/>
        <v>1.5408542823918483</v>
      </c>
      <c r="O58" s="115">
        <f t="shared" si="14"/>
        <v>0.16797788244846365</v>
      </c>
      <c r="P58" s="117">
        <f t="shared" si="15"/>
        <v>7.163843959971012</v>
      </c>
      <c r="Q58" s="115">
        <f t="shared" si="16"/>
        <v>3.1626152272137946</v>
      </c>
      <c r="R58" s="115">
        <f t="shared" si="17"/>
        <v>2.3498231375656813</v>
      </c>
      <c r="S58" s="119">
        <f t="shared" si="22"/>
        <v>1.8542137169524868</v>
      </c>
      <c r="T58" s="119">
        <f t="shared" si="23"/>
        <v>1.8542137169524868</v>
      </c>
      <c r="U58" s="112">
        <f t="shared" si="24"/>
        <v>0</v>
      </c>
      <c r="V58" s="127"/>
      <c r="W58" s="128">
        <f t="shared" si="41"/>
        <v>710</v>
      </c>
      <c r="X58" s="128">
        <f t="shared" si="41"/>
        <v>64.5</v>
      </c>
      <c r="Y58" s="129">
        <f t="shared" si="0"/>
        <v>581</v>
      </c>
      <c r="Z58" s="122">
        <f t="shared" si="1"/>
        <v>0.54688330658111639</v>
      </c>
      <c r="AA58" s="128">
        <f t="shared" si="26"/>
        <v>2.7</v>
      </c>
      <c r="AB58" s="128">
        <v>1</v>
      </c>
      <c r="AC58" s="129">
        <f t="shared" si="18"/>
        <v>1.2328767123287672</v>
      </c>
      <c r="AD58" s="130">
        <f t="shared" si="27"/>
        <v>0.3</v>
      </c>
      <c r="AE58" s="131">
        <f t="shared" si="19"/>
        <v>0.13698630136986301</v>
      </c>
      <c r="AF58" s="128">
        <f t="shared" si="28"/>
        <v>8.6999999999999994E-2</v>
      </c>
      <c r="AG58" s="121">
        <f t="shared" si="2"/>
        <v>7.163843959971012</v>
      </c>
      <c r="AH58" s="125">
        <f t="shared" si="29"/>
        <v>0.8195508933778024</v>
      </c>
      <c r="AI58" s="125">
        <f t="shared" si="30"/>
        <v>2.1491794319490021</v>
      </c>
      <c r="AJ58" s="122">
        <f t="shared" si="31"/>
        <v>8.147692961800243E-2</v>
      </c>
      <c r="AK58" s="121">
        <f t="shared" si="3"/>
        <v>0.83732782990464338</v>
      </c>
      <c r="AL58" s="121">
        <f t="shared" si="4"/>
        <v>0.91965394349154128</v>
      </c>
      <c r="AM58" s="121">
        <f t="shared" si="5"/>
        <v>0.86597280641296126</v>
      </c>
      <c r="AN58" s="121">
        <f t="shared" si="20"/>
        <v>1.9804403514963009</v>
      </c>
      <c r="AO58" s="121">
        <f t="shared" si="32"/>
        <v>3.3332926294918139</v>
      </c>
      <c r="AP58" s="121">
        <f t="shared" si="33"/>
        <v>3.6172985238148905</v>
      </c>
    </row>
    <row r="59" spans="1:42">
      <c r="A59" s="105">
        <f t="shared" si="6"/>
        <v>1851.8057016604762</v>
      </c>
      <c r="B59" s="106">
        <f t="shared" si="7"/>
        <v>6666.5005259777145</v>
      </c>
      <c r="C59" s="107">
        <f t="shared" si="21"/>
        <v>1.8518057016604763</v>
      </c>
      <c r="D59" s="108">
        <f t="shared" si="40"/>
        <v>6.7000000000000004E-2</v>
      </c>
      <c r="E59" s="108">
        <f t="shared" si="40"/>
        <v>1.0999999999999999E-2</v>
      </c>
      <c r="F59" s="108">
        <f t="shared" si="40"/>
        <v>710</v>
      </c>
      <c r="G59" s="108">
        <f t="shared" si="40"/>
        <v>64.5</v>
      </c>
      <c r="H59" s="108">
        <f t="shared" si="40"/>
        <v>0.58099999999999996</v>
      </c>
      <c r="I59" s="113">
        <f t="shared" si="9"/>
        <v>0.55269330658111637</v>
      </c>
      <c r="J59" s="114">
        <f t="shared" si="35"/>
        <v>0.95127935728247226</v>
      </c>
      <c r="K59" s="115">
        <f t="shared" si="10"/>
        <v>0.25015930911369805</v>
      </c>
      <c r="L59" s="115">
        <f t="shared" si="11"/>
        <v>0.44512067210728823</v>
      </c>
      <c r="M59" s="112">
        <f t="shared" si="12"/>
        <v>0.26035099284958796</v>
      </c>
      <c r="N59" s="116">
        <f t="shared" si="13"/>
        <v>1.5666502212413351</v>
      </c>
      <c r="O59" s="115">
        <f t="shared" si="14"/>
        <v>0.16618322923626111</v>
      </c>
      <c r="P59" s="117">
        <f t="shared" si="15"/>
        <v>7.1127276350749939</v>
      </c>
      <c r="Q59" s="115">
        <f t="shared" si="16"/>
        <v>3.1312302286381763</v>
      </c>
      <c r="R59" s="115">
        <f t="shared" si="17"/>
        <v>2.2260268086666906</v>
      </c>
      <c r="S59" s="119">
        <f t="shared" si="22"/>
        <v>1.8518057016604763</v>
      </c>
      <c r="T59" s="119">
        <f t="shared" si="23"/>
        <v>1.8518057016604763</v>
      </c>
      <c r="U59" s="112">
        <f t="shared" si="24"/>
        <v>0</v>
      </c>
      <c r="V59" s="127"/>
      <c r="W59" s="128">
        <f t="shared" si="41"/>
        <v>710</v>
      </c>
      <c r="X59" s="128">
        <f t="shared" si="41"/>
        <v>64.5</v>
      </c>
      <c r="Y59" s="129">
        <f t="shared" si="0"/>
        <v>581</v>
      </c>
      <c r="Z59" s="122">
        <f t="shared" si="1"/>
        <v>0.55269330658111637</v>
      </c>
      <c r="AA59" s="128">
        <f t="shared" si="26"/>
        <v>2.7</v>
      </c>
      <c r="AB59" s="128">
        <v>1</v>
      </c>
      <c r="AC59" s="129">
        <f t="shared" si="18"/>
        <v>1.2328767123287672</v>
      </c>
      <c r="AD59" s="130">
        <f t="shared" si="27"/>
        <v>0.3</v>
      </c>
      <c r="AE59" s="131">
        <f t="shared" si="19"/>
        <v>0.13698630136986301</v>
      </c>
      <c r="AF59" s="128">
        <f t="shared" si="28"/>
        <v>8.6999999999999994E-2</v>
      </c>
      <c r="AG59" s="121">
        <f t="shared" si="2"/>
        <v>7.1127276350749939</v>
      </c>
      <c r="AH59" s="125">
        <f t="shared" si="29"/>
        <v>0.8195508933778024</v>
      </c>
      <c r="AI59" s="125">
        <f t="shared" si="30"/>
        <v>2.1491794319490021</v>
      </c>
      <c r="AJ59" s="122">
        <f t="shared" si="31"/>
        <v>8.1764446415912059E-2</v>
      </c>
      <c r="AK59" s="121">
        <f t="shared" si="3"/>
        <v>0.83732782990464338</v>
      </c>
      <c r="AL59" s="121">
        <f t="shared" si="4"/>
        <v>0.91965394349154128</v>
      </c>
      <c r="AM59" s="121">
        <f t="shared" si="5"/>
        <v>0.86597280641296126</v>
      </c>
      <c r="AN59" s="121">
        <f t="shared" si="20"/>
        <v>1.9804403514963009</v>
      </c>
      <c r="AO59" s="121">
        <f t="shared" si="32"/>
        <v>3.3095085172226661</v>
      </c>
      <c r="AP59" s="121">
        <f t="shared" si="33"/>
        <v>3.5914879383774658</v>
      </c>
    </row>
    <row r="60" spans="1:42">
      <c r="A60" s="105">
        <f t="shared" si="6"/>
        <v>1845.9012278539537</v>
      </c>
      <c r="B60" s="106">
        <f t="shared" si="7"/>
        <v>6645.2444202742336</v>
      </c>
      <c r="C60" s="107">
        <f t="shared" si="21"/>
        <v>1.8459012278539537</v>
      </c>
      <c r="D60" s="108">
        <f t="shared" si="40"/>
        <v>6.7000000000000004E-2</v>
      </c>
      <c r="E60" s="108">
        <f t="shared" si="40"/>
        <v>1.0999999999999999E-2</v>
      </c>
      <c r="F60" s="108">
        <f t="shared" si="40"/>
        <v>710</v>
      </c>
      <c r="G60" s="108">
        <f t="shared" si="40"/>
        <v>64.5</v>
      </c>
      <c r="H60" s="108">
        <f t="shared" si="40"/>
        <v>0.58099999999999996</v>
      </c>
      <c r="I60" s="113">
        <f t="shared" si="9"/>
        <v>0.55850330658111635</v>
      </c>
      <c r="J60" s="114">
        <f t="shared" si="35"/>
        <v>0.96127935728247227</v>
      </c>
      <c r="K60" s="115">
        <f t="shared" si="10"/>
        <v>0.22418276170649809</v>
      </c>
      <c r="L60" s="115">
        <f t="shared" si="11"/>
        <v>0.39613629085438862</v>
      </c>
      <c r="M60" s="112">
        <f t="shared" si="12"/>
        <v>0.26173060952324539</v>
      </c>
      <c r="N60" s="116">
        <f t="shared" si="13"/>
        <v>1.5951101467492699</v>
      </c>
      <c r="O60" s="115">
        <f t="shared" si="14"/>
        <v>0.16408309486127667</v>
      </c>
      <c r="P60" s="117">
        <f t="shared" si="15"/>
        <v>7.0526761513158496</v>
      </c>
      <c r="Q60" s="115">
        <f t="shared" si="16"/>
        <v>3.0936837803496866</v>
      </c>
      <c r="R60" s="115">
        <f t="shared" si="17"/>
        <v>2.0839787567431323</v>
      </c>
      <c r="S60" s="119">
        <f t="shared" si="22"/>
        <v>1.8459012278539537</v>
      </c>
      <c r="T60" s="119">
        <f t="shared" si="23"/>
        <v>1.8459012278539537</v>
      </c>
      <c r="U60" s="112">
        <f t="shared" si="24"/>
        <v>0</v>
      </c>
      <c r="V60" s="127"/>
      <c r="W60" s="128">
        <f t="shared" si="41"/>
        <v>710</v>
      </c>
      <c r="X60" s="128">
        <f t="shared" si="41"/>
        <v>64.5</v>
      </c>
      <c r="Y60" s="129">
        <f t="shared" si="0"/>
        <v>581</v>
      </c>
      <c r="Z60" s="122">
        <f t="shared" si="1"/>
        <v>0.55850330658111635</v>
      </c>
      <c r="AA60" s="128">
        <f t="shared" si="26"/>
        <v>2.7</v>
      </c>
      <c r="AB60" s="128">
        <v>1</v>
      </c>
      <c r="AC60" s="129">
        <f t="shared" si="18"/>
        <v>1.2328767123287672</v>
      </c>
      <c r="AD60" s="130">
        <f t="shared" si="27"/>
        <v>0.3</v>
      </c>
      <c r="AE60" s="131">
        <f t="shared" si="19"/>
        <v>0.13698630136986301</v>
      </c>
      <c r="AF60" s="128">
        <f t="shared" si="28"/>
        <v>8.6999999999999994E-2</v>
      </c>
      <c r="AG60" s="121">
        <f t="shared" si="2"/>
        <v>7.0526761513158496</v>
      </c>
      <c r="AH60" s="125">
        <f t="shared" si="29"/>
        <v>0.8195508933778024</v>
      </c>
      <c r="AI60" s="125">
        <f t="shared" si="30"/>
        <v>2.1491794319490021</v>
      </c>
      <c r="AJ60" s="122">
        <f t="shared" si="31"/>
        <v>8.2049955260479396E-2</v>
      </c>
      <c r="AK60" s="121">
        <f t="shared" si="3"/>
        <v>0.83732782990464338</v>
      </c>
      <c r="AL60" s="121">
        <f t="shared" si="4"/>
        <v>0.91965394349154128</v>
      </c>
      <c r="AM60" s="121">
        <f t="shared" si="5"/>
        <v>0.86597280641296126</v>
      </c>
      <c r="AN60" s="121">
        <f t="shared" si="20"/>
        <v>1.9804403514963009</v>
      </c>
      <c r="AO60" s="121">
        <f t="shared" si="32"/>
        <v>3.2815669303702895</v>
      </c>
      <c r="AP60" s="121">
        <f t="shared" si="33"/>
        <v>3.5611656498451336</v>
      </c>
    </row>
    <row r="61" spans="1:42" s="142" customFormat="1">
      <c r="A61" s="143">
        <f t="shared" si="6"/>
        <v>1835.5573136644134</v>
      </c>
      <c r="B61" s="132">
        <f t="shared" si="7"/>
        <v>6608.0063291918887</v>
      </c>
      <c r="C61" s="133">
        <f t="shared" si="21"/>
        <v>1.8355573136644134</v>
      </c>
      <c r="D61" s="134">
        <f t="shared" si="40"/>
        <v>6.7000000000000004E-2</v>
      </c>
      <c r="E61" s="134">
        <f t="shared" si="40"/>
        <v>1.0999999999999999E-2</v>
      </c>
      <c r="F61" s="134">
        <f t="shared" si="40"/>
        <v>710</v>
      </c>
      <c r="G61" s="134">
        <f t="shared" si="40"/>
        <v>64.5</v>
      </c>
      <c r="H61" s="134">
        <f t="shared" si="40"/>
        <v>0.58099999999999996</v>
      </c>
      <c r="I61" s="135">
        <f t="shared" si="9"/>
        <v>0.56431330658111634</v>
      </c>
      <c r="J61" s="136">
        <f t="shared" si="35"/>
        <v>0.97127935728247228</v>
      </c>
      <c r="K61" s="137">
        <f t="shared" si="10"/>
        <v>0.19407754263814841</v>
      </c>
      <c r="L61" s="137">
        <f t="shared" si="11"/>
        <v>0.34058709468776338</v>
      </c>
      <c r="M61" s="138">
        <f t="shared" si="12"/>
        <v>0.26294806620857647</v>
      </c>
      <c r="N61" s="137">
        <f t="shared" si="13"/>
        <v>1.6273842297220791</v>
      </c>
      <c r="O61" s="137">
        <f t="shared" si="14"/>
        <v>0.16157712567577365</v>
      </c>
      <c r="P61" s="139">
        <f t="shared" si="15"/>
        <v>6.9806838290584992</v>
      </c>
      <c r="Q61" s="137">
        <f t="shared" si="16"/>
        <v>3.048000703180445</v>
      </c>
      <c r="R61" s="137">
        <f t="shared" si="17"/>
        <v>1.9147678034753102</v>
      </c>
      <c r="S61" s="140">
        <f t="shared" si="22"/>
        <v>1.8355573136644134</v>
      </c>
      <c r="T61" s="140">
        <f t="shared" si="23"/>
        <v>1.8355573136644134</v>
      </c>
      <c r="U61" s="138">
        <f t="shared" si="24"/>
        <v>0</v>
      </c>
      <c r="V61" s="141"/>
      <c r="W61" s="144">
        <f t="shared" si="41"/>
        <v>710</v>
      </c>
      <c r="X61" s="144">
        <f t="shared" si="41"/>
        <v>64.5</v>
      </c>
      <c r="Y61" s="145">
        <f t="shared" si="0"/>
        <v>581</v>
      </c>
      <c r="Z61" s="146">
        <f t="shared" si="1"/>
        <v>0.56431330658111634</v>
      </c>
      <c r="AA61" s="128">
        <f t="shared" si="26"/>
        <v>2.7</v>
      </c>
      <c r="AB61" s="144">
        <v>1</v>
      </c>
      <c r="AC61" s="145">
        <f t="shared" si="18"/>
        <v>1.2328767123287672</v>
      </c>
      <c r="AD61" s="147">
        <f t="shared" si="27"/>
        <v>0.3</v>
      </c>
      <c r="AE61" s="148">
        <f t="shared" si="19"/>
        <v>0.13698630136986301</v>
      </c>
      <c r="AF61" s="128">
        <f t="shared" si="28"/>
        <v>8.6999999999999994E-2</v>
      </c>
      <c r="AG61" s="149">
        <f t="shared" si="2"/>
        <v>6.9806838290584992</v>
      </c>
      <c r="AH61" s="150">
        <f t="shared" si="29"/>
        <v>0.8195508933778024</v>
      </c>
      <c r="AI61" s="150">
        <f t="shared" si="30"/>
        <v>2.1491794319490021</v>
      </c>
      <c r="AJ61" s="146">
        <f t="shared" si="31"/>
        <v>8.2333490846421248E-2</v>
      </c>
      <c r="AK61" s="149">
        <f t="shared" si="3"/>
        <v>0.83732782990464338</v>
      </c>
      <c r="AL61" s="149">
        <f t="shared" si="4"/>
        <v>0.91965394349154128</v>
      </c>
      <c r="AM61" s="149">
        <f t="shared" si="5"/>
        <v>0.86597280641296126</v>
      </c>
      <c r="AN61" s="149">
        <f t="shared" si="20"/>
        <v>1.9804403514963009</v>
      </c>
      <c r="AO61" s="149">
        <f t="shared" si="32"/>
        <v>3.2480693446465776</v>
      </c>
      <c r="AP61" s="149">
        <f t="shared" si="33"/>
        <v>3.5248139757323753</v>
      </c>
    </row>
    <row r="62" spans="1:42">
      <c r="A62" s="105">
        <f t="shared" si="6"/>
        <v>1819.0053874753244</v>
      </c>
      <c r="B62" s="106">
        <f t="shared" si="7"/>
        <v>6548.4193949111677</v>
      </c>
      <c r="C62" s="107">
        <f t="shared" si="21"/>
        <v>1.8190053874753243</v>
      </c>
      <c r="D62" s="108">
        <f t="shared" si="40"/>
        <v>6.7000000000000004E-2</v>
      </c>
      <c r="E62" s="108">
        <f t="shared" si="40"/>
        <v>1.0999999999999999E-2</v>
      </c>
      <c r="F62" s="108">
        <f t="shared" si="40"/>
        <v>710</v>
      </c>
      <c r="G62" s="108">
        <f t="shared" si="40"/>
        <v>64.5</v>
      </c>
      <c r="H62" s="108">
        <f t="shared" si="40"/>
        <v>0.58099999999999996</v>
      </c>
      <c r="I62" s="113">
        <f t="shared" si="9"/>
        <v>0.57012330658111632</v>
      </c>
      <c r="J62" s="114">
        <f t="shared" si="35"/>
        <v>0.98127935728247229</v>
      </c>
      <c r="K62" s="115">
        <f t="shared" si="10"/>
        <v>0.15749357341355877</v>
      </c>
      <c r="L62" s="115">
        <f t="shared" si="11"/>
        <v>0.27450788072099219</v>
      </c>
      <c r="M62" s="112">
        <f t="shared" si="12"/>
        <v>0.26397343763517883</v>
      </c>
      <c r="N62" s="116">
        <f t="shared" si="13"/>
        <v>1.6657762530367735</v>
      </c>
      <c r="O62" s="115">
        <f t="shared" si="14"/>
        <v>0.1584687242082754</v>
      </c>
      <c r="P62" s="117">
        <f t="shared" si="15"/>
        <v>6.890865246787663</v>
      </c>
      <c r="Q62" s="115">
        <f t="shared" si="16"/>
        <v>2.9903080083846838</v>
      </c>
      <c r="R62" s="115">
        <f t="shared" si="17"/>
        <v>1.6993802159931124</v>
      </c>
      <c r="S62" s="119">
        <f t="shared" si="22"/>
        <v>1.8190053874753243</v>
      </c>
      <c r="T62" s="119">
        <f t="shared" si="23"/>
        <v>1.8190053874753243</v>
      </c>
      <c r="U62" s="112">
        <f t="shared" si="24"/>
        <v>0</v>
      </c>
      <c r="V62" s="127"/>
      <c r="W62" s="128">
        <f t="shared" si="41"/>
        <v>710</v>
      </c>
      <c r="X62" s="128">
        <f t="shared" si="41"/>
        <v>64.5</v>
      </c>
      <c r="Y62" s="129">
        <f t="shared" si="0"/>
        <v>581</v>
      </c>
      <c r="Z62" s="122">
        <f t="shared" si="1"/>
        <v>0.57012330658111632</v>
      </c>
      <c r="AA62" s="128">
        <f t="shared" si="26"/>
        <v>2.7</v>
      </c>
      <c r="AB62" s="128">
        <v>1</v>
      </c>
      <c r="AC62" s="129">
        <f t="shared" si="18"/>
        <v>1.2328767123287672</v>
      </c>
      <c r="AD62" s="130">
        <f t="shared" si="27"/>
        <v>0.3</v>
      </c>
      <c r="AE62" s="131">
        <f t="shared" si="19"/>
        <v>0.13698630136986301</v>
      </c>
      <c r="AF62" s="128">
        <f t="shared" si="28"/>
        <v>8.6999999999999994E-2</v>
      </c>
      <c r="AG62" s="121">
        <f t="shared" si="2"/>
        <v>6.890865246787663</v>
      </c>
      <c r="AH62" s="125">
        <f t="shared" si="29"/>
        <v>0.8195508933778024</v>
      </c>
      <c r="AI62" s="125">
        <f t="shared" si="30"/>
        <v>2.1491794319490021</v>
      </c>
      <c r="AJ62" s="122">
        <f t="shared" si="31"/>
        <v>8.2615086919120673E-2</v>
      </c>
      <c r="AK62" s="121">
        <f t="shared" si="3"/>
        <v>0.83732782990464338</v>
      </c>
      <c r="AL62" s="121">
        <f t="shared" si="4"/>
        <v>0.91965394349154128</v>
      </c>
      <c r="AM62" s="121">
        <f t="shared" si="5"/>
        <v>0.86597280641296126</v>
      </c>
      <c r="AN62" s="121">
        <f t="shared" si="20"/>
        <v>1.9804403514963009</v>
      </c>
      <c r="AO62" s="121">
        <f t="shared" si="32"/>
        <v>3.2062773095397725</v>
      </c>
      <c r="AP62" s="121">
        <f t="shared" si="33"/>
        <v>3.4794611418522865</v>
      </c>
    </row>
    <row r="63" spans="1:42">
      <c r="A63" s="105">
        <f t="shared" si="6"/>
        <v>1791.7238456008661</v>
      </c>
      <c r="B63" s="106">
        <f t="shared" si="7"/>
        <v>6450.2058441631179</v>
      </c>
      <c r="C63" s="107">
        <f t="shared" si="21"/>
        <v>1.7917238456008662</v>
      </c>
      <c r="D63" s="108">
        <f t="shared" si="40"/>
        <v>6.7000000000000004E-2</v>
      </c>
      <c r="E63" s="108">
        <f t="shared" si="40"/>
        <v>1.0999999999999999E-2</v>
      </c>
      <c r="F63" s="108">
        <f t="shared" si="40"/>
        <v>710</v>
      </c>
      <c r="G63" s="108">
        <f t="shared" si="40"/>
        <v>64.5</v>
      </c>
      <c r="H63" s="108">
        <f t="shared" si="40"/>
        <v>0.58099999999999996</v>
      </c>
      <c r="I63" s="113">
        <f t="shared" si="9"/>
        <v>0.57593330658111641</v>
      </c>
      <c r="J63" s="114">
        <f t="shared" si="35"/>
        <v>0.9912793572824723</v>
      </c>
      <c r="K63" s="115">
        <f t="shared" si="10"/>
        <v>0.10803846526437495</v>
      </c>
      <c r="L63" s="115">
        <f t="shared" si="11"/>
        <v>0.18704129121577884</v>
      </c>
      <c r="M63" s="112">
        <f t="shared" si="12"/>
        <v>0.26475421629776341</v>
      </c>
      <c r="N63" s="116">
        <f t="shared" si="13"/>
        <v>1.7165943415393021</v>
      </c>
      <c r="O63" s="115">
        <f t="shared" si="14"/>
        <v>0.15423225504772045</v>
      </c>
      <c r="P63" s="117">
        <f t="shared" si="15"/>
        <v>6.7674988170377341</v>
      </c>
      <c r="Q63" s="115">
        <f t="shared" si="16"/>
        <v>2.9102370904041099</v>
      </c>
      <c r="R63" s="115">
        <f t="shared" si="17"/>
        <v>1.3802617260351662</v>
      </c>
      <c r="S63" s="119">
        <f t="shared" si="22"/>
        <v>1.7917238456008662</v>
      </c>
      <c r="T63" s="119">
        <f t="shared" si="23"/>
        <v>1.7917238456008662</v>
      </c>
      <c r="U63" s="112">
        <f t="shared" si="24"/>
        <v>0</v>
      </c>
      <c r="V63" s="127"/>
      <c r="W63" s="128">
        <f t="shared" si="41"/>
        <v>710</v>
      </c>
      <c r="X63" s="128">
        <f t="shared" si="41"/>
        <v>64.5</v>
      </c>
      <c r="Y63" s="129">
        <f t="shared" si="0"/>
        <v>581</v>
      </c>
      <c r="Z63" s="122">
        <f t="shared" si="1"/>
        <v>0.57593330658111641</v>
      </c>
      <c r="AA63" s="128">
        <f t="shared" si="26"/>
        <v>2.7</v>
      </c>
      <c r="AB63" s="128">
        <v>1</v>
      </c>
      <c r="AC63" s="129">
        <f t="shared" si="18"/>
        <v>1.2328767123287672</v>
      </c>
      <c r="AD63" s="130">
        <f t="shared" si="27"/>
        <v>0.3</v>
      </c>
      <c r="AE63" s="131">
        <f t="shared" si="19"/>
        <v>0.13698630136986301</v>
      </c>
      <c r="AF63" s="128">
        <f t="shared" si="28"/>
        <v>8.6999999999999994E-2</v>
      </c>
      <c r="AG63" s="121">
        <f t="shared" si="2"/>
        <v>6.7674988170377341</v>
      </c>
      <c r="AH63" s="125">
        <f t="shared" si="29"/>
        <v>0.8195508933778024</v>
      </c>
      <c r="AI63" s="125">
        <f t="shared" si="30"/>
        <v>2.1491794319490021</v>
      </c>
      <c r="AJ63" s="122">
        <f t="shared" si="31"/>
        <v>8.2894776309981863E-2</v>
      </c>
      <c r="AK63" s="121">
        <f t="shared" si="3"/>
        <v>0.83732782990464338</v>
      </c>
      <c r="AL63" s="121">
        <f t="shared" si="4"/>
        <v>0.91965394349154128</v>
      </c>
      <c r="AM63" s="121">
        <f t="shared" si="5"/>
        <v>0.86597280641296126</v>
      </c>
      <c r="AN63" s="121">
        <f t="shared" si="20"/>
        <v>1.9804403514963009</v>
      </c>
      <c r="AO63" s="121">
        <f t="shared" si="32"/>
        <v>3.1488756668867657</v>
      </c>
      <c r="AP63" s="121">
        <f t="shared" si="33"/>
        <v>3.417168718020021</v>
      </c>
    </row>
    <row r="64" spans="1:42" s="142" customFormat="1">
      <c r="A64" s="143" t="e">
        <f t="shared" si="6"/>
        <v>#NUM!</v>
      </c>
      <c r="B64" s="132" t="e">
        <f t="shared" si="7"/>
        <v>#NUM!</v>
      </c>
      <c r="C64" s="133" t="e">
        <f t="shared" si="21"/>
        <v>#NUM!</v>
      </c>
      <c r="D64" s="134">
        <f t="shared" si="40"/>
        <v>6.7000000000000004E-2</v>
      </c>
      <c r="E64" s="134">
        <f t="shared" si="40"/>
        <v>1.0999999999999999E-2</v>
      </c>
      <c r="F64" s="134">
        <f t="shared" si="40"/>
        <v>710</v>
      </c>
      <c r="G64" s="134">
        <f t="shared" si="40"/>
        <v>64.5</v>
      </c>
      <c r="H64" s="134">
        <f t="shared" si="40"/>
        <v>0.58099999999999996</v>
      </c>
      <c r="I64" s="135">
        <f t="shared" si="9"/>
        <v>0.58174330658111639</v>
      </c>
      <c r="J64" s="136">
        <f t="shared" si="35"/>
        <v>1.0012793572824723</v>
      </c>
      <c r="K64" s="137" t="e">
        <f t="shared" si="10"/>
        <v>#NUM!</v>
      </c>
      <c r="L64" s="137" t="e">
        <f t="shared" si="11"/>
        <v>#NUM!</v>
      </c>
      <c r="M64" s="138" t="e">
        <f t="shared" si="12"/>
        <v>#NUM!</v>
      </c>
      <c r="N64" s="137" t="e">
        <f t="shared" si="13"/>
        <v>#NUM!</v>
      </c>
      <c r="O64" s="137" t="e">
        <f t="shared" si="14"/>
        <v>#NUM!</v>
      </c>
      <c r="P64" s="139" t="e">
        <f t="shared" si="15"/>
        <v>#NUM!</v>
      </c>
      <c r="Q64" s="137" t="e">
        <f t="shared" si="16"/>
        <v>#NUM!</v>
      </c>
      <c r="R64" s="137" t="e">
        <f t="shared" si="17"/>
        <v>#NUM!</v>
      </c>
      <c r="S64" s="140" t="e">
        <f t="shared" si="22"/>
        <v>#NUM!</v>
      </c>
      <c r="T64" s="140" t="e">
        <f t="shared" si="23"/>
        <v>#NUM!</v>
      </c>
      <c r="U64" s="138" t="e">
        <f t="shared" si="24"/>
        <v>#NUM!</v>
      </c>
      <c r="V64" s="141"/>
      <c r="W64" s="144">
        <f t="shared" si="41"/>
        <v>710</v>
      </c>
      <c r="X64" s="144">
        <f t="shared" si="41"/>
        <v>64.5</v>
      </c>
      <c r="Y64" s="145">
        <f t="shared" si="0"/>
        <v>581</v>
      </c>
      <c r="Z64" s="146">
        <f t="shared" si="1"/>
        <v>0.58174330658111639</v>
      </c>
      <c r="AA64" s="128">
        <f t="shared" si="26"/>
        <v>2.7</v>
      </c>
      <c r="AB64" s="144">
        <v>1</v>
      </c>
      <c r="AC64" s="145">
        <f t="shared" si="18"/>
        <v>1.2328767123287672</v>
      </c>
      <c r="AD64" s="147">
        <f t="shared" si="27"/>
        <v>0.3</v>
      </c>
      <c r="AE64" s="148">
        <f t="shared" si="19"/>
        <v>0.13698630136986301</v>
      </c>
      <c r="AF64" s="128">
        <f t="shared" si="28"/>
        <v>8.6999999999999994E-2</v>
      </c>
      <c r="AG64" s="149" t="e">
        <f t="shared" si="2"/>
        <v>#NUM!</v>
      </c>
      <c r="AH64" s="150">
        <f t="shared" si="29"/>
        <v>0.8195508933778024</v>
      </c>
      <c r="AI64" s="150">
        <f t="shared" si="30"/>
        <v>2.1491794319490021</v>
      </c>
      <c r="AJ64" s="146">
        <f t="shared" si="31"/>
        <v>8.3172590970125915E-2</v>
      </c>
      <c r="AK64" s="149">
        <f t="shared" si="3"/>
        <v>0.83732782990464338</v>
      </c>
      <c r="AL64" s="149">
        <f t="shared" si="4"/>
        <v>0.91965394349154128</v>
      </c>
      <c r="AM64" s="149">
        <f t="shared" si="5"/>
        <v>0.86597280641296126</v>
      </c>
      <c r="AN64" s="149">
        <f t="shared" si="20"/>
        <v>1.9804403514963009</v>
      </c>
      <c r="AO64" s="149" t="e">
        <f t="shared" si="32"/>
        <v>#NUM!</v>
      </c>
      <c r="AP64" s="149" t="e">
        <f t="shared" si="33"/>
        <v>#NUM!</v>
      </c>
    </row>
    <row r="65" spans="1:42">
      <c r="A65" s="105" t="e">
        <f t="shared" si="6"/>
        <v>#NUM!</v>
      </c>
      <c r="B65" s="106" t="e">
        <f t="shared" si="7"/>
        <v>#NUM!</v>
      </c>
      <c r="C65" s="107" t="e">
        <f t="shared" si="21"/>
        <v>#NUM!</v>
      </c>
      <c r="D65" s="108">
        <f t="shared" si="40"/>
        <v>6.7000000000000004E-2</v>
      </c>
      <c r="E65" s="108">
        <f t="shared" si="40"/>
        <v>1.0999999999999999E-2</v>
      </c>
      <c r="F65" s="108">
        <f t="shared" si="40"/>
        <v>710</v>
      </c>
      <c r="G65" s="108">
        <f t="shared" si="40"/>
        <v>64.5</v>
      </c>
      <c r="H65" s="108">
        <f t="shared" si="40"/>
        <v>0.58099999999999996</v>
      </c>
      <c r="I65" s="113">
        <f t="shared" si="9"/>
        <v>0.58755330658111637</v>
      </c>
      <c r="J65" s="114">
        <f t="shared" si="35"/>
        <v>1.0112793572824723</v>
      </c>
      <c r="K65" s="115" t="e">
        <f t="shared" si="10"/>
        <v>#NUM!</v>
      </c>
      <c r="L65" s="115" t="e">
        <f t="shared" si="11"/>
        <v>#NUM!</v>
      </c>
      <c r="M65" s="112" t="e">
        <f t="shared" si="12"/>
        <v>#NUM!</v>
      </c>
      <c r="N65" s="116" t="e">
        <f t="shared" si="13"/>
        <v>#NUM!</v>
      </c>
      <c r="O65" s="115" t="e">
        <f t="shared" si="14"/>
        <v>#NUM!</v>
      </c>
      <c r="P65" s="117" t="e">
        <f t="shared" si="15"/>
        <v>#NUM!</v>
      </c>
      <c r="Q65" s="115" t="e">
        <f t="shared" si="16"/>
        <v>#NUM!</v>
      </c>
      <c r="R65" s="115" t="e">
        <f t="shared" si="17"/>
        <v>#NUM!</v>
      </c>
      <c r="S65" s="119" t="e">
        <f t="shared" si="22"/>
        <v>#NUM!</v>
      </c>
      <c r="T65" s="119" t="e">
        <f t="shared" si="23"/>
        <v>#NUM!</v>
      </c>
      <c r="U65" s="112" t="e">
        <f t="shared" si="24"/>
        <v>#NUM!</v>
      </c>
      <c r="V65" s="127"/>
      <c r="W65" s="128">
        <f t="shared" si="41"/>
        <v>710</v>
      </c>
      <c r="X65" s="128">
        <f t="shared" si="41"/>
        <v>64.5</v>
      </c>
      <c r="Y65" s="129">
        <f t="shared" si="0"/>
        <v>581</v>
      </c>
      <c r="Z65" s="122">
        <f t="shared" si="1"/>
        <v>0.58755330658111637</v>
      </c>
      <c r="AA65" s="128">
        <f t="shared" si="26"/>
        <v>2.7</v>
      </c>
      <c r="AB65" s="128">
        <v>1</v>
      </c>
      <c r="AC65" s="129">
        <f t="shared" si="18"/>
        <v>1.2328767123287672</v>
      </c>
      <c r="AD65" s="130">
        <f t="shared" si="27"/>
        <v>0.3</v>
      </c>
      <c r="AE65" s="131">
        <f t="shared" si="19"/>
        <v>0.13698630136986301</v>
      </c>
      <c r="AF65" s="128">
        <f t="shared" si="28"/>
        <v>8.6999999999999994E-2</v>
      </c>
      <c r="AG65" s="121" t="e">
        <f t="shared" si="2"/>
        <v>#NUM!</v>
      </c>
      <c r="AH65" s="125">
        <f t="shared" si="29"/>
        <v>0.8195508933778024</v>
      </c>
      <c r="AI65" s="125">
        <f t="shared" si="30"/>
        <v>2.1491794319490021</v>
      </c>
      <c r="AJ65" s="122">
        <f t="shared" si="31"/>
        <v>8.3448562002521473E-2</v>
      </c>
      <c r="AK65" s="121">
        <f t="shared" si="3"/>
        <v>0.83732782990464338</v>
      </c>
      <c r="AL65" s="121">
        <f t="shared" si="4"/>
        <v>0.91965394349154128</v>
      </c>
      <c r="AM65" s="121">
        <f t="shared" si="5"/>
        <v>0.86597280641296126</v>
      </c>
      <c r="AN65" s="121">
        <f t="shared" si="20"/>
        <v>1.9804403514963009</v>
      </c>
      <c r="AO65" s="121" t="e">
        <f t="shared" si="32"/>
        <v>#NUM!</v>
      </c>
      <c r="AP65" s="121" t="e">
        <f t="shared" si="33"/>
        <v>#NUM!</v>
      </c>
    </row>
    <row r="66" spans="1:42">
      <c r="A66" s="105" t="e">
        <f t="shared" si="6"/>
        <v>#NUM!</v>
      </c>
      <c r="B66" s="106" t="e">
        <f t="shared" si="7"/>
        <v>#NUM!</v>
      </c>
      <c r="C66" s="107" t="e">
        <f t="shared" si="21"/>
        <v>#NUM!</v>
      </c>
      <c r="D66" s="108">
        <f t="shared" si="40"/>
        <v>6.7000000000000004E-2</v>
      </c>
      <c r="E66" s="108">
        <f t="shared" si="40"/>
        <v>1.0999999999999999E-2</v>
      </c>
      <c r="F66" s="108">
        <f t="shared" si="40"/>
        <v>710</v>
      </c>
      <c r="G66" s="108">
        <f t="shared" si="40"/>
        <v>64.5</v>
      </c>
      <c r="H66" s="108">
        <f t="shared" si="40"/>
        <v>0.58099999999999996</v>
      </c>
      <c r="I66" s="113">
        <f t="shared" si="9"/>
        <v>0.59336330658111636</v>
      </c>
      <c r="J66" s="114">
        <f t="shared" si="35"/>
        <v>1.0212793572824723</v>
      </c>
      <c r="K66" s="115" t="e">
        <f t="shared" si="10"/>
        <v>#NUM!</v>
      </c>
      <c r="L66" s="115" t="e">
        <f t="shared" si="11"/>
        <v>#NUM!</v>
      </c>
      <c r="M66" s="112" t="e">
        <f t="shared" si="12"/>
        <v>#NUM!</v>
      </c>
      <c r="N66" s="116" t="e">
        <f t="shared" si="13"/>
        <v>#NUM!</v>
      </c>
      <c r="O66" s="115" t="e">
        <f t="shared" si="14"/>
        <v>#NUM!</v>
      </c>
      <c r="P66" s="117" t="e">
        <f t="shared" si="15"/>
        <v>#NUM!</v>
      </c>
      <c r="Q66" s="115" t="e">
        <f t="shared" si="16"/>
        <v>#NUM!</v>
      </c>
      <c r="R66" s="115" t="e">
        <f t="shared" si="17"/>
        <v>#NUM!</v>
      </c>
      <c r="S66" s="119" t="e">
        <f t="shared" si="22"/>
        <v>#NUM!</v>
      </c>
      <c r="T66" s="119" t="e">
        <f t="shared" si="23"/>
        <v>#NUM!</v>
      </c>
      <c r="U66" s="112" t="e">
        <f t="shared" si="24"/>
        <v>#NUM!</v>
      </c>
      <c r="V66" s="127"/>
      <c r="W66" s="128">
        <f t="shared" si="41"/>
        <v>710</v>
      </c>
      <c r="X66" s="128">
        <f t="shared" si="41"/>
        <v>64.5</v>
      </c>
      <c r="Y66" s="129">
        <f t="shared" si="0"/>
        <v>581</v>
      </c>
      <c r="Z66" s="122">
        <f t="shared" si="1"/>
        <v>0.59336330658111636</v>
      </c>
      <c r="AA66" s="128">
        <f t="shared" si="26"/>
        <v>2.7</v>
      </c>
      <c r="AB66" s="128">
        <v>1</v>
      </c>
      <c r="AC66" s="129">
        <f t="shared" si="18"/>
        <v>1.2328767123287672</v>
      </c>
      <c r="AD66" s="130">
        <f t="shared" si="27"/>
        <v>0.3</v>
      </c>
      <c r="AE66" s="131">
        <f t="shared" si="19"/>
        <v>0.13698630136986301</v>
      </c>
      <c r="AF66" s="128">
        <f t="shared" si="28"/>
        <v>8.6999999999999994E-2</v>
      </c>
      <c r="AG66" s="121" t="e">
        <f t="shared" si="2"/>
        <v>#NUM!</v>
      </c>
      <c r="AH66" s="125">
        <f t="shared" si="29"/>
        <v>0.8195508933778024</v>
      </c>
      <c r="AI66" s="125">
        <f t="shared" si="30"/>
        <v>2.1491794319490021</v>
      </c>
      <c r="AJ66" s="122">
        <f t="shared" si="31"/>
        <v>8.3722719692637337E-2</v>
      </c>
      <c r="AK66" s="121">
        <f t="shared" si="3"/>
        <v>0.83732782990464338</v>
      </c>
      <c r="AL66" s="121">
        <f t="shared" si="4"/>
        <v>0.91965394349154128</v>
      </c>
      <c r="AM66" s="121">
        <f t="shared" si="5"/>
        <v>0.86597280641296126</v>
      </c>
      <c r="AN66" s="121">
        <f t="shared" si="20"/>
        <v>1.9804403514963009</v>
      </c>
      <c r="AO66" s="121" t="e">
        <f t="shared" si="32"/>
        <v>#NUM!</v>
      </c>
      <c r="AP66" s="121" t="e">
        <f t="shared" si="33"/>
        <v>#NUM!</v>
      </c>
    </row>
    <row r="67" spans="1:42">
      <c r="A67" s="105" t="e">
        <f t="shared" si="6"/>
        <v>#NUM!</v>
      </c>
      <c r="B67" s="106" t="e">
        <f t="shared" si="7"/>
        <v>#NUM!</v>
      </c>
      <c r="C67" s="107" t="e">
        <f t="shared" si="21"/>
        <v>#NUM!</v>
      </c>
      <c r="D67" s="108">
        <f t="shared" si="40"/>
        <v>6.7000000000000004E-2</v>
      </c>
      <c r="E67" s="108">
        <f t="shared" si="40"/>
        <v>1.0999999999999999E-2</v>
      </c>
      <c r="F67" s="108">
        <f t="shared" si="40"/>
        <v>710</v>
      </c>
      <c r="G67" s="108">
        <f t="shared" si="40"/>
        <v>64.5</v>
      </c>
      <c r="H67" s="108">
        <f t="shared" si="40"/>
        <v>0.58099999999999996</v>
      </c>
      <c r="I67" s="113">
        <f t="shared" si="9"/>
        <v>0.59917330658111634</v>
      </c>
      <c r="J67" s="114">
        <f t="shared" si="35"/>
        <v>1.0312793572824723</v>
      </c>
      <c r="K67" s="115" t="e">
        <f t="shared" si="10"/>
        <v>#NUM!</v>
      </c>
      <c r="L67" s="115" t="e">
        <f t="shared" si="11"/>
        <v>#NUM!</v>
      </c>
      <c r="M67" s="112" t="e">
        <f t="shared" si="12"/>
        <v>#NUM!</v>
      </c>
      <c r="N67" s="116" t="e">
        <f t="shared" si="13"/>
        <v>#NUM!</v>
      </c>
      <c r="O67" s="115" t="e">
        <f t="shared" si="14"/>
        <v>#NUM!</v>
      </c>
      <c r="P67" s="117" t="e">
        <f t="shared" si="15"/>
        <v>#NUM!</v>
      </c>
      <c r="Q67" s="115" t="e">
        <f t="shared" si="16"/>
        <v>#NUM!</v>
      </c>
      <c r="R67" s="115" t="e">
        <f t="shared" si="17"/>
        <v>#NUM!</v>
      </c>
      <c r="S67" s="119" t="e">
        <f t="shared" si="22"/>
        <v>#NUM!</v>
      </c>
      <c r="T67" s="119" t="e">
        <f t="shared" si="23"/>
        <v>#NUM!</v>
      </c>
      <c r="U67" s="112" t="e">
        <f t="shared" si="24"/>
        <v>#NUM!</v>
      </c>
      <c r="V67" s="127"/>
      <c r="W67" s="128">
        <f t="shared" si="41"/>
        <v>710</v>
      </c>
      <c r="X67" s="128">
        <f t="shared" si="41"/>
        <v>64.5</v>
      </c>
      <c r="Y67" s="129">
        <f t="shared" si="0"/>
        <v>581</v>
      </c>
      <c r="Z67" s="122">
        <f t="shared" si="1"/>
        <v>0.59917330658111634</v>
      </c>
      <c r="AA67" s="128">
        <f t="shared" si="26"/>
        <v>2.7</v>
      </c>
      <c r="AB67" s="128">
        <v>1</v>
      </c>
      <c r="AC67" s="129">
        <f t="shared" si="18"/>
        <v>1.2328767123287672</v>
      </c>
      <c r="AD67" s="130">
        <f t="shared" si="27"/>
        <v>0.3</v>
      </c>
      <c r="AE67" s="131">
        <f t="shared" si="19"/>
        <v>0.13698630136986301</v>
      </c>
      <c r="AF67" s="128">
        <f t="shared" si="28"/>
        <v>8.6999999999999994E-2</v>
      </c>
      <c r="AG67" s="121" t="e">
        <f t="shared" si="2"/>
        <v>#NUM!</v>
      </c>
      <c r="AH67" s="125">
        <f t="shared" si="29"/>
        <v>0.8195508933778024</v>
      </c>
      <c r="AI67" s="125">
        <f t="shared" si="30"/>
        <v>2.1491794319490021</v>
      </c>
      <c r="AJ67" s="122">
        <f t="shared" si="31"/>
        <v>8.3995093537698795E-2</v>
      </c>
      <c r="AK67" s="121">
        <f t="shared" si="3"/>
        <v>0.83732782990464338</v>
      </c>
      <c r="AL67" s="121">
        <f t="shared" si="4"/>
        <v>0.91965394349154128</v>
      </c>
      <c r="AM67" s="121">
        <f t="shared" si="5"/>
        <v>0.86597280641296126</v>
      </c>
      <c r="AN67" s="121">
        <f t="shared" si="20"/>
        <v>1.9804403514963009</v>
      </c>
      <c r="AO67" s="121" t="e">
        <f t="shared" si="32"/>
        <v>#NUM!</v>
      </c>
      <c r="AP67" s="121" t="e">
        <f t="shared" si="33"/>
        <v>#NUM!</v>
      </c>
    </row>
    <row r="68" spans="1:42">
      <c r="A68" s="105" t="e">
        <f t="shared" si="6"/>
        <v>#NUM!</v>
      </c>
      <c r="B68" s="106" t="e">
        <f t="shared" si="7"/>
        <v>#NUM!</v>
      </c>
      <c r="C68" s="107" t="e">
        <f t="shared" si="21"/>
        <v>#NUM!</v>
      </c>
      <c r="D68" s="108">
        <f t="shared" si="40"/>
        <v>6.7000000000000004E-2</v>
      </c>
      <c r="E68" s="108">
        <f t="shared" si="40"/>
        <v>1.0999999999999999E-2</v>
      </c>
      <c r="F68" s="108">
        <f t="shared" si="40"/>
        <v>710</v>
      </c>
      <c r="G68" s="108">
        <f t="shared" si="40"/>
        <v>64.5</v>
      </c>
      <c r="H68" s="108">
        <f t="shared" si="40"/>
        <v>0.58099999999999996</v>
      </c>
      <c r="I68" s="113">
        <f t="shared" si="9"/>
        <v>0.60498330658111643</v>
      </c>
      <c r="J68" s="114">
        <f t="shared" si="35"/>
        <v>1.0412793572824723</v>
      </c>
      <c r="K68" s="115" t="e">
        <f t="shared" si="10"/>
        <v>#NUM!</v>
      </c>
      <c r="L68" s="115" t="e">
        <f t="shared" si="11"/>
        <v>#NUM!</v>
      </c>
      <c r="M68" s="112" t="e">
        <f t="shared" si="12"/>
        <v>#NUM!</v>
      </c>
      <c r="N68" s="116" t="e">
        <f t="shared" si="13"/>
        <v>#NUM!</v>
      </c>
      <c r="O68" s="115" t="e">
        <f t="shared" si="14"/>
        <v>#NUM!</v>
      </c>
      <c r="P68" s="117" t="e">
        <f t="shared" si="15"/>
        <v>#NUM!</v>
      </c>
      <c r="Q68" s="115" t="e">
        <f t="shared" si="16"/>
        <v>#NUM!</v>
      </c>
      <c r="R68" s="115" t="e">
        <f t="shared" si="17"/>
        <v>#NUM!</v>
      </c>
      <c r="S68" s="119" t="e">
        <f t="shared" si="22"/>
        <v>#NUM!</v>
      </c>
      <c r="T68" s="119" t="e">
        <f t="shared" si="23"/>
        <v>#NUM!</v>
      </c>
      <c r="U68" s="112" t="e">
        <f t="shared" si="24"/>
        <v>#NUM!</v>
      </c>
      <c r="V68" s="127"/>
      <c r="W68" s="128">
        <f t="shared" si="41"/>
        <v>710</v>
      </c>
      <c r="X68" s="128">
        <f t="shared" si="41"/>
        <v>64.5</v>
      </c>
      <c r="Y68" s="129">
        <f t="shared" si="0"/>
        <v>581</v>
      </c>
      <c r="Z68" s="122">
        <f t="shared" si="1"/>
        <v>0.60498330658111643</v>
      </c>
      <c r="AA68" s="128">
        <f t="shared" si="26"/>
        <v>2.7</v>
      </c>
      <c r="AB68" s="128">
        <v>1</v>
      </c>
      <c r="AC68" s="129">
        <f t="shared" si="18"/>
        <v>1.2328767123287672</v>
      </c>
      <c r="AD68" s="130">
        <f t="shared" si="27"/>
        <v>0.3</v>
      </c>
      <c r="AE68" s="131">
        <f t="shared" si="19"/>
        <v>0.13698630136986301</v>
      </c>
      <c r="AF68" s="128">
        <f t="shared" si="28"/>
        <v>8.6999999999999994E-2</v>
      </c>
      <c r="AG68" s="121" t="e">
        <f t="shared" si="2"/>
        <v>#NUM!</v>
      </c>
      <c r="AH68" s="125">
        <f t="shared" si="29"/>
        <v>0.8195508933778024</v>
      </c>
      <c r="AI68" s="125">
        <f t="shared" si="30"/>
        <v>2.1491794319490021</v>
      </c>
      <c r="AJ68" s="122">
        <f t="shared" si="31"/>
        <v>8.4265712274624385E-2</v>
      </c>
      <c r="AK68" s="121">
        <f t="shared" si="3"/>
        <v>0.83732782990464338</v>
      </c>
      <c r="AL68" s="121">
        <f t="shared" si="4"/>
        <v>0.91965394349154128</v>
      </c>
      <c r="AM68" s="121">
        <f t="shared" si="5"/>
        <v>0.86597280641296126</v>
      </c>
      <c r="AN68" s="121">
        <f t="shared" si="20"/>
        <v>1.9804403514963009</v>
      </c>
      <c r="AO68" s="121" t="e">
        <f t="shared" si="32"/>
        <v>#NUM!</v>
      </c>
      <c r="AP68" s="121" t="e">
        <f t="shared" si="33"/>
        <v>#NUM!</v>
      </c>
    </row>
    <row r="69" spans="1:42">
      <c r="A69" s="105" t="e">
        <f t="shared" si="6"/>
        <v>#NUM!</v>
      </c>
      <c r="B69" s="106" t="e">
        <f t="shared" si="7"/>
        <v>#NUM!</v>
      </c>
      <c r="C69" s="107" t="e">
        <f t="shared" si="21"/>
        <v>#NUM!</v>
      </c>
      <c r="D69" s="108">
        <f t="shared" si="40"/>
        <v>6.7000000000000004E-2</v>
      </c>
      <c r="E69" s="108">
        <f t="shared" si="40"/>
        <v>1.0999999999999999E-2</v>
      </c>
      <c r="F69" s="108">
        <f t="shared" si="40"/>
        <v>710</v>
      </c>
      <c r="G69" s="108">
        <f t="shared" si="40"/>
        <v>64.5</v>
      </c>
      <c r="H69" s="108">
        <f t="shared" si="40"/>
        <v>0.58099999999999996</v>
      </c>
      <c r="I69" s="113">
        <f t="shared" si="9"/>
        <v>0.61079330658111641</v>
      </c>
      <c r="J69" s="114">
        <f t="shared" si="35"/>
        <v>1.0512793572824723</v>
      </c>
      <c r="K69" s="115" t="e">
        <f t="shared" si="10"/>
        <v>#NUM!</v>
      </c>
      <c r="L69" s="115" t="e">
        <f t="shared" si="11"/>
        <v>#NUM!</v>
      </c>
      <c r="M69" s="112" t="e">
        <f t="shared" si="12"/>
        <v>#NUM!</v>
      </c>
      <c r="N69" s="116" t="e">
        <f t="shared" si="13"/>
        <v>#NUM!</v>
      </c>
      <c r="O69" s="115" t="e">
        <f t="shared" si="14"/>
        <v>#NUM!</v>
      </c>
      <c r="P69" s="117" t="e">
        <f t="shared" si="15"/>
        <v>#NUM!</v>
      </c>
      <c r="Q69" s="115" t="e">
        <f t="shared" si="16"/>
        <v>#NUM!</v>
      </c>
      <c r="R69" s="115" t="e">
        <f t="shared" si="17"/>
        <v>#NUM!</v>
      </c>
      <c r="S69" s="119" t="e">
        <f t="shared" si="22"/>
        <v>#NUM!</v>
      </c>
      <c r="T69" s="119" t="e">
        <f t="shared" si="23"/>
        <v>#NUM!</v>
      </c>
      <c r="U69" s="112" t="e">
        <f t="shared" si="24"/>
        <v>#NUM!</v>
      </c>
      <c r="V69" s="127"/>
      <c r="W69" s="128">
        <f t="shared" si="41"/>
        <v>710</v>
      </c>
      <c r="X69" s="128">
        <f t="shared" si="41"/>
        <v>64.5</v>
      </c>
      <c r="Y69" s="129">
        <f t="shared" ref="Y69:Y104" si="42">+W69-2*X69</f>
        <v>581</v>
      </c>
      <c r="Z69" s="122">
        <f t="shared" ref="Z69:Z104" si="43">I69</f>
        <v>0.61079330658111641</v>
      </c>
      <c r="AA69" s="128">
        <f t="shared" si="26"/>
        <v>2.7</v>
      </c>
      <c r="AB69" s="128">
        <v>1</v>
      </c>
      <c r="AC69" s="129">
        <f t="shared" si="18"/>
        <v>1.2328767123287672</v>
      </c>
      <c r="AD69" s="130">
        <f t="shared" si="27"/>
        <v>0.3</v>
      </c>
      <c r="AE69" s="131">
        <f t="shared" si="19"/>
        <v>0.13698630136986301</v>
      </c>
      <c r="AF69" s="128">
        <f t="shared" si="28"/>
        <v>8.6999999999999994E-2</v>
      </c>
      <c r="AG69" s="121" t="e">
        <f t="shared" ref="AG69:AG104" si="44">P69</f>
        <v>#NUM!</v>
      </c>
      <c r="AH69" s="125">
        <f t="shared" si="29"/>
        <v>0.8195508933778024</v>
      </c>
      <c r="AI69" s="125">
        <f t="shared" si="30"/>
        <v>2.1491794319490021</v>
      </c>
      <c r="AJ69" s="122">
        <f t="shared" si="31"/>
        <v>8.4534603906714509E-2</v>
      </c>
      <c r="AK69" s="121">
        <f t="shared" ref="AK69:AK104" si="45">0.169*LN(AF69)+1.25</f>
        <v>0.83732782990464338</v>
      </c>
      <c r="AL69" s="121">
        <f t="shared" ref="AL69:AL104" si="46">0.209*LN(AF69)+1.43</f>
        <v>0.91965394349154128</v>
      </c>
      <c r="AM69" s="121">
        <f t="shared" ref="AM69:AM104" si="47">+AK69+((AE69-0.05)/(0.3-0.05)*(AL69-AK69))</f>
        <v>0.86597280641296126</v>
      </c>
      <c r="AN69" s="121">
        <f t="shared" si="20"/>
        <v>1.9804403514963009</v>
      </c>
      <c r="AO69" s="121" t="e">
        <f t="shared" si="32"/>
        <v>#NUM!</v>
      </c>
      <c r="AP69" s="121" t="e">
        <f t="shared" si="33"/>
        <v>#NUM!</v>
      </c>
    </row>
    <row r="70" spans="1:42">
      <c r="A70" s="105" t="e">
        <f t="shared" ref="A70:A104" si="48">B70/3.6</f>
        <v>#NUM!</v>
      </c>
      <c r="B70" s="106" t="e">
        <f t="shared" ref="B70:B104" si="49">C70*3600</f>
        <v>#NUM!</v>
      </c>
      <c r="C70" s="107" t="e">
        <f t="shared" ref="C70:C104" si="50">S70</f>
        <v>#NUM!</v>
      </c>
      <c r="D70" s="108">
        <f t="shared" si="40"/>
        <v>6.7000000000000004E-2</v>
      </c>
      <c r="E70" s="108">
        <f t="shared" si="40"/>
        <v>1.0999999999999999E-2</v>
      </c>
      <c r="F70" s="108">
        <f t="shared" si="40"/>
        <v>710</v>
      </c>
      <c r="G70" s="108">
        <f t="shared" si="40"/>
        <v>64.5</v>
      </c>
      <c r="H70" s="108">
        <f t="shared" si="40"/>
        <v>0.58099999999999996</v>
      </c>
      <c r="I70" s="113">
        <f t="shared" ref="I70:I104" si="51">J70*H70</f>
        <v>0.61660330658111639</v>
      </c>
      <c r="J70" s="114">
        <f t="shared" ref="J70:J104" si="52">0.01+J69</f>
        <v>1.0612793572824724</v>
      </c>
      <c r="K70" s="115" t="e">
        <f t="shared" ref="K70:K104" si="53">2*(H70/2)*(SIN(L70))</f>
        <v>#NUM!</v>
      </c>
      <c r="L70" s="115" t="e">
        <f t="shared" ref="L70:L104" si="54">ACOS((I70-H70/2)/(H70/2))</f>
        <v>#NUM!</v>
      </c>
      <c r="M70" s="112" t="e">
        <f t="shared" ref="M70:M104" si="55">+(PI()-L70)*(H70/2)^2+(H70/2)*SIN(L70)*(I70-H70/2)</f>
        <v>#NUM!</v>
      </c>
      <c r="N70" s="116" t="e">
        <f t="shared" ref="N70:N104" si="56">2*(H70/2)*(PI()-L70)</f>
        <v>#NUM!</v>
      </c>
      <c r="O70" s="115" t="e">
        <f t="shared" ref="O70:O104" si="57">+M70/N70</f>
        <v>#NUM!</v>
      </c>
      <c r="P70" s="117" t="e">
        <f t="shared" ref="P70:P104" si="58">+C70/M70</f>
        <v>#NUM!</v>
      </c>
      <c r="Q70" s="115" t="e">
        <f t="shared" ref="Q70:Q104" si="59">+I70+(P70^2)/(2*9.81)</f>
        <v>#NUM!</v>
      </c>
      <c r="R70" s="115" t="e">
        <f t="shared" ref="R70:R104" si="60">+P70/SQRT(9.81*(M70/K70))</f>
        <v>#NUM!</v>
      </c>
      <c r="S70" s="119" t="e">
        <f t="shared" ref="S70:S104" si="61">T70</f>
        <v>#NUM!</v>
      </c>
      <c r="T70" s="119" t="e">
        <f t="shared" ref="T70:T104" si="62">(D70^0.5)*(M70*O70^(2/3))/E70</f>
        <v>#NUM!</v>
      </c>
      <c r="U70" s="112" t="e">
        <f t="shared" ref="U70:U104" si="63">S70-T70</f>
        <v>#NUM!</v>
      </c>
      <c r="V70" s="127"/>
      <c r="W70" s="128">
        <f t="shared" si="41"/>
        <v>710</v>
      </c>
      <c r="X70" s="128">
        <f t="shared" si="41"/>
        <v>64.5</v>
      </c>
      <c r="Y70" s="129">
        <f t="shared" si="42"/>
        <v>581</v>
      </c>
      <c r="Z70" s="122">
        <f t="shared" si="43"/>
        <v>0.61660330658111639</v>
      </c>
      <c r="AA70" s="128">
        <f t="shared" si="26"/>
        <v>2.7</v>
      </c>
      <c r="AB70" s="128">
        <v>1</v>
      </c>
      <c r="AC70" s="129">
        <f t="shared" ref="AC70:AC104" si="64">+AB70+AE70*(AA70-AB70)</f>
        <v>1.2328767123287672</v>
      </c>
      <c r="AD70" s="130">
        <f t="shared" si="27"/>
        <v>0.3</v>
      </c>
      <c r="AE70" s="131">
        <f t="shared" ref="AE70:AE104" si="65">+AD70/(AA70*(1-AD70)+AD70)</f>
        <v>0.13698630136986301</v>
      </c>
      <c r="AF70" s="128">
        <f t="shared" si="28"/>
        <v>8.6999999999999994E-2</v>
      </c>
      <c r="AG70" s="121" t="e">
        <f t="shared" si="44"/>
        <v>#NUM!</v>
      </c>
      <c r="AH70" s="125">
        <f t="shared" si="29"/>
        <v>0.8195508933778024</v>
      </c>
      <c r="AI70" s="125">
        <f t="shared" si="30"/>
        <v>2.1491794319490021</v>
      </c>
      <c r="AJ70" s="122">
        <f t="shared" si="31"/>
        <v>8.4801795729159038E-2</v>
      </c>
      <c r="AK70" s="121">
        <f t="shared" si="45"/>
        <v>0.83732782990464338</v>
      </c>
      <c r="AL70" s="121">
        <f t="shared" si="46"/>
        <v>0.91965394349154128</v>
      </c>
      <c r="AM70" s="121">
        <f t="shared" si="47"/>
        <v>0.86597280641296126</v>
      </c>
      <c r="AN70" s="121">
        <f t="shared" ref="AN70:AN104" si="66">1.09*AM70*(2*9.81*(Y70/1000)*(AA70-1))^0.25</f>
        <v>1.9804403514963009</v>
      </c>
      <c r="AO70" s="121" t="e">
        <f t="shared" si="32"/>
        <v>#NUM!</v>
      </c>
      <c r="AP70" s="121" t="e">
        <f t="shared" si="33"/>
        <v>#NUM!</v>
      </c>
    </row>
    <row r="71" spans="1:42">
      <c r="A71" s="105" t="e">
        <f t="shared" si="48"/>
        <v>#NUM!</v>
      </c>
      <c r="B71" s="106" t="e">
        <f t="shared" si="49"/>
        <v>#NUM!</v>
      </c>
      <c r="C71" s="107" t="e">
        <f t="shared" si="50"/>
        <v>#NUM!</v>
      </c>
      <c r="D71" s="108">
        <f t="shared" ref="D71:H86" si="67">D70</f>
        <v>6.7000000000000004E-2</v>
      </c>
      <c r="E71" s="108">
        <f t="shared" si="67"/>
        <v>1.0999999999999999E-2</v>
      </c>
      <c r="F71" s="108">
        <f t="shared" si="67"/>
        <v>710</v>
      </c>
      <c r="G71" s="108">
        <f t="shared" si="67"/>
        <v>64.5</v>
      </c>
      <c r="H71" s="108">
        <f t="shared" si="67"/>
        <v>0.58099999999999996</v>
      </c>
      <c r="I71" s="113">
        <f t="shared" si="51"/>
        <v>0.62241330658111638</v>
      </c>
      <c r="J71" s="114">
        <f t="shared" si="52"/>
        <v>1.0712793572824724</v>
      </c>
      <c r="K71" s="115" t="e">
        <f t="shared" si="53"/>
        <v>#NUM!</v>
      </c>
      <c r="L71" s="115" t="e">
        <f t="shared" si="54"/>
        <v>#NUM!</v>
      </c>
      <c r="M71" s="112" t="e">
        <f t="shared" si="55"/>
        <v>#NUM!</v>
      </c>
      <c r="N71" s="116" t="e">
        <f t="shared" si="56"/>
        <v>#NUM!</v>
      </c>
      <c r="O71" s="115" t="e">
        <f t="shared" si="57"/>
        <v>#NUM!</v>
      </c>
      <c r="P71" s="117" t="e">
        <f t="shared" si="58"/>
        <v>#NUM!</v>
      </c>
      <c r="Q71" s="115" t="e">
        <f t="shared" si="59"/>
        <v>#NUM!</v>
      </c>
      <c r="R71" s="115" t="e">
        <f t="shared" si="60"/>
        <v>#NUM!</v>
      </c>
      <c r="S71" s="119" t="e">
        <f t="shared" si="61"/>
        <v>#NUM!</v>
      </c>
      <c r="T71" s="119" t="e">
        <f t="shared" si="62"/>
        <v>#NUM!</v>
      </c>
      <c r="U71" s="112" t="e">
        <f t="shared" si="63"/>
        <v>#NUM!</v>
      </c>
      <c r="V71" s="127"/>
      <c r="W71" s="128">
        <f t="shared" ref="W71:X86" si="68">W70</f>
        <v>710</v>
      </c>
      <c r="X71" s="128">
        <f t="shared" si="68"/>
        <v>64.5</v>
      </c>
      <c r="Y71" s="129">
        <f t="shared" si="42"/>
        <v>581</v>
      </c>
      <c r="Z71" s="122">
        <f t="shared" si="43"/>
        <v>0.62241330658111638</v>
      </c>
      <c r="AA71" s="128">
        <f t="shared" ref="AA71:AA104" si="69">AA70</f>
        <v>2.7</v>
      </c>
      <c r="AB71" s="128">
        <v>1</v>
      </c>
      <c r="AC71" s="129">
        <f t="shared" si="64"/>
        <v>1.2328767123287672</v>
      </c>
      <c r="AD71" s="130">
        <f t="shared" ref="AD71:AD104" si="70">AD70</f>
        <v>0.3</v>
      </c>
      <c r="AE71" s="131">
        <f t="shared" si="65"/>
        <v>0.13698630136986301</v>
      </c>
      <c r="AF71" s="128">
        <f t="shared" ref="AF71:AF104" si="71">AF70</f>
        <v>8.6999999999999994E-2</v>
      </c>
      <c r="AG71" s="121" t="e">
        <f t="shared" si="44"/>
        <v>#NUM!</v>
      </c>
      <c r="AH71" s="125">
        <f t="shared" ref="AH71:AH104" si="72">3.32*AE71^0.213*0+(LN(AF71*1000)*(0.0000002*(AE71*100)^3-0.0000373*(AE71*100)^2+0.0023413*(AE71*100)+0.1591381)+(0.0000051*(AE71*100)^3-0.0002024*(AE71*100)^2-0.000578*(AE71*100)+0.0802934))/1.22*1.146</f>
        <v>0.8195508933778024</v>
      </c>
      <c r="AI71" s="125">
        <f t="shared" ref="AI71:AI104" si="73">+AH71*(2*9.81*Y71/1000*(AA71/AB71-1))^0.5*(AF71/Y71)^(1/6)*0+2.44*0+1.25*AH71*(2*9.806*(+W71-2*X71)/1000*(AA71-1))^0.25</f>
        <v>2.1491794319490021</v>
      </c>
      <c r="AJ71" s="122">
        <f t="shared" ref="AJ71:AJ104" si="74">+AH71*(2*9.81*Z71/1000*(AA71/AB71-1))^0.5*(AF71/Z71)^(1/6)</f>
        <v>8.5067314353426654E-2</v>
      </c>
      <c r="AK71" s="121">
        <f t="shared" si="45"/>
        <v>0.83732782990464338</v>
      </c>
      <c r="AL71" s="121">
        <f t="shared" si="46"/>
        <v>0.91965394349154128</v>
      </c>
      <c r="AM71" s="121">
        <f t="shared" si="47"/>
        <v>0.86597280641296126</v>
      </c>
      <c r="AN71" s="121">
        <f t="shared" si="66"/>
        <v>1.9804403514963009</v>
      </c>
      <c r="AO71" s="121" t="e">
        <f t="shared" ref="AO71:AO95" si="75">+AG71/AI71</f>
        <v>#NUM!</v>
      </c>
      <c r="AP71" s="121" t="e">
        <f t="shared" ref="AP71:AP95" si="76">+AG71/AN71</f>
        <v>#NUM!</v>
      </c>
    </row>
    <row r="72" spans="1:42">
      <c r="A72" s="105" t="e">
        <f t="shared" si="48"/>
        <v>#NUM!</v>
      </c>
      <c r="B72" s="106" t="e">
        <f t="shared" si="49"/>
        <v>#NUM!</v>
      </c>
      <c r="C72" s="107" t="e">
        <f t="shared" si="50"/>
        <v>#NUM!</v>
      </c>
      <c r="D72" s="108">
        <f t="shared" si="67"/>
        <v>6.7000000000000004E-2</v>
      </c>
      <c r="E72" s="108">
        <f t="shared" si="67"/>
        <v>1.0999999999999999E-2</v>
      </c>
      <c r="F72" s="108">
        <f t="shared" si="67"/>
        <v>710</v>
      </c>
      <c r="G72" s="108">
        <f t="shared" si="67"/>
        <v>64.5</v>
      </c>
      <c r="H72" s="108">
        <f t="shared" si="67"/>
        <v>0.58099999999999996</v>
      </c>
      <c r="I72" s="113">
        <f t="shared" si="51"/>
        <v>0.62822330658111636</v>
      </c>
      <c r="J72" s="114">
        <f t="shared" si="52"/>
        <v>1.0812793572824724</v>
      </c>
      <c r="K72" s="115" t="e">
        <f t="shared" si="53"/>
        <v>#NUM!</v>
      </c>
      <c r="L72" s="115" t="e">
        <f t="shared" si="54"/>
        <v>#NUM!</v>
      </c>
      <c r="M72" s="112" t="e">
        <f t="shared" si="55"/>
        <v>#NUM!</v>
      </c>
      <c r="N72" s="116" t="e">
        <f t="shared" si="56"/>
        <v>#NUM!</v>
      </c>
      <c r="O72" s="115" t="e">
        <f t="shared" si="57"/>
        <v>#NUM!</v>
      </c>
      <c r="P72" s="117" t="e">
        <f t="shared" si="58"/>
        <v>#NUM!</v>
      </c>
      <c r="Q72" s="115" t="e">
        <f t="shared" si="59"/>
        <v>#NUM!</v>
      </c>
      <c r="R72" s="115" t="e">
        <f t="shared" si="60"/>
        <v>#NUM!</v>
      </c>
      <c r="S72" s="119" t="e">
        <f t="shared" si="61"/>
        <v>#NUM!</v>
      </c>
      <c r="T72" s="119" t="e">
        <f t="shared" si="62"/>
        <v>#NUM!</v>
      </c>
      <c r="U72" s="112" t="e">
        <f t="shared" si="63"/>
        <v>#NUM!</v>
      </c>
      <c r="V72" s="127"/>
      <c r="W72" s="128">
        <f t="shared" si="68"/>
        <v>710</v>
      </c>
      <c r="X72" s="128">
        <f t="shared" si="68"/>
        <v>64.5</v>
      </c>
      <c r="Y72" s="129">
        <f t="shared" si="42"/>
        <v>581</v>
      </c>
      <c r="Z72" s="122">
        <f t="shared" si="43"/>
        <v>0.62822330658111636</v>
      </c>
      <c r="AA72" s="128">
        <f t="shared" si="69"/>
        <v>2.7</v>
      </c>
      <c r="AB72" s="128">
        <v>1</v>
      </c>
      <c r="AC72" s="129">
        <f t="shared" si="64"/>
        <v>1.2328767123287672</v>
      </c>
      <c r="AD72" s="130">
        <f t="shared" si="70"/>
        <v>0.3</v>
      </c>
      <c r="AE72" s="131">
        <f t="shared" si="65"/>
        <v>0.13698630136986301</v>
      </c>
      <c r="AF72" s="128">
        <f t="shared" si="71"/>
        <v>8.6999999999999994E-2</v>
      </c>
      <c r="AG72" s="121" t="e">
        <f t="shared" si="44"/>
        <v>#NUM!</v>
      </c>
      <c r="AH72" s="125">
        <f t="shared" si="72"/>
        <v>0.8195508933778024</v>
      </c>
      <c r="AI72" s="125">
        <f t="shared" si="73"/>
        <v>2.1491794319490021</v>
      </c>
      <c r="AJ72" s="122">
        <f t="shared" si="74"/>
        <v>8.5331185730595033E-2</v>
      </c>
      <c r="AK72" s="121">
        <f t="shared" si="45"/>
        <v>0.83732782990464338</v>
      </c>
      <c r="AL72" s="121">
        <f t="shared" si="46"/>
        <v>0.91965394349154128</v>
      </c>
      <c r="AM72" s="121">
        <f t="shared" si="47"/>
        <v>0.86597280641296126</v>
      </c>
      <c r="AN72" s="121">
        <f t="shared" si="66"/>
        <v>1.9804403514963009</v>
      </c>
      <c r="AO72" s="121" t="e">
        <f t="shared" si="75"/>
        <v>#NUM!</v>
      </c>
      <c r="AP72" s="121" t="e">
        <f t="shared" si="76"/>
        <v>#NUM!</v>
      </c>
    </row>
    <row r="73" spans="1:42">
      <c r="A73" s="105" t="e">
        <f t="shared" si="48"/>
        <v>#NUM!</v>
      </c>
      <c r="B73" s="106" t="e">
        <f t="shared" si="49"/>
        <v>#NUM!</v>
      </c>
      <c r="C73" s="107" t="e">
        <f t="shared" si="50"/>
        <v>#NUM!</v>
      </c>
      <c r="D73" s="108">
        <f t="shared" si="67"/>
        <v>6.7000000000000004E-2</v>
      </c>
      <c r="E73" s="108">
        <f t="shared" si="67"/>
        <v>1.0999999999999999E-2</v>
      </c>
      <c r="F73" s="108">
        <f t="shared" si="67"/>
        <v>710</v>
      </c>
      <c r="G73" s="108">
        <f t="shared" si="67"/>
        <v>64.5</v>
      </c>
      <c r="H73" s="108">
        <f t="shared" si="67"/>
        <v>0.58099999999999996</v>
      </c>
      <c r="I73" s="113">
        <f t="shared" si="51"/>
        <v>0.63403330658111645</v>
      </c>
      <c r="J73" s="114">
        <f t="shared" si="52"/>
        <v>1.0912793572824724</v>
      </c>
      <c r="K73" s="115" t="e">
        <f t="shared" si="53"/>
        <v>#NUM!</v>
      </c>
      <c r="L73" s="115" t="e">
        <f t="shared" si="54"/>
        <v>#NUM!</v>
      </c>
      <c r="M73" s="112" t="e">
        <f t="shared" si="55"/>
        <v>#NUM!</v>
      </c>
      <c r="N73" s="116" t="e">
        <f t="shared" si="56"/>
        <v>#NUM!</v>
      </c>
      <c r="O73" s="115" t="e">
        <f t="shared" si="57"/>
        <v>#NUM!</v>
      </c>
      <c r="P73" s="117" t="e">
        <f t="shared" si="58"/>
        <v>#NUM!</v>
      </c>
      <c r="Q73" s="115" t="e">
        <f t="shared" si="59"/>
        <v>#NUM!</v>
      </c>
      <c r="R73" s="115" t="e">
        <f t="shared" si="60"/>
        <v>#NUM!</v>
      </c>
      <c r="S73" s="119" t="e">
        <f t="shared" si="61"/>
        <v>#NUM!</v>
      </c>
      <c r="T73" s="119" t="e">
        <f t="shared" si="62"/>
        <v>#NUM!</v>
      </c>
      <c r="U73" s="112" t="e">
        <f t="shared" si="63"/>
        <v>#NUM!</v>
      </c>
      <c r="V73" s="127"/>
      <c r="W73" s="128">
        <f t="shared" si="68"/>
        <v>710</v>
      </c>
      <c r="X73" s="128">
        <f t="shared" si="68"/>
        <v>64.5</v>
      </c>
      <c r="Y73" s="129">
        <f t="shared" si="42"/>
        <v>581</v>
      </c>
      <c r="Z73" s="122">
        <f t="shared" si="43"/>
        <v>0.63403330658111645</v>
      </c>
      <c r="AA73" s="128">
        <f t="shared" si="69"/>
        <v>2.7</v>
      </c>
      <c r="AB73" s="128">
        <v>1</v>
      </c>
      <c r="AC73" s="129">
        <f t="shared" si="64"/>
        <v>1.2328767123287672</v>
      </c>
      <c r="AD73" s="130">
        <f t="shared" si="70"/>
        <v>0.3</v>
      </c>
      <c r="AE73" s="131">
        <f t="shared" si="65"/>
        <v>0.13698630136986301</v>
      </c>
      <c r="AF73" s="128">
        <f t="shared" si="71"/>
        <v>8.6999999999999994E-2</v>
      </c>
      <c r="AG73" s="121" t="e">
        <f t="shared" si="44"/>
        <v>#NUM!</v>
      </c>
      <c r="AH73" s="125">
        <f t="shared" si="72"/>
        <v>0.8195508933778024</v>
      </c>
      <c r="AI73" s="125">
        <f t="shared" si="73"/>
        <v>2.1491794319490021</v>
      </c>
      <c r="AJ73" s="122">
        <f t="shared" si="74"/>
        <v>8.559343517367729E-2</v>
      </c>
      <c r="AK73" s="121">
        <f t="shared" si="45"/>
        <v>0.83732782990464338</v>
      </c>
      <c r="AL73" s="121">
        <f t="shared" si="46"/>
        <v>0.91965394349154128</v>
      </c>
      <c r="AM73" s="121">
        <f t="shared" si="47"/>
        <v>0.86597280641296126</v>
      </c>
      <c r="AN73" s="121">
        <f t="shared" si="66"/>
        <v>1.9804403514963009</v>
      </c>
      <c r="AO73" s="121" t="e">
        <f t="shared" si="75"/>
        <v>#NUM!</v>
      </c>
      <c r="AP73" s="121" t="e">
        <f t="shared" si="76"/>
        <v>#NUM!</v>
      </c>
    </row>
    <row r="74" spans="1:42">
      <c r="A74" s="105" t="e">
        <f t="shared" si="48"/>
        <v>#NUM!</v>
      </c>
      <c r="B74" s="106" t="e">
        <f t="shared" si="49"/>
        <v>#NUM!</v>
      </c>
      <c r="C74" s="107" t="e">
        <f t="shared" si="50"/>
        <v>#NUM!</v>
      </c>
      <c r="D74" s="108">
        <f t="shared" si="67"/>
        <v>6.7000000000000004E-2</v>
      </c>
      <c r="E74" s="108">
        <f t="shared" si="67"/>
        <v>1.0999999999999999E-2</v>
      </c>
      <c r="F74" s="108">
        <f t="shared" si="67"/>
        <v>710</v>
      </c>
      <c r="G74" s="108">
        <f t="shared" si="67"/>
        <v>64.5</v>
      </c>
      <c r="H74" s="108">
        <f t="shared" si="67"/>
        <v>0.58099999999999996</v>
      </c>
      <c r="I74" s="113">
        <f t="shared" si="51"/>
        <v>0.63984330658111643</v>
      </c>
      <c r="J74" s="114">
        <f t="shared" si="52"/>
        <v>1.1012793572824724</v>
      </c>
      <c r="K74" s="115" t="e">
        <f t="shared" si="53"/>
        <v>#NUM!</v>
      </c>
      <c r="L74" s="115" t="e">
        <f t="shared" si="54"/>
        <v>#NUM!</v>
      </c>
      <c r="M74" s="112" t="e">
        <f t="shared" si="55"/>
        <v>#NUM!</v>
      </c>
      <c r="N74" s="116" t="e">
        <f t="shared" si="56"/>
        <v>#NUM!</v>
      </c>
      <c r="O74" s="115" t="e">
        <f t="shared" si="57"/>
        <v>#NUM!</v>
      </c>
      <c r="P74" s="117" t="e">
        <f t="shared" si="58"/>
        <v>#NUM!</v>
      </c>
      <c r="Q74" s="115" t="e">
        <f t="shared" si="59"/>
        <v>#NUM!</v>
      </c>
      <c r="R74" s="115" t="e">
        <f t="shared" si="60"/>
        <v>#NUM!</v>
      </c>
      <c r="S74" s="119" t="e">
        <f t="shared" si="61"/>
        <v>#NUM!</v>
      </c>
      <c r="T74" s="119" t="e">
        <f t="shared" si="62"/>
        <v>#NUM!</v>
      </c>
      <c r="U74" s="112" t="e">
        <f t="shared" si="63"/>
        <v>#NUM!</v>
      </c>
      <c r="V74" s="127"/>
      <c r="W74" s="128">
        <f t="shared" si="68"/>
        <v>710</v>
      </c>
      <c r="X74" s="128">
        <f t="shared" si="68"/>
        <v>64.5</v>
      </c>
      <c r="Y74" s="129">
        <f t="shared" si="42"/>
        <v>581</v>
      </c>
      <c r="Z74" s="122">
        <f t="shared" si="43"/>
        <v>0.63984330658111643</v>
      </c>
      <c r="AA74" s="128">
        <f t="shared" si="69"/>
        <v>2.7</v>
      </c>
      <c r="AB74" s="128">
        <v>1</v>
      </c>
      <c r="AC74" s="129">
        <f t="shared" si="64"/>
        <v>1.2328767123287672</v>
      </c>
      <c r="AD74" s="130">
        <f t="shared" si="70"/>
        <v>0.3</v>
      </c>
      <c r="AE74" s="131">
        <f t="shared" si="65"/>
        <v>0.13698630136986301</v>
      </c>
      <c r="AF74" s="128">
        <f t="shared" si="71"/>
        <v>8.6999999999999994E-2</v>
      </c>
      <c r="AG74" s="121" t="e">
        <f t="shared" si="44"/>
        <v>#NUM!</v>
      </c>
      <c r="AH74" s="125">
        <f t="shared" si="72"/>
        <v>0.8195508933778024</v>
      </c>
      <c r="AI74" s="125">
        <f t="shared" si="73"/>
        <v>2.1491794319490021</v>
      </c>
      <c r="AJ74" s="122">
        <f t="shared" si="74"/>
        <v>8.585408737899633E-2</v>
      </c>
      <c r="AK74" s="121">
        <f t="shared" si="45"/>
        <v>0.83732782990464338</v>
      </c>
      <c r="AL74" s="121">
        <f t="shared" si="46"/>
        <v>0.91965394349154128</v>
      </c>
      <c r="AM74" s="121">
        <f t="shared" si="47"/>
        <v>0.86597280641296126</v>
      </c>
      <c r="AN74" s="121">
        <f t="shared" si="66"/>
        <v>1.9804403514963009</v>
      </c>
      <c r="AO74" s="121" t="e">
        <f t="shared" si="75"/>
        <v>#NUM!</v>
      </c>
      <c r="AP74" s="121" t="e">
        <f t="shared" si="76"/>
        <v>#NUM!</v>
      </c>
    </row>
    <row r="75" spans="1:42">
      <c r="A75" s="105" t="e">
        <f t="shared" si="48"/>
        <v>#NUM!</v>
      </c>
      <c r="B75" s="106" t="e">
        <f t="shared" si="49"/>
        <v>#NUM!</v>
      </c>
      <c r="C75" s="107" t="e">
        <f t="shared" si="50"/>
        <v>#NUM!</v>
      </c>
      <c r="D75" s="108">
        <f t="shared" si="67"/>
        <v>6.7000000000000004E-2</v>
      </c>
      <c r="E75" s="108">
        <f t="shared" si="67"/>
        <v>1.0999999999999999E-2</v>
      </c>
      <c r="F75" s="108">
        <f t="shared" si="67"/>
        <v>710</v>
      </c>
      <c r="G75" s="108">
        <f t="shared" si="67"/>
        <v>64.5</v>
      </c>
      <c r="H75" s="108">
        <f t="shared" si="67"/>
        <v>0.58099999999999996</v>
      </c>
      <c r="I75" s="113">
        <f t="shared" si="51"/>
        <v>0.64565330658111642</v>
      </c>
      <c r="J75" s="114">
        <f t="shared" si="52"/>
        <v>1.1112793572824724</v>
      </c>
      <c r="K75" s="115" t="e">
        <f t="shared" si="53"/>
        <v>#NUM!</v>
      </c>
      <c r="L75" s="115" t="e">
        <f t="shared" si="54"/>
        <v>#NUM!</v>
      </c>
      <c r="M75" s="112" t="e">
        <f t="shared" si="55"/>
        <v>#NUM!</v>
      </c>
      <c r="N75" s="116" t="e">
        <f t="shared" si="56"/>
        <v>#NUM!</v>
      </c>
      <c r="O75" s="115" t="e">
        <f t="shared" si="57"/>
        <v>#NUM!</v>
      </c>
      <c r="P75" s="117" t="e">
        <f t="shared" si="58"/>
        <v>#NUM!</v>
      </c>
      <c r="Q75" s="115" t="e">
        <f t="shared" si="59"/>
        <v>#NUM!</v>
      </c>
      <c r="R75" s="115" t="e">
        <f t="shared" si="60"/>
        <v>#NUM!</v>
      </c>
      <c r="S75" s="119" t="e">
        <f t="shared" si="61"/>
        <v>#NUM!</v>
      </c>
      <c r="T75" s="119" t="e">
        <f t="shared" si="62"/>
        <v>#NUM!</v>
      </c>
      <c r="U75" s="112" t="e">
        <f t="shared" si="63"/>
        <v>#NUM!</v>
      </c>
      <c r="V75" s="127"/>
      <c r="W75" s="128">
        <f t="shared" si="68"/>
        <v>710</v>
      </c>
      <c r="X75" s="128">
        <f t="shared" si="68"/>
        <v>64.5</v>
      </c>
      <c r="Y75" s="129">
        <f t="shared" si="42"/>
        <v>581</v>
      </c>
      <c r="Z75" s="122">
        <f t="shared" si="43"/>
        <v>0.64565330658111642</v>
      </c>
      <c r="AA75" s="128">
        <f t="shared" si="69"/>
        <v>2.7</v>
      </c>
      <c r="AB75" s="128">
        <v>1</v>
      </c>
      <c r="AC75" s="129">
        <f t="shared" si="64"/>
        <v>1.2328767123287672</v>
      </c>
      <c r="AD75" s="130">
        <f t="shared" si="70"/>
        <v>0.3</v>
      </c>
      <c r="AE75" s="131">
        <f t="shared" si="65"/>
        <v>0.13698630136986301</v>
      </c>
      <c r="AF75" s="128">
        <f t="shared" si="71"/>
        <v>8.6999999999999994E-2</v>
      </c>
      <c r="AG75" s="121" t="e">
        <f t="shared" si="44"/>
        <v>#NUM!</v>
      </c>
      <c r="AH75" s="125">
        <f t="shared" si="72"/>
        <v>0.8195508933778024</v>
      </c>
      <c r="AI75" s="125">
        <f t="shared" si="73"/>
        <v>2.1491794319490021</v>
      </c>
      <c r="AJ75" s="122">
        <f t="shared" si="74"/>
        <v>8.611316644665612E-2</v>
      </c>
      <c r="AK75" s="121">
        <f t="shared" si="45"/>
        <v>0.83732782990464338</v>
      </c>
      <c r="AL75" s="121">
        <f t="shared" si="46"/>
        <v>0.91965394349154128</v>
      </c>
      <c r="AM75" s="121">
        <f t="shared" si="47"/>
        <v>0.86597280641296126</v>
      </c>
      <c r="AN75" s="121">
        <f t="shared" si="66"/>
        <v>1.9804403514963009</v>
      </c>
      <c r="AO75" s="121" t="e">
        <f t="shared" si="75"/>
        <v>#NUM!</v>
      </c>
      <c r="AP75" s="121" t="e">
        <f t="shared" si="76"/>
        <v>#NUM!</v>
      </c>
    </row>
    <row r="76" spans="1:42">
      <c r="A76" s="105" t="e">
        <f t="shared" si="48"/>
        <v>#NUM!</v>
      </c>
      <c r="B76" s="106" t="e">
        <f t="shared" si="49"/>
        <v>#NUM!</v>
      </c>
      <c r="C76" s="107" t="e">
        <f t="shared" si="50"/>
        <v>#NUM!</v>
      </c>
      <c r="D76" s="108">
        <f t="shared" si="67"/>
        <v>6.7000000000000004E-2</v>
      </c>
      <c r="E76" s="108">
        <f t="shared" si="67"/>
        <v>1.0999999999999999E-2</v>
      </c>
      <c r="F76" s="108">
        <f t="shared" si="67"/>
        <v>710</v>
      </c>
      <c r="G76" s="108">
        <f t="shared" si="67"/>
        <v>64.5</v>
      </c>
      <c r="H76" s="108">
        <f t="shared" si="67"/>
        <v>0.58099999999999996</v>
      </c>
      <c r="I76" s="113">
        <f t="shared" si="51"/>
        <v>0.6514633065811164</v>
      </c>
      <c r="J76" s="114">
        <f t="shared" si="52"/>
        <v>1.1212793572824724</v>
      </c>
      <c r="K76" s="115" t="e">
        <f t="shared" si="53"/>
        <v>#NUM!</v>
      </c>
      <c r="L76" s="115" t="e">
        <f t="shared" si="54"/>
        <v>#NUM!</v>
      </c>
      <c r="M76" s="112" t="e">
        <f t="shared" si="55"/>
        <v>#NUM!</v>
      </c>
      <c r="N76" s="116" t="e">
        <f t="shared" si="56"/>
        <v>#NUM!</v>
      </c>
      <c r="O76" s="115" t="e">
        <f t="shared" si="57"/>
        <v>#NUM!</v>
      </c>
      <c r="P76" s="117" t="e">
        <f t="shared" si="58"/>
        <v>#NUM!</v>
      </c>
      <c r="Q76" s="115" t="e">
        <f t="shared" si="59"/>
        <v>#NUM!</v>
      </c>
      <c r="R76" s="115" t="e">
        <f t="shared" si="60"/>
        <v>#NUM!</v>
      </c>
      <c r="S76" s="119" t="e">
        <f t="shared" si="61"/>
        <v>#NUM!</v>
      </c>
      <c r="T76" s="119" t="e">
        <f t="shared" si="62"/>
        <v>#NUM!</v>
      </c>
      <c r="U76" s="112" t="e">
        <f t="shared" si="63"/>
        <v>#NUM!</v>
      </c>
      <c r="V76" s="127"/>
      <c r="W76" s="128">
        <f t="shared" si="68"/>
        <v>710</v>
      </c>
      <c r="X76" s="128">
        <f t="shared" si="68"/>
        <v>64.5</v>
      </c>
      <c r="Y76" s="129">
        <f t="shared" si="42"/>
        <v>581</v>
      </c>
      <c r="Z76" s="122">
        <f t="shared" si="43"/>
        <v>0.6514633065811164</v>
      </c>
      <c r="AA76" s="128">
        <f t="shared" si="69"/>
        <v>2.7</v>
      </c>
      <c r="AB76" s="128">
        <v>1</v>
      </c>
      <c r="AC76" s="129">
        <f t="shared" si="64"/>
        <v>1.2328767123287672</v>
      </c>
      <c r="AD76" s="130">
        <f t="shared" si="70"/>
        <v>0.3</v>
      </c>
      <c r="AE76" s="131">
        <f t="shared" si="65"/>
        <v>0.13698630136986301</v>
      </c>
      <c r="AF76" s="128">
        <f t="shared" si="71"/>
        <v>8.6999999999999994E-2</v>
      </c>
      <c r="AG76" s="121" t="e">
        <f t="shared" si="44"/>
        <v>#NUM!</v>
      </c>
      <c r="AH76" s="125">
        <f t="shared" si="72"/>
        <v>0.8195508933778024</v>
      </c>
      <c r="AI76" s="125">
        <f t="shared" si="73"/>
        <v>2.1491794319490021</v>
      </c>
      <c r="AJ76" s="122">
        <f t="shared" si="74"/>
        <v>8.6370695900156211E-2</v>
      </c>
      <c r="AK76" s="121">
        <f t="shared" si="45"/>
        <v>0.83732782990464338</v>
      </c>
      <c r="AL76" s="121">
        <f t="shared" si="46"/>
        <v>0.91965394349154128</v>
      </c>
      <c r="AM76" s="121">
        <f t="shared" si="47"/>
        <v>0.86597280641296126</v>
      </c>
      <c r="AN76" s="121">
        <f t="shared" si="66"/>
        <v>1.9804403514963009</v>
      </c>
      <c r="AO76" s="121" t="e">
        <f t="shared" si="75"/>
        <v>#NUM!</v>
      </c>
      <c r="AP76" s="121" t="e">
        <f t="shared" si="76"/>
        <v>#NUM!</v>
      </c>
    </row>
    <row r="77" spans="1:42">
      <c r="A77" s="105" t="e">
        <f t="shared" si="48"/>
        <v>#NUM!</v>
      </c>
      <c r="B77" s="106" t="e">
        <f t="shared" si="49"/>
        <v>#NUM!</v>
      </c>
      <c r="C77" s="107" t="e">
        <f t="shared" si="50"/>
        <v>#NUM!</v>
      </c>
      <c r="D77" s="108">
        <f t="shared" si="67"/>
        <v>6.7000000000000004E-2</v>
      </c>
      <c r="E77" s="108">
        <f t="shared" si="67"/>
        <v>1.0999999999999999E-2</v>
      </c>
      <c r="F77" s="108">
        <f t="shared" si="67"/>
        <v>710</v>
      </c>
      <c r="G77" s="108">
        <f t="shared" si="67"/>
        <v>64.5</v>
      </c>
      <c r="H77" s="108">
        <f t="shared" si="67"/>
        <v>0.58099999999999996</v>
      </c>
      <c r="I77" s="113">
        <f t="shared" si="51"/>
        <v>0.65727330658111638</v>
      </c>
      <c r="J77" s="114">
        <f t="shared" si="52"/>
        <v>1.1312793572824724</v>
      </c>
      <c r="K77" s="115" t="e">
        <f t="shared" si="53"/>
        <v>#NUM!</v>
      </c>
      <c r="L77" s="115" t="e">
        <f t="shared" si="54"/>
        <v>#NUM!</v>
      </c>
      <c r="M77" s="112" t="e">
        <f t="shared" si="55"/>
        <v>#NUM!</v>
      </c>
      <c r="N77" s="116" t="e">
        <f t="shared" si="56"/>
        <v>#NUM!</v>
      </c>
      <c r="O77" s="115" t="e">
        <f t="shared" si="57"/>
        <v>#NUM!</v>
      </c>
      <c r="P77" s="117" t="e">
        <f t="shared" si="58"/>
        <v>#NUM!</v>
      </c>
      <c r="Q77" s="115" t="e">
        <f t="shared" si="59"/>
        <v>#NUM!</v>
      </c>
      <c r="R77" s="115" t="e">
        <f t="shared" si="60"/>
        <v>#NUM!</v>
      </c>
      <c r="S77" s="119" t="e">
        <f t="shared" si="61"/>
        <v>#NUM!</v>
      </c>
      <c r="T77" s="119" t="e">
        <f t="shared" si="62"/>
        <v>#NUM!</v>
      </c>
      <c r="U77" s="112" t="e">
        <f t="shared" si="63"/>
        <v>#NUM!</v>
      </c>
      <c r="V77" s="127"/>
      <c r="W77" s="128">
        <f t="shared" si="68"/>
        <v>710</v>
      </c>
      <c r="X77" s="128">
        <f t="shared" si="68"/>
        <v>64.5</v>
      </c>
      <c r="Y77" s="129">
        <f t="shared" si="42"/>
        <v>581</v>
      </c>
      <c r="Z77" s="122">
        <f t="shared" si="43"/>
        <v>0.65727330658111638</v>
      </c>
      <c r="AA77" s="128">
        <f t="shared" si="69"/>
        <v>2.7</v>
      </c>
      <c r="AB77" s="128">
        <v>1</v>
      </c>
      <c r="AC77" s="129">
        <f t="shared" si="64"/>
        <v>1.2328767123287672</v>
      </c>
      <c r="AD77" s="130">
        <f t="shared" si="70"/>
        <v>0.3</v>
      </c>
      <c r="AE77" s="131">
        <f t="shared" si="65"/>
        <v>0.13698630136986301</v>
      </c>
      <c r="AF77" s="128">
        <f t="shared" si="71"/>
        <v>8.6999999999999994E-2</v>
      </c>
      <c r="AG77" s="121" t="e">
        <f t="shared" si="44"/>
        <v>#NUM!</v>
      </c>
      <c r="AH77" s="125">
        <f t="shared" si="72"/>
        <v>0.8195508933778024</v>
      </c>
      <c r="AI77" s="125">
        <f t="shared" si="73"/>
        <v>2.1491794319490021</v>
      </c>
      <c r="AJ77" s="122">
        <f t="shared" si="74"/>
        <v>8.6626698705191782E-2</v>
      </c>
      <c r="AK77" s="121">
        <f t="shared" si="45"/>
        <v>0.83732782990464338</v>
      </c>
      <c r="AL77" s="121">
        <f t="shared" si="46"/>
        <v>0.91965394349154128</v>
      </c>
      <c r="AM77" s="121">
        <f t="shared" si="47"/>
        <v>0.86597280641296126</v>
      </c>
      <c r="AN77" s="121">
        <f t="shared" si="66"/>
        <v>1.9804403514963009</v>
      </c>
      <c r="AO77" s="121" t="e">
        <f t="shared" si="75"/>
        <v>#NUM!</v>
      </c>
      <c r="AP77" s="121" t="e">
        <f t="shared" si="76"/>
        <v>#NUM!</v>
      </c>
    </row>
    <row r="78" spans="1:42">
      <c r="A78" s="105" t="e">
        <f t="shared" si="48"/>
        <v>#NUM!</v>
      </c>
      <c r="B78" s="106" t="e">
        <f t="shared" si="49"/>
        <v>#NUM!</v>
      </c>
      <c r="C78" s="107" t="e">
        <f t="shared" si="50"/>
        <v>#NUM!</v>
      </c>
      <c r="D78" s="108">
        <f t="shared" si="67"/>
        <v>6.7000000000000004E-2</v>
      </c>
      <c r="E78" s="108">
        <f t="shared" si="67"/>
        <v>1.0999999999999999E-2</v>
      </c>
      <c r="F78" s="108">
        <f t="shared" si="67"/>
        <v>710</v>
      </c>
      <c r="G78" s="108">
        <f t="shared" si="67"/>
        <v>64.5</v>
      </c>
      <c r="H78" s="108">
        <f t="shared" si="67"/>
        <v>0.58099999999999996</v>
      </c>
      <c r="I78" s="113">
        <f t="shared" si="51"/>
        <v>0.66308330658111647</v>
      </c>
      <c r="J78" s="114">
        <f t="shared" si="52"/>
        <v>1.1412793572824724</v>
      </c>
      <c r="K78" s="115" t="e">
        <f t="shared" si="53"/>
        <v>#NUM!</v>
      </c>
      <c r="L78" s="115" t="e">
        <f t="shared" si="54"/>
        <v>#NUM!</v>
      </c>
      <c r="M78" s="112" t="e">
        <f t="shared" si="55"/>
        <v>#NUM!</v>
      </c>
      <c r="N78" s="116" t="e">
        <f t="shared" si="56"/>
        <v>#NUM!</v>
      </c>
      <c r="O78" s="115" t="e">
        <f t="shared" si="57"/>
        <v>#NUM!</v>
      </c>
      <c r="P78" s="117" t="e">
        <f t="shared" si="58"/>
        <v>#NUM!</v>
      </c>
      <c r="Q78" s="115" t="e">
        <f t="shared" si="59"/>
        <v>#NUM!</v>
      </c>
      <c r="R78" s="115" t="e">
        <f t="shared" si="60"/>
        <v>#NUM!</v>
      </c>
      <c r="S78" s="119" t="e">
        <f t="shared" si="61"/>
        <v>#NUM!</v>
      </c>
      <c r="T78" s="119" t="e">
        <f t="shared" si="62"/>
        <v>#NUM!</v>
      </c>
      <c r="U78" s="112" t="e">
        <f t="shared" si="63"/>
        <v>#NUM!</v>
      </c>
      <c r="V78" s="127"/>
      <c r="W78" s="128">
        <f t="shared" si="68"/>
        <v>710</v>
      </c>
      <c r="X78" s="128">
        <f t="shared" si="68"/>
        <v>64.5</v>
      </c>
      <c r="Y78" s="129">
        <f t="shared" si="42"/>
        <v>581</v>
      </c>
      <c r="Z78" s="122">
        <f t="shared" si="43"/>
        <v>0.66308330658111647</v>
      </c>
      <c r="AA78" s="128">
        <f t="shared" si="69"/>
        <v>2.7</v>
      </c>
      <c r="AB78" s="128">
        <v>1</v>
      </c>
      <c r="AC78" s="129">
        <f t="shared" si="64"/>
        <v>1.2328767123287672</v>
      </c>
      <c r="AD78" s="130">
        <f t="shared" si="70"/>
        <v>0.3</v>
      </c>
      <c r="AE78" s="131">
        <f t="shared" si="65"/>
        <v>0.13698630136986301</v>
      </c>
      <c r="AF78" s="128">
        <f t="shared" si="71"/>
        <v>8.6999999999999994E-2</v>
      </c>
      <c r="AG78" s="121" t="e">
        <f t="shared" si="44"/>
        <v>#NUM!</v>
      </c>
      <c r="AH78" s="125">
        <f t="shared" si="72"/>
        <v>0.8195508933778024</v>
      </c>
      <c r="AI78" s="125">
        <f t="shared" si="73"/>
        <v>2.1491794319490021</v>
      </c>
      <c r="AJ78" s="122">
        <f t="shared" si="74"/>
        <v>8.6881197287680789E-2</v>
      </c>
      <c r="AK78" s="121">
        <f t="shared" si="45"/>
        <v>0.83732782990464338</v>
      </c>
      <c r="AL78" s="121">
        <f t="shared" si="46"/>
        <v>0.91965394349154128</v>
      </c>
      <c r="AM78" s="121">
        <f t="shared" si="47"/>
        <v>0.86597280641296126</v>
      </c>
      <c r="AN78" s="121">
        <f t="shared" si="66"/>
        <v>1.9804403514963009</v>
      </c>
      <c r="AO78" s="121" t="e">
        <f t="shared" si="75"/>
        <v>#NUM!</v>
      </c>
      <c r="AP78" s="121" t="e">
        <f t="shared" si="76"/>
        <v>#NUM!</v>
      </c>
    </row>
    <row r="79" spans="1:42">
      <c r="A79" s="105" t="e">
        <f t="shared" si="48"/>
        <v>#NUM!</v>
      </c>
      <c r="B79" s="106" t="e">
        <f t="shared" si="49"/>
        <v>#NUM!</v>
      </c>
      <c r="C79" s="107" t="e">
        <f t="shared" si="50"/>
        <v>#NUM!</v>
      </c>
      <c r="D79" s="108">
        <f t="shared" si="67"/>
        <v>6.7000000000000004E-2</v>
      </c>
      <c r="E79" s="108">
        <f t="shared" si="67"/>
        <v>1.0999999999999999E-2</v>
      </c>
      <c r="F79" s="108">
        <f t="shared" si="67"/>
        <v>710</v>
      </c>
      <c r="G79" s="108">
        <f t="shared" si="67"/>
        <v>64.5</v>
      </c>
      <c r="H79" s="108">
        <f t="shared" si="67"/>
        <v>0.58099999999999996</v>
      </c>
      <c r="I79" s="113">
        <f t="shared" si="51"/>
        <v>0.66889330658111645</v>
      </c>
      <c r="J79" s="114">
        <f t="shared" si="52"/>
        <v>1.1512793572824724</v>
      </c>
      <c r="K79" s="115" t="e">
        <f t="shared" si="53"/>
        <v>#NUM!</v>
      </c>
      <c r="L79" s="115" t="e">
        <f t="shared" si="54"/>
        <v>#NUM!</v>
      </c>
      <c r="M79" s="112" t="e">
        <f t="shared" si="55"/>
        <v>#NUM!</v>
      </c>
      <c r="N79" s="116" t="e">
        <f t="shared" si="56"/>
        <v>#NUM!</v>
      </c>
      <c r="O79" s="115" t="e">
        <f t="shared" si="57"/>
        <v>#NUM!</v>
      </c>
      <c r="P79" s="117" t="e">
        <f t="shared" si="58"/>
        <v>#NUM!</v>
      </c>
      <c r="Q79" s="115" t="e">
        <f t="shared" si="59"/>
        <v>#NUM!</v>
      </c>
      <c r="R79" s="115" t="e">
        <f t="shared" si="60"/>
        <v>#NUM!</v>
      </c>
      <c r="S79" s="119" t="e">
        <f t="shared" si="61"/>
        <v>#NUM!</v>
      </c>
      <c r="T79" s="119" t="e">
        <f t="shared" si="62"/>
        <v>#NUM!</v>
      </c>
      <c r="U79" s="112" t="e">
        <f t="shared" si="63"/>
        <v>#NUM!</v>
      </c>
      <c r="V79" s="127"/>
      <c r="W79" s="128">
        <f t="shared" si="68"/>
        <v>710</v>
      </c>
      <c r="X79" s="128">
        <f t="shared" si="68"/>
        <v>64.5</v>
      </c>
      <c r="Y79" s="129">
        <f t="shared" si="42"/>
        <v>581</v>
      </c>
      <c r="Z79" s="122">
        <f t="shared" si="43"/>
        <v>0.66889330658111645</v>
      </c>
      <c r="AA79" s="128">
        <f t="shared" si="69"/>
        <v>2.7</v>
      </c>
      <c r="AB79" s="128">
        <v>1</v>
      </c>
      <c r="AC79" s="129">
        <f t="shared" si="64"/>
        <v>1.2328767123287672</v>
      </c>
      <c r="AD79" s="130">
        <f t="shared" si="70"/>
        <v>0.3</v>
      </c>
      <c r="AE79" s="131">
        <f t="shared" si="65"/>
        <v>0.13698630136986301</v>
      </c>
      <c r="AF79" s="128">
        <f t="shared" si="71"/>
        <v>8.6999999999999994E-2</v>
      </c>
      <c r="AG79" s="121" t="e">
        <f t="shared" si="44"/>
        <v>#NUM!</v>
      </c>
      <c r="AH79" s="125">
        <f t="shared" si="72"/>
        <v>0.8195508933778024</v>
      </c>
      <c r="AI79" s="125">
        <f t="shared" si="73"/>
        <v>2.1491794319490021</v>
      </c>
      <c r="AJ79" s="122">
        <f t="shared" si="74"/>
        <v>8.7134213551055814E-2</v>
      </c>
      <c r="AK79" s="121">
        <f t="shared" si="45"/>
        <v>0.83732782990464338</v>
      </c>
      <c r="AL79" s="121">
        <f t="shared" si="46"/>
        <v>0.91965394349154128</v>
      </c>
      <c r="AM79" s="121">
        <f t="shared" si="47"/>
        <v>0.86597280641296126</v>
      </c>
      <c r="AN79" s="121">
        <f t="shared" si="66"/>
        <v>1.9804403514963009</v>
      </c>
      <c r="AO79" s="121" t="e">
        <f t="shared" si="75"/>
        <v>#NUM!</v>
      </c>
      <c r="AP79" s="121" t="e">
        <f t="shared" si="76"/>
        <v>#NUM!</v>
      </c>
    </row>
    <row r="80" spans="1:42">
      <c r="A80" s="105" t="e">
        <f t="shared" si="48"/>
        <v>#NUM!</v>
      </c>
      <c r="B80" s="106" t="e">
        <f t="shared" si="49"/>
        <v>#NUM!</v>
      </c>
      <c r="C80" s="107" t="e">
        <f t="shared" si="50"/>
        <v>#NUM!</v>
      </c>
      <c r="D80" s="108">
        <f t="shared" si="67"/>
        <v>6.7000000000000004E-2</v>
      </c>
      <c r="E80" s="108">
        <f t="shared" si="67"/>
        <v>1.0999999999999999E-2</v>
      </c>
      <c r="F80" s="108">
        <f t="shared" si="67"/>
        <v>710</v>
      </c>
      <c r="G80" s="108">
        <f t="shared" si="67"/>
        <v>64.5</v>
      </c>
      <c r="H80" s="108">
        <f t="shared" si="67"/>
        <v>0.58099999999999996</v>
      </c>
      <c r="I80" s="113">
        <f t="shared" si="51"/>
        <v>0.67470330658111644</v>
      </c>
      <c r="J80" s="114">
        <f t="shared" si="52"/>
        <v>1.1612793572824724</v>
      </c>
      <c r="K80" s="115" t="e">
        <f t="shared" si="53"/>
        <v>#NUM!</v>
      </c>
      <c r="L80" s="115" t="e">
        <f t="shared" si="54"/>
        <v>#NUM!</v>
      </c>
      <c r="M80" s="112" t="e">
        <f t="shared" si="55"/>
        <v>#NUM!</v>
      </c>
      <c r="N80" s="116" t="e">
        <f t="shared" si="56"/>
        <v>#NUM!</v>
      </c>
      <c r="O80" s="115" t="e">
        <f t="shared" si="57"/>
        <v>#NUM!</v>
      </c>
      <c r="P80" s="117" t="e">
        <f t="shared" si="58"/>
        <v>#NUM!</v>
      </c>
      <c r="Q80" s="115" t="e">
        <f t="shared" si="59"/>
        <v>#NUM!</v>
      </c>
      <c r="R80" s="115" t="e">
        <f t="shared" si="60"/>
        <v>#NUM!</v>
      </c>
      <c r="S80" s="119" t="e">
        <f t="shared" si="61"/>
        <v>#NUM!</v>
      </c>
      <c r="T80" s="119" t="e">
        <f t="shared" si="62"/>
        <v>#NUM!</v>
      </c>
      <c r="U80" s="112" t="e">
        <f t="shared" si="63"/>
        <v>#NUM!</v>
      </c>
      <c r="V80" s="127"/>
      <c r="W80" s="128">
        <f t="shared" si="68"/>
        <v>710</v>
      </c>
      <c r="X80" s="128">
        <f t="shared" si="68"/>
        <v>64.5</v>
      </c>
      <c r="Y80" s="129">
        <f t="shared" si="42"/>
        <v>581</v>
      </c>
      <c r="Z80" s="122">
        <f t="shared" si="43"/>
        <v>0.67470330658111644</v>
      </c>
      <c r="AA80" s="128">
        <f t="shared" si="69"/>
        <v>2.7</v>
      </c>
      <c r="AB80" s="128">
        <v>1</v>
      </c>
      <c r="AC80" s="129">
        <f t="shared" si="64"/>
        <v>1.2328767123287672</v>
      </c>
      <c r="AD80" s="130">
        <f t="shared" si="70"/>
        <v>0.3</v>
      </c>
      <c r="AE80" s="131">
        <f t="shared" si="65"/>
        <v>0.13698630136986301</v>
      </c>
      <c r="AF80" s="128">
        <f t="shared" si="71"/>
        <v>8.6999999999999994E-2</v>
      </c>
      <c r="AG80" s="121" t="e">
        <f t="shared" si="44"/>
        <v>#NUM!</v>
      </c>
      <c r="AH80" s="125">
        <f t="shared" si="72"/>
        <v>0.8195508933778024</v>
      </c>
      <c r="AI80" s="125">
        <f t="shared" si="73"/>
        <v>2.1491794319490021</v>
      </c>
      <c r="AJ80" s="122">
        <f t="shared" si="74"/>
        <v>8.7385768892857263E-2</v>
      </c>
      <c r="AK80" s="121">
        <f t="shared" si="45"/>
        <v>0.83732782990464338</v>
      </c>
      <c r="AL80" s="121">
        <f t="shared" si="46"/>
        <v>0.91965394349154128</v>
      </c>
      <c r="AM80" s="121">
        <f t="shared" si="47"/>
        <v>0.86597280641296126</v>
      </c>
      <c r="AN80" s="121">
        <f t="shared" si="66"/>
        <v>1.9804403514963009</v>
      </c>
      <c r="AO80" s="121" t="e">
        <f t="shared" si="75"/>
        <v>#NUM!</v>
      </c>
      <c r="AP80" s="121" t="e">
        <f t="shared" si="76"/>
        <v>#NUM!</v>
      </c>
    </row>
    <row r="81" spans="1:42">
      <c r="A81" s="105" t="e">
        <f t="shared" si="48"/>
        <v>#NUM!</v>
      </c>
      <c r="B81" s="106" t="e">
        <f t="shared" si="49"/>
        <v>#NUM!</v>
      </c>
      <c r="C81" s="107" t="e">
        <f t="shared" si="50"/>
        <v>#NUM!</v>
      </c>
      <c r="D81" s="108">
        <f t="shared" si="67"/>
        <v>6.7000000000000004E-2</v>
      </c>
      <c r="E81" s="108">
        <f t="shared" si="67"/>
        <v>1.0999999999999999E-2</v>
      </c>
      <c r="F81" s="108">
        <f t="shared" si="67"/>
        <v>710</v>
      </c>
      <c r="G81" s="108">
        <f t="shared" si="67"/>
        <v>64.5</v>
      </c>
      <c r="H81" s="108">
        <f t="shared" si="67"/>
        <v>0.58099999999999996</v>
      </c>
      <c r="I81" s="113">
        <f t="shared" si="51"/>
        <v>0.68051330658111642</v>
      </c>
      <c r="J81" s="114">
        <f t="shared" si="52"/>
        <v>1.1712793572824725</v>
      </c>
      <c r="K81" s="115" t="e">
        <f t="shared" si="53"/>
        <v>#NUM!</v>
      </c>
      <c r="L81" s="115" t="e">
        <f t="shared" si="54"/>
        <v>#NUM!</v>
      </c>
      <c r="M81" s="112" t="e">
        <f t="shared" si="55"/>
        <v>#NUM!</v>
      </c>
      <c r="N81" s="116" t="e">
        <f t="shared" si="56"/>
        <v>#NUM!</v>
      </c>
      <c r="O81" s="115" t="e">
        <f t="shared" si="57"/>
        <v>#NUM!</v>
      </c>
      <c r="P81" s="117" t="e">
        <f t="shared" si="58"/>
        <v>#NUM!</v>
      </c>
      <c r="Q81" s="115" t="e">
        <f t="shared" si="59"/>
        <v>#NUM!</v>
      </c>
      <c r="R81" s="115" t="e">
        <f t="shared" si="60"/>
        <v>#NUM!</v>
      </c>
      <c r="S81" s="119" t="e">
        <f t="shared" si="61"/>
        <v>#NUM!</v>
      </c>
      <c r="T81" s="119" t="e">
        <f t="shared" si="62"/>
        <v>#NUM!</v>
      </c>
      <c r="U81" s="112" t="e">
        <f t="shared" si="63"/>
        <v>#NUM!</v>
      </c>
      <c r="V81" s="127"/>
      <c r="W81" s="128">
        <f t="shared" si="68"/>
        <v>710</v>
      </c>
      <c r="X81" s="128">
        <f t="shared" si="68"/>
        <v>64.5</v>
      </c>
      <c r="Y81" s="129">
        <f t="shared" si="42"/>
        <v>581</v>
      </c>
      <c r="Z81" s="122">
        <f t="shared" si="43"/>
        <v>0.68051330658111642</v>
      </c>
      <c r="AA81" s="128">
        <f t="shared" si="69"/>
        <v>2.7</v>
      </c>
      <c r="AB81" s="128">
        <v>1</v>
      </c>
      <c r="AC81" s="129">
        <f t="shared" si="64"/>
        <v>1.2328767123287672</v>
      </c>
      <c r="AD81" s="130">
        <f t="shared" si="70"/>
        <v>0.3</v>
      </c>
      <c r="AE81" s="131">
        <f t="shared" si="65"/>
        <v>0.13698630136986301</v>
      </c>
      <c r="AF81" s="128">
        <f t="shared" si="71"/>
        <v>8.6999999999999994E-2</v>
      </c>
      <c r="AG81" s="121" t="e">
        <f t="shared" si="44"/>
        <v>#NUM!</v>
      </c>
      <c r="AH81" s="125">
        <f t="shared" si="72"/>
        <v>0.8195508933778024</v>
      </c>
      <c r="AI81" s="125">
        <f t="shared" si="73"/>
        <v>2.1491794319490021</v>
      </c>
      <c r="AJ81" s="122">
        <f t="shared" si="74"/>
        <v>8.7635884220661459E-2</v>
      </c>
      <c r="AK81" s="121">
        <f t="shared" si="45"/>
        <v>0.83732782990464338</v>
      </c>
      <c r="AL81" s="121">
        <f t="shared" si="46"/>
        <v>0.91965394349154128</v>
      </c>
      <c r="AM81" s="121">
        <f t="shared" si="47"/>
        <v>0.86597280641296126</v>
      </c>
      <c r="AN81" s="121">
        <f t="shared" si="66"/>
        <v>1.9804403514963009</v>
      </c>
      <c r="AO81" s="121" t="e">
        <f t="shared" si="75"/>
        <v>#NUM!</v>
      </c>
      <c r="AP81" s="121" t="e">
        <f t="shared" si="76"/>
        <v>#NUM!</v>
      </c>
    </row>
    <row r="82" spans="1:42">
      <c r="A82" s="105" t="e">
        <f t="shared" si="48"/>
        <v>#NUM!</v>
      </c>
      <c r="B82" s="106" t="e">
        <f t="shared" si="49"/>
        <v>#NUM!</v>
      </c>
      <c r="C82" s="107" t="e">
        <f t="shared" si="50"/>
        <v>#NUM!</v>
      </c>
      <c r="D82" s="108">
        <f t="shared" si="67"/>
        <v>6.7000000000000004E-2</v>
      </c>
      <c r="E82" s="108">
        <f t="shared" si="67"/>
        <v>1.0999999999999999E-2</v>
      </c>
      <c r="F82" s="108">
        <f t="shared" si="67"/>
        <v>710</v>
      </c>
      <c r="G82" s="108">
        <f t="shared" si="67"/>
        <v>64.5</v>
      </c>
      <c r="H82" s="108">
        <f t="shared" si="67"/>
        <v>0.58099999999999996</v>
      </c>
      <c r="I82" s="113">
        <f t="shared" si="51"/>
        <v>0.68632330658111651</v>
      </c>
      <c r="J82" s="114">
        <f t="shared" si="52"/>
        <v>1.1812793572824725</v>
      </c>
      <c r="K82" s="115" t="e">
        <f t="shared" si="53"/>
        <v>#NUM!</v>
      </c>
      <c r="L82" s="115" t="e">
        <f t="shared" si="54"/>
        <v>#NUM!</v>
      </c>
      <c r="M82" s="112" t="e">
        <f t="shared" si="55"/>
        <v>#NUM!</v>
      </c>
      <c r="N82" s="116" t="e">
        <f t="shared" si="56"/>
        <v>#NUM!</v>
      </c>
      <c r="O82" s="115" t="e">
        <f t="shared" si="57"/>
        <v>#NUM!</v>
      </c>
      <c r="P82" s="117" t="e">
        <f t="shared" si="58"/>
        <v>#NUM!</v>
      </c>
      <c r="Q82" s="115" t="e">
        <f t="shared" si="59"/>
        <v>#NUM!</v>
      </c>
      <c r="R82" s="115" t="e">
        <f t="shared" si="60"/>
        <v>#NUM!</v>
      </c>
      <c r="S82" s="119" t="e">
        <f t="shared" si="61"/>
        <v>#NUM!</v>
      </c>
      <c r="T82" s="119" t="e">
        <f t="shared" si="62"/>
        <v>#NUM!</v>
      </c>
      <c r="U82" s="112" t="e">
        <f t="shared" si="63"/>
        <v>#NUM!</v>
      </c>
      <c r="V82" s="127"/>
      <c r="W82" s="128">
        <f t="shared" si="68"/>
        <v>710</v>
      </c>
      <c r="X82" s="128">
        <f t="shared" si="68"/>
        <v>64.5</v>
      </c>
      <c r="Y82" s="129">
        <f t="shared" si="42"/>
        <v>581</v>
      </c>
      <c r="Z82" s="122">
        <f t="shared" si="43"/>
        <v>0.68632330658111651</v>
      </c>
      <c r="AA82" s="128">
        <f t="shared" si="69"/>
        <v>2.7</v>
      </c>
      <c r="AB82" s="128">
        <v>1</v>
      </c>
      <c r="AC82" s="129">
        <f t="shared" si="64"/>
        <v>1.2328767123287672</v>
      </c>
      <c r="AD82" s="130">
        <f t="shared" si="70"/>
        <v>0.3</v>
      </c>
      <c r="AE82" s="131">
        <f t="shared" si="65"/>
        <v>0.13698630136986301</v>
      </c>
      <c r="AF82" s="128">
        <f t="shared" si="71"/>
        <v>8.6999999999999994E-2</v>
      </c>
      <c r="AG82" s="121" t="e">
        <f t="shared" si="44"/>
        <v>#NUM!</v>
      </c>
      <c r="AH82" s="125">
        <f t="shared" si="72"/>
        <v>0.8195508933778024</v>
      </c>
      <c r="AI82" s="125">
        <f t="shared" si="73"/>
        <v>2.1491794319490021</v>
      </c>
      <c r="AJ82" s="122">
        <f t="shared" si="74"/>
        <v>8.788457996737585E-2</v>
      </c>
      <c r="AK82" s="121">
        <f t="shared" si="45"/>
        <v>0.83732782990464338</v>
      </c>
      <c r="AL82" s="121">
        <f t="shared" si="46"/>
        <v>0.91965394349154128</v>
      </c>
      <c r="AM82" s="121">
        <f t="shared" si="47"/>
        <v>0.86597280641296126</v>
      </c>
      <c r="AN82" s="121">
        <f t="shared" si="66"/>
        <v>1.9804403514963009</v>
      </c>
      <c r="AO82" s="121" t="e">
        <f t="shared" si="75"/>
        <v>#NUM!</v>
      </c>
      <c r="AP82" s="121" t="e">
        <f t="shared" si="76"/>
        <v>#NUM!</v>
      </c>
    </row>
    <row r="83" spans="1:42">
      <c r="A83" s="105" t="e">
        <f t="shared" si="48"/>
        <v>#NUM!</v>
      </c>
      <c r="B83" s="106" t="e">
        <f t="shared" si="49"/>
        <v>#NUM!</v>
      </c>
      <c r="C83" s="107" t="e">
        <f t="shared" si="50"/>
        <v>#NUM!</v>
      </c>
      <c r="D83" s="108">
        <f t="shared" si="67"/>
        <v>6.7000000000000004E-2</v>
      </c>
      <c r="E83" s="108">
        <f t="shared" si="67"/>
        <v>1.0999999999999999E-2</v>
      </c>
      <c r="F83" s="108">
        <f t="shared" si="67"/>
        <v>710</v>
      </c>
      <c r="G83" s="108">
        <f t="shared" si="67"/>
        <v>64.5</v>
      </c>
      <c r="H83" s="108">
        <f t="shared" si="67"/>
        <v>0.58099999999999996</v>
      </c>
      <c r="I83" s="113">
        <f t="shared" si="51"/>
        <v>0.69213330658111649</v>
      </c>
      <c r="J83" s="114">
        <f t="shared" si="52"/>
        <v>1.1912793572824725</v>
      </c>
      <c r="K83" s="115" t="e">
        <f t="shared" si="53"/>
        <v>#NUM!</v>
      </c>
      <c r="L83" s="115" t="e">
        <f t="shared" si="54"/>
        <v>#NUM!</v>
      </c>
      <c r="M83" s="112" t="e">
        <f t="shared" si="55"/>
        <v>#NUM!</v>
      </c>
      <c r="N83" s="116" t="e">
        <f t="shared" si="56"/>
        <v>#NUM!</v>
      </c>
      <c r="O83" s="115" t="e">
        <f t="shared" si="57"/>
        <v>#NUM!</v>
      </c>
      <c r="P83" s="117" t="e">
        <f t="shared" si="58"/>
        <v>#NUM!</v>
      </c>
      <c r="Q83" s="115" t="e">
        <f t="shared" si="59"/>
        <v>#NUM!</v>
      </c>
      <c r="R83" s="115" t="e">
        <f t="shared" si="60"/>
        <v>#NUM!</v>
      </c>
      <c r="S83" s="119" t="e">
        <f t="shared" si="61"/>
        <v>#NUM!</v>
      </c>
      <c r="T83" s="119" t="e">
        <f t="shared" si="62"/>
        <v>#NUM!</v>
      </c>
      <c r="U83" s="112" t="e">
        <f t="shared" si="63"/>
        <v>#NUM!</v>
      </c>
      <c r="V83" s="127"/>
      <c r="W83" s="128">
        <f t="shared" si="68"/>
        <v>710</v>
      </c>
      <c r="X83" s="128">
        <f t="shared" si="68"/>
        <v>64.5</v>
      </c>
      <c r="Y83" s="129">
        <f t="shared" si="42"/>
        <v>581</v>
      </c>
      <c r="Z83" s="122">
        <f t="shared" si="43"/>
        <v>0.69213330658111649</v>
      </c>
      <c r="AA83" s="128">
        <f t="shared" si="69"/>
        <v>2.7</v>
      </c>
      <c r="AB83" s="128">
        <v>1</v>
      </c>
      <c r="AC83" s="129">
        <f t="shared" si="64"/>
        <v>1.2328767123287672</v>
      </c>
      <c r="AD83" s="130">
        <f t="shared" si="70"/>
        <v>0.3</v>
      </c>
      <c r="AE83" s="131">
        <f t="shared" si="65"/>
        <v>0.13698630136986301</v>
      </c>
      <c r="AF83" s="128">
        <f t="shared" si="71"/>
        <v>8.6999999999999994E-2</v>
      </c>
      <c r="AG83" s="121" t="e">
        <f t="shared" si="44"/>
        <v>#NUM!</v>
      </c>
      <c r="AH83" s="125">
        <f t="shared" si="72"/>
        <v>0.8195508933778024</v>
      </c>
      <c r="AI83" s="125">
        <f t="shared" si="73"/>
        <v>2.1491794319490021</v>
      </c>
      <c r="AJ83" s="122">
        <f t="shared" si="74"/>
        <v>8.8131876105931775E-2</v>
      </c>
      <c r="AK83" s="121">
        <f t="shared" si="45"/>
        <v>0.83732782990464338</v>
      </c>
      <c r="AL83" s="121">
        <f t="shared" si="46"/>
        <v>0.91965394349154128</v>
      </c>
      <c r="AM83" s="121">
        <f t="shared" si="47"/>
        <v>0.86597280641296126</v>
      </c>
      <c r="AN83" s="121">
        <f t="shared" si="66"/>
        <v>1.9804403514963009</v>
      </c>
      <c r="AO83" s="121" t="e">
        <f t="shared" si="75"/>
        <v>#NUM!</v>
      </c>
      <c r="AP83" s="121" t="e">
        <f t="shared" si="76"/>
        <v>#NUM!</v>
      </c>
    </row>
    <row r="84" spans="1:42">
      <c r="A84" s="105" t="e">
        <f t="shared" si="48"/>
        <v>#NUM!</v>
      </c>
      <c r="B84" s="106" t="e">
        <f t="shared" si="49"/>
        <v>#NUM!</v>
      </c>
      <c r="C84" s="107" t="e">
        <f t="shared" si="50"/>
        <v>#NUM!</v>
      </c>
      <c r="D84" s="108">
        <f t="shared" si="67"/>
        <v>6.7000000000000004E-2</v>
      </c>
      <c r="E84" s="108">
        <f t="shared" si="67"/>
        <v>1.0999999999999999E-2</v>
      </c>
      <c r="F84" s="108">
        <f t="shared" si="67"/>
        <v>710</v>
      </c>
      <c r="G84" s="108">
        <f t="shared" si="67"/>
        <v>64.5</v>
      </c>
      <c r="H84" s="108">
        <f t="shared" si="67"/>
        <v>0.58099999999999996</v>
      </c>
      <c r="I84" s="113">
        <f t="shared" si="51"/>
        <v>0.69794330658111647</v>
      </c>
      <c r="J84" s="114">
        <f t="shared" si="52"/>
        <v>1.2012793572824725</v>
      </c>
      <c r="K84" s="115" t="e">
        <f t="shared" si="53"/>
        <v>#NUM!</v>
      </c>
      <c r="L84" s="115" t="e">
        <f t="shared" si="54"/>
        <v>#NUM!</v>
      </c>
      <c r="M84" s="112" t="e">
        <f t="shared" si="55"/>
        <v>#NUM!</v>
      </c>
      <c r="N84" s="116" t="e">
        <f t="shared" si="56"/>
        <v>#NUM!</v>
      </c>
      <c r="O84" s="115" t="e">
        <f t="shared" si="57"/>
        <v>#NUM!</v>
      </c>
      <c r="P84" s="117" t="e">
        <f t="shared" si="58"/>
        <v>#NUM!</v>
      </c>
      <c r="Q84" s="115" t="e">
        <f t="shared" si="59"/>
        <v>#NUM!</v>
      </c>
      <c r="R84" s="115" t="e">
        <f t="shared" si="60"/>
        <v>#NUM!</v>
      </c>
      <c r="S84" s="119" t="e">
        <f t="shared" si="61"/>
        <v>#NUM!</v>
      </c>
      <c r="T84" s="119" t="e">
        <f t="shared" si="62"/>
        <v>#NUM!</v>
      </c>
      <c r="U84" s="112" t="e">
        <f t="shared" si="63"/>
        <v>#NUM!</v>
      </c>
      <c r="V84" s="127"/>
      <c r="W84" s="128">
        <f t="shared" si="68"/>
        <v>710</v>
      </c>
      <c r="X84" s="128">
        <f t="shared" si="68"/>
        <v>64.5</v>
      </c>
      <c r="Y84" s="129">
        <f t="shared" si="42"/>
        <v>581</v>
      </c>
      <c r="Z84" s="122">
        <f t="shared" si="43"/>
        <v>0.69794330658111647</v>
      </c>
      <c r="AA84" s="128">
        <f t="shared" si="69"/>
        <v>2.7</v>
      </c>
      <c r="AB84" s="128">
        <v>1</v>
      </c>
      <c r="AC84" s="129">
        <f t="shared" si="64"/>
        <v>1.2328767123287672</v>
      </c>
      <c r="AD84" s="130">
        <f t="shared" si="70"/>
        <v>0.3</v>
      </c>
      <c r="AE84" s="131">
        <f t="shared" si="65"/>
        <v>0.13698630136986301</v>
      </c>
      <c r="AF84" s="128">
        <f t="shared" si="71"/>
        <v>8.6999999999999994E-2</v>
      </c>
      <c r="AG84" s="121" t="e">
        <f t="shared" si="44"/>
        <v>#NUM!</v>
      </c>
      <c r="AH84" s="125">
        <f t="shared" si="72"/>
        <v>0.8195508933778024</v>
      </c>
      <c r="AI84" s="125">
        <f t="shared" si="73"/>
        <v>2.1491794319490021</v>
      </c>
      <c r="AJ84" s="122">
        <f t="shared" si="74"/>
        <v>8.8377792163403218E-2</v>
      </c>
      <c r="AK84" s="121">
        <f t="shared" si="45"/>
        <v>0.83732782990464338</v>
      </c>
      <c r="AL84" s="121">
        <f t="shared" si="46"/>
        <v>0.91965394349154128</v>
      </c>
      <c r="AM84" s="121">
        <f t="shared" si="47"/>
        <v>0.86597280641296126</v>
      </c>
      <c r="AN84" s="121">
        <f t="shared" si="66"/>
        <v>1.9804403514963009</v>
      </c>
      <c r="AO84" s="121" t="e">
        <f t="shared" si="75"/>
        <v>#NUM!</v>
      </c>
      <c r="AP84" s="121" t="e">
        <f t="shared" si="76"/>
        <v>#NUM!</v>
      </c>
    </row>
    <row r="85" spans="1:42">
      <c r="A85" s="105" t="e">
        <f t="shared" si="48"/>
        <v>#NUM!</v>
      </c>
      <c r="B85" s="106" t="e">
        <f t="shared" si="49"/>
        <v>#NUM!</v>
      </c>
      <c r="C85" s="107" t="e">
        <f t="shared" si="50"/>
        <v>#NUM!</v>
      </c>
      <c r="D85" s="108">
        <f t="shared" si="67"/>
        <v>6.7000000000000004E-2</v>
      </c>
      <c r="E85" s="108">
        <f t="shared" si="67"/>
        <v>1.0999999999999999E-2</v>
      </c>
      <c r="F85" s="108">
        <f t="shared" si="67"/>
        <v>710</v>
      </c>
      <c r="G85" s="108">
        <f t="shared" si="67"/>
        <v>64.5</v>
      </c>
      <c r="H85" s="108">
        <f t="shared" si="67"/>
        <v>0.58099999999999996</v>
      </c>
      <c r="I85" s="113">
        <f t="shared" si="51"/>
        <v>0.70375330658111646</v>
      </c>
      <c r="J85" s="114">
        <f t="shared" si="52"/>
        <v>1.2112793572824725</v>
      </c>
      <c r="K85" s="115" t="e">
        <f t="shared" si="53"/>
        <v>#NUM!</v>
      </c>
      <c r="L85" s="115" t="e">
        <f t="shared" si="54"/>
        <v>#NUM!</v>
      </c>
      <c r="M85" s="112" t="e">
        <f t="shared" si="55"/>
        <v>#NUM!</v>
      </c>
      <c r="N85" s="116" t="e">
        <f t="shared" si="56"/>
        <v>#NUM!</v>
      </c>
      <c r="O85" s="115" t="e">
        <f t="shared" si="57"/>
        <v>#NUM!</v>
      </c>
      <c r="P85" s="117" t="e">
        <f t="shared" si="58"/>
        <v>#NUM!</v>
      </c>
      <c r="Q85" s="115" t="e">
        <f t="shared" si="59"/>
        <v>#NUM!</v>
      </c>
      <c r="R85" s="115" t="e">
        <f t="shared" si="60"/>
        <v>#NUM!</v>
      </c>
      <c r="S85" s="119" t="e">
        <f t="shared" si="61"/>
        <v>#NUM!</v>
      </c>
      <c r="T85" s="119" t="e">
        <f t="shared" si="62"/>
        <v>#NUM!</v>
      </c>
      <c r="U85" s="112" t="e">
        <f t="shared" si="63"/>
        <v>#NUM!</v>
      </c>
      <c r="V85" s="127"/>
      <c r="W85" s="128">
        <f t="shared" si="68"/>
        <v>710</v>
      </c>
      <c r="X85" s="128">
        <f t="shared" si="68"/>
        <v>64.5</v>
      </c>
      <c r="Y85" s="129">
        <f t="shared" si="42"/>
        <v>581</v>
      </c>
      <c r="Z85" s="122">
        <f t="shared" si="43"/>
        <v>0.70375330658111646</v>
      </c>
      <c r="AA85" s="128">
        <f t="shared" si="69"/>
        <v>2.7</v>
      </c>
      <c r="AB85" s="128">
        <v>1</v>
      </c>
      <c r="AC85" s="129">
        <f t="shared" si="64"/>
        <v>1.2328767123287672</v>
      </c>
      <c r="AD85" s="130">
        <f t="shared" si="70"/>
        <v>0.3</v>
      </c>
      <c r="AE85" s="131">
        <f t="shared" si="65"/>
        <v>0.13698630136986301</v>
      </c>
      <c r="AF85" s="128">
        <f t="shared" si="71"/>
        <v>8.6999999999999994E-2</v>
      </c>
      <c r="AG85" s="121" t="e">
        <f t="shared" si="44"/>
        <v>#NUM!</v>
      </c>
      <c r="AH85" s="125">
        <f t="shared" si="72"/>
        <v>0.8195508933778024</v>
      </c>
      <c r="AI85" s="125">
        <f t="shared" si="73"/>
        <v>2.1491794319490021</v>
      </c>
      <c r="AJ85" s="122">
        <f t="shared" si="74"/>
        <v>8.8622347234578569E-2</v>
      </c>
      <c r="AK85" s="121">
        <f t="shared" si="45"/>
        <v>0.83732782990464338</v>
      </c>
      <c r="AL85" s="121">
        <f t="shared" si="46"/>
        <v>0.91965394349154128</v>
      </c>
      <c r="AM85" s="121">
        <f t="shared" si="47"/>
        <v>0.86597280641296126</v>
      </c>
      <c r="AN85" s="121">
        <f t="shared" si="66"/>
        <v>1.9804403514963009</v>
      </c>
      <c r="AO85" s="121" t="e">
        <f t="shared" si="75"/>
        <v>#NUM!</v>
      </c>
      <c r="AP85" s="121" t="e">
        <f t="shared" si="76"/>
        <v>#NUM!</v>
      </c>
    </row>
    <row r="86" spans="1:42">
      <c r="A86" s="105" t="e">
        <f t="shared" si="48"/>
        <v>#NUM!</v>
      </c>
      <c r="B86" s="106" t="e">
        <f t="shared" si="49"/>
        <v>#NUM!</v>
      </c>
      <c r="C86" s="107" t="e">
        <f t="shared" si="50"/>
        <v>#NUM!</v>
      </c>
      <c r="D86" s="108">
        <f t="shared" si="67"/>
        <v>6.7000000000000004E-2</v>
      </c>
      <c r="E86" s="108">
        <f t="shared" si="67"/>
        <v>1.0999999999999999E-2</v>
      </c>
      <c r="F86" s="108">
        <f t="shared" si="67"/>
        <v>710</v>
      </c>
      <c r="G86" s="108">
        <f t="shared" si="67"/>
        <v>64.5</v>
      </c>
      <c r="H86" s="108">
        <f t="shared" si="67"/>
        <v>0.58099999999999996</v>
      </c>
      <c r="I86" s="113">
        <f t="shared" si="51"/>
        <v>0.70956330658111644</v>
      </c>
      <c r="J86" s="114">
        <f t="shared" si="52"/>
        <v>1.2212793572824725</v>
      </c>
      <c r="K86" s="115" t="e">
        <f t="shared" si="53"/>
        <v>#NUM!</v>
      </c>
      <c r="L86" s="115" t="e">
        <f t="shared" si="54"/>
        <v>#NUM!</v>
      </c>
      <c r="M86" s="112" t="e">
        <f t="shared" si="55"/>
        <v>#NUM!</v>
      </c>
      <c r="N86" s="116" t="e">
        <f t="shared" si="56"/>
        <v>#NUM!</v>
      </c>
      <c r="O86" s="115" t="e">
        <f t="shared" si="57"/>
        <v>#NUM!</v>
      </c>
      <c r="P86" s="117" t="e">
        <f t="shared" si="58"/>
        <v>#NUM!</v>
      </c>
      <c r="Q86" s="115" t="e">
        <f t="shared" si="59"/>
        <v>#NUM!</v>
      </c>
      <c r="R86" s="115" t="e">
        <f t="shared" si="60"/>
        <v>#NUM!</v>
      </c>
      <c r="S86" s="119" t="e">
        <f t="shared" si="61"/>
        <v>#NUM!</v>
      </c>
      <c r="T86" s="119" t="e">
        <f t="shared" si="62"/>
        <v>#NUM!</v>
      </c>
      <c r="U86" s="112" t="e">
        <f t="shared" si="63"/>
        <v>#NUM!</v>
      </c>
      <c r="V86" s="127"/>
      <c r="W86" s="128">
        <f t="shared" si="68"/>
        <v>710</v>
      </c>
      <c r="X86" s="128">
        <f t="shared" si="68"/>
        <v>64.5</v>
      </c>
      <c r="Y86" s="129">
        <f t="shared" si="42"/>
        <v>581</v>
      </c>
      <c r="Z86" s="122">
        <f t="shared" si="43"/>
        <v>0.70956330658111644</v>
      </c>
      <c r="AA86" s="128">
        <f t="shared" si="69"/>
        <v>2.7</v>
      </c>
      <c r="AB86" s="128">
        <v>1</v>
      </c>
      <c r="AC86" s="129">
        <f t="shared" si="64"/>
        <v>1.2328767123287672</v>
      </c>
      <c r="AD86" s="130">
        <f t="shared" si="70"/>
        <v>0.3</v>
      </c>
      <c r="AE86" s="131">
        <f t="shared" si="65"/>
        <v>0.13698630136986301</v>
      </c>
      <c r="AF86" s="128">
        <f t="shared" si="71"/>
        <v>8.6999999999999994E-2</v>
      </c>
      <c r="AG86" s="121" t="e">
        <f t="shared" si="44"/>
        <v>#NUM!</v>
      </c>
      <c r="AH86" s="125">
        <f t="shared" si="72"/>
        <v>0.8195508933778024</v>
      </c>
      <c r="AI86" s="125">
        <f t="shared" si="73"/>
        <v>2.1491794319490021</v>
      </c>
      <c r="AJ86" s="122">
        <f t="shared" si="74"/>
        <v>8.8865559995010779E-2</v>
      </c>
      <c r="AK86" s="121">
        <f t="shared" si="45"/>
        <v>0.83732782990464338</v>
      </c>
      <c r="AL86" s="121">
        <f t="shared" si="46"/>
        <v>0.91965394349154128</v>
      </c>
      <c r="AM86" s="121">
        <f t="shared" si="47"/>
        <v>0.86597280641296126</v>
      </c>
      <c r="AN86" s="121">
        <f t="shared" si="66"/>
        <v>1.9804403514963009</v>
      </c>
      <c r="AO86" s="121" t="e">
        <f t="shared" si="75"/>
        <v>#NUM!</v>
      </c>
      <c r="AP86" s="121" t="e">
        <f t="shared" si="76"/>
        <v>#NUM!</v>
      </c>
    </row>
    <row r="87" spans="1:42">
      <c r="A87" s="105" t="e">
        <f t="shared" si="48"/>
        <v>#NUM!</v>
      </c>
      <c r="B87" s="106" t="e">
        <f t="shared" si="49"/>
        <v>#NUM!</v>
      </c>
      <c r="C87" s="107" t="e">
        <f t="shared" si="50"/>
        <v>#NUM!</v>
      </c>
      <c r="D87" s="108">
        <f t="shared" ref="D87:H102" si="77">D86</f>
        <v>6.7000000000000004E-2</v>
      </c>
      <c r="E87" s="108">
        <f t="shared" si="77"/>
        <v>1.0999999999999999E-2</v>
      </c>
      <c r="F87" s="108">
        <f t="shared" si="77"/>
        <v>710</v>
      </c>
      <c r="G87" s="108">
        <f t="shared" si="77"/>
        <v>64.5</v>
      </c>
      <c r="H87" s="108">
        <f t="shared" si="77"/>
        <v>0.58099999999999996</v>
      </c>
      <c r="I87" s="113">
        <f t="shared" si="51"/>
        <v>0.71537330658111653</v>
      </c>
      <c r="J87" s="114">
        <f t="shared" si="52"/>
        <v>1.2312793572824725</v>
      </c>
      <c r="K87" s="115" t="e">
        <f t="shared" si="53"/>
        <v>#NUM!</v>
      </c>
      <c r="L87" s="115" t="e">
        <f t="shared" si="54"/>
        <v>#NUM!</v>
      </c>
      <c r="M87" s="112" t="e">
        <f t="shared" si="55"/>
        <v>#NUM!</v>
      </c>
      <c r="N87" s="116" t="e">
        <f t="shared" si="56"/>
        <v>#NUM!</v>
      </c>
      <c r="O87" s="115" t="e">
        <f t="shared" si="57"/>
        <v>#NUM!</v>
      </c>
      <c r="P87" s="117" t="e">
        <f t="shared" si="58"/>
        <v>#NUM!</v>
      </c>
      <c r="Q87" s="115" t="e">
        <f t="shared" si="59"/>
        <v>#NUM!</v>
      </c>
      <c r="R87" s="115" t="e">
        <f t="shared" si="60"/>
        <v>#NUM!</v>
      </c>
      <c r="S87" s="119" t="e">
        <f t="shared" si="61"/>
        <v>#NUM!</v>
      </c>
      <c r="T87" s="119" t="e">
        <f t="shared" si="62"/>
        <v>#NUM!</v>
      </c>
      <c r="U87" s="112" t="e">
        <f t="shared" si="63"/>
        <v>#NUM!</v>
      </c>
      <c r="V87" s="127"/>
      <c r="W87" s="128">
        <f t="shared" ref="W87:X95" si="78">W86</f>
        <v>710</v>
      </c>
      <c r="X87" s="128">
        <f t="shared" si="78"/>
        <v>64.5</v>
      </c>
      <c r="Y87" s="129">
        <f t="shared" si="42"/>
        <v>581</v>
      </c>
      <c r="Z87" s="122">
        <f t="shared" si="43"/>
        <v>0.71537330658111653</v>
      </c>
      <c r="AA87" s="128">
        <f t="shared" si="69"/>
        <v>2.7</v>
      </c>
      <c r="AB87" s="128">
        <v>1</v>
      </c>
      <c r="AC87" s="129">
        <f t="shared" si="64"/>
        <v>1.2328767123287672</v>
      </c>
      <c r="AD87" s="130">
        <f t="shared" si="70"/>
        <v>0.3</v>
      </c>
      <c r="AE87" s="131">
        <f t="shared" si="65"/>
        <v>0.13698630136986301</v>
      </c>
      <c r="AF87" s="128">
        <f t="shared" si="71"/>
        <v>8.6999999999999994E-2</v>
      </c>
      <c r="AG87" s="121" t="e">
        <f t="shared" si="44"/>
        <v>#NUM!</v>
      </c>
      <c r="AH87" s="125">
        <f t="shared" si="72"/>
        <v>0.8195508933778024</v>
      </c>
      <c r="AI87" s="125">
        <f t="shared" si="73"/>
        <v>2.1491794319490021</v>
      </c>
      <c r="AJ87" s="122">
        <f t="shared" si="74"/>
        <v>8.9107448713570514E-2</v>
      </c>
      <c r="AK87" s="121">
        <f t="shared" si="45"/>
        <v>0.83732782990464338</v>
      </c>
      <c r="AL87" s="121">
        <f t="shared" si="46"/>
        <v>0.91965394349154128</v>
      </c>
      <c r="AM87" s="121">
        <f t="shared" si="47"/>
        <v>0.86597280641296126</v>
      </c>
      <c r="AN87" s="121">
        <f t="shared" si="66"/>
        <v>1.9804403514963009</v>
      </c>
      <c r="AO87" s="121" t="e">
        <f t="shared" si="75"/>
        <v>#NUM!</v>
      </c>
      <c r="AP87" s="121" t="e">
        <f t="shared" si="76"/>
        <v>#NUM!</v>
      </c>
    </row>
    <row r="88" spans="1:42">
      <c r="A88" s="105" t="e">
        <f t="shared" si="48"/>
        <v>#NUM!</v>
      </c>
      <c r="B88" s="106" t="e">
        <f t="shared" si="49"/>
        <v>#NUM!</v>
      </c>
      <c r="C88" s="107" t="e">
        <f t="shared" si="50"/>
        <v>#NUM!</v>
      </c>
      <c r="D88" s="108">
        <f t="shared" si="77"/>
        <v>6.7000000000000004E-2</v>
      </c>
      <c r="E88" s="108">
        <f t="shared" si="77"/>
        <v>1.0999999999999999E-2</v>
      </c>
      <c r="F88" s="108">
        <f t="shared" si="77"/>
        <v>710</v>
      </c>
      <c r="G88" s="108">
        <f t="shared" si="77"/>
        <v>64.5</v>
      </c>
      <c r="H88" s="108">
        <f t="shared" si="77"/>
        <v>0.58099999999999996</v>
      </c>
      <c r="I88" s="113">
        <f t="shared" si="51"/>
        <v>0.72118330658111651</v>
      </c>
      <c r="J88" s="114">
        <f t="shared" si="52"/>
        <v>1.2412793572824725</v>
      </c>
      <c r="K88" s="115" t="e">
        <f t="shared" si="53"/>
        <v>#NUM!</v>
      </c>
      <c r="L88" s="115" t="e">
        <f t="shared" si="54"/>
        <v>#NUM!</v>
      </c>
      <c r="M88" s="112" t="e">
        <f t="shared" si="55"/>
        <v>#NUM!</v>
      </c>
      <c r="N88" s="116" t="e">
        <f t="shared" si="56"/>
        <v>#NUM!</v>
      </c>
      <c r="O88" s="115" t="e">
        <f t="shared" si="57"/>
        <v>#NUM!</v>
      </c>
      <c r="P88" s="117" t="e">
        <f t="shared" si="58"/>
        <v>#NUM!</v>
      </c>
      <c r="Q88" s="115" t="e">
        <f t="shared" si="59"/>
        <v>#NUM!</v>
      </c>
      <c r="R88" s="115" t="e">
        <f t="shared" si="60"/>
        <v>#NUM!</v>
      </c>
      <c r="S88" s="119" t="e">
        <f t="shared" si="61"/>
        <v>#NUM!</v>
      </c>
      <c r="T88" s="119" t="e">
        <f t="shared" si="62"/>
        <v>#NUM!</v>
      </c>
      <c r="U88" s="112" t="e">
        <f t="shared" si="63"/>
        <v>#NUM!</v>
      </c>
      <c r="V88" s="127"/>
      <c r="W88" s="128">
        <f t="shared" si="78"/>
        <v>710</v>
      </c>
      <c r="X88" s="128">
        <f t="shared" si="78"/>
        <v>64.5</v>
      </c>
      <c r="Y88" s="129">
        <f t="shared" si="42"/>
        <v>581</v>
      </c>
      <c r="Z88" s="122">
        <f t="shared" si="43"/>
        <v>0.72118330658111651</v>
      </c>
      <c r="AA88" s="128">
        <f t="shared" si="69"/>
        <v>2.7</v>
      </c>
      <c r="AB88" s="128">
        <v>1</v>
      </c>
      <c r="AC88" s="129">
        <f t="shared" si="64"/>
        <v>1.2328767123287672</v>
      </c>
      <c r="AD88" s="130">
        <f t="shared" si="70"/>
        <v>0.3</v>
      </c>
      <c r="AE88" s="131">
        <f t="shared" si="65"/>
        <v>0.13698630136986301</v>
      </c>
      <c r="AF88" s="128">
        <f t="shared" si="71"/>
        <v>8.6999999999999994E-2</v>
      </c>
      <c r="AG88" s="121" t="e">
        <f t="shared" si="44"/>
        <v>#NUM!</v>
      </c>
      <c r="AH88" s="125">
        <f t="shared" si="72"/>
        <v>0.8195508933778024</v>
      </c>
      <c r="AI88" s="125">
        <f t="shared" si="73"/>
        <v>2.1491794319490021</v>
      </c>
      <c r="AJ88" s="122">
        <f t="shared" si="74"/>
        <v>8.9348031264524341E-2</v>
      </c>
      <c r="AK88" s="121">
        <f t="shared" si="45"/>
        <v>0.83732782990464338</v>
      </c>
      <c r="AL88" s="121">
        <f t="shared" si="46"/>
        <v>0.91965394349154128</v>
      </c>
      <c r="AM88" s="121">
        <f t="shared" si="47"/>
        <v>0.86597280641296126</v>
      </c>
      <c r="AN88" s="121">
        <f t="shared" si="66"/>
        <v>1.9804403514963009</v>
      </c>
      <c r="AO88" s="121" t="e">
        <f t="shared" si="75"/>
        <v>#NUM!</v>
      </c>
      <c r="AP88" s="121" t="e">
        <f t="shared" si="76"/>
        <v>#NUM!</v>
      </c>
    </row>
    <row r="89" spans="1:42">
      <c r="A89" s="105" t="e">
        <f t="shared" si="48"/>
        <v>#NUM!</v>
      </c>
      <c r="B89" s="106" t="e">
        <f t="shared" si="49"/>
        <v>#NUM!</v>
      </c>
      <c r="C89" s="107" t="e">
        <f t="shared" si="50"/>
        <v>#NUM!</v>
      </c>
      <c r="D89" s="108">
        <f t="shared" si="77"/>
        <v>6.7000000000000004E-2</v>
      </c>
      <c r="E89" s="108">
        <f t="shared" si="77"/>
        <v>1.0999999999999999E-2</v>
      </c>
      <c r="F89" s="108">
        <f t="shared" si="77"/>
        <v>710</v>
      </c>
      <c r="G89" s="108">
        <f t="shared" si="77"/>
        <v>64.5</v>
      </c>
      <c r="H89" s="108">
        <f t="shared" si="77"/>
        <v>0.58099999999999996</v>
      </c>
      <c r="I89" s="113">
        <f t="shared" si="51"/>
        <v>0.72699330658111649</v>
      </c>
      <c r="J89" s="114">
        <f t="shared" si="52"/>
        <v>1.2512793572824725</v>
      </c>
      <c r="K89" s="115" t="e">
        <f t="shared" si="53"/>
        <v>#NUM!</v>
      </c>
      <c r="L89" s="115" t="e">
        <f t="shared" si="54"/>
        <v>#NUM!</v>
      </c>
      <c r="M89" s="112" t="e">
        <f t="shared" si="55"/>
        <v>#NUM!</v>
      </c>
      <c r="N89" s="116" t="e">
        <f t="shared" si="56"/>
        <v>#NUM!</v>
      </c>
      <c r="O89" s="115" t="e">
        <f t="shared" si="57"/>
        <v>#NUM!</v>
      </c>
      <c r="P89" s="117" t="e">
        <f t="shared" si="58"/>
        <v>#NUM!</v>
      </c>
      <c r="Q89" s="115" t="e">
        <f t="shared" si="59"/>
        <v>#NUM!</v>
      </c>
      <c r="R89" s="115" t="e">
        <f t="shared" si="60"/>
        <v>#NUM!</v>
      </c>
      <c r="S89" s="119" t="e">
        <f t="shared" si="61"/>
        <v>#NUM!</v>
      </c>
      <c r="T89" s="119" t="e">
        <f t="shared" si="62"/>
        <v>#NUM!</v>
      </c>
      <c r="U89" s="112" t="e">
        <f t="shared" si="63"/>
        <v>#NUM!</v>
      </c>
      <c r="V89" s="127"/>
      <c r="W89" s="128">
        <f t="shared" si="78"/>
        <v>710</v>
      </c>
      <c r="X89" s="128">
        <f t="shared" si="78"/>
        <v>64.5</v>
      </c>
      <c r="Y89" s="129">
        <f t="shared" si="42"/>
        <v>581</v>
      </c>
      <c r="Z89" s="122">
        <f t="shared" si="43"/>
        <v>0.72699330658111649</v>
      </c>
      <c r="AA89" s="128">
        <f t="shared" si="69"/>
        <v>2.7</v>
      </c>
      <c r="AB89" s="128">
        <v>1</v>
      </c>
      <c r="AC89" s="129">
        <f t="shared" si="64"/>
        <v>1.2328767123287672</v>
      </c>
      <c r="AD89" s="130">
        <f t="shared" si="70"/>
        <v>0.3</v>
      </c>
      <c r="AE89" s="131">
        <f t="shared" si="65"/>
        <v>0.13698630136986301</v>
      </c>
      <c r="AF89" s="128">
        <f t="shared" si="71"/>
        <v>8.6999999999999994E-2</v>
      </c>
      <c r="AG89" s="121" t="e">
        <f t="shared" si="44"/>
        <v>#NUM!</v>
      </c>
      <c r="AH89" s="125">
        <f t="shared" si="72"/>
        <v>0.8195508933778024</v>
      </c>
      <c r="AI89" s="125">
        <f t="shared" si="73"/>
        <v>2.1491794319490021</v>
      </c>
      <c r="AJ89" s="122">
        <f t="shared" si="74"/>
        <v>8.9587325139160554E-2</v>
      </c>
      <c r="AK89" s="121">
        <f t="shared" si="45"/>
        <v>0.83732782990464338</v>
      </c>
      <c r="AL89" s="121">
        <f t="shared" si="46"/>
        <v>0.91965394349154128</v>
      </c>
      <c r="AM89" s="121">
        <f t="shared" si="47"/>
        <v>0.86597280641296126</v>
      </c>
      <c r="AN89" s="121">
        <f t="shared" si="66"/>
        <v>1.9804403514963009</v>
      </c>
      <c r="AO89" s="121" t="e">
        <f t="shared" si="75"/>
        <v>#NUM!</v>
      </c>
      <c r="AP89" s="121" t="e">
        <f t="shared" si="76"/>
        <v>#NUM!</v>
      </c>
    </row>
    <row r="90" spans="1:42">
      <c r="A90" s="105" t="e">
        <f t="shared" si="48"/>
        <v>#NUM!</v>
      </c>
      <c r="B90" s="106" t="e">
        <f t="shared" si="49"/>
        <v>#NUM!</v>
      </c>
      <c r="C90" s="107" t="e">
        <f t="shared" si="50"/>
        <v>#NUM!</v>
      </c>
      <c r="D90" s="108">
        <f t="shared" si="77"/>
        <v>6.7000000000000004E-2</v>
      </c>
      <c r="E90" s="108">
        <f t="shared" si="77"/>
        <v>1.0999999999999999E-2</v>
      </c>
      <c r="F90" s="108">
        <f t="shared" si="77"/>
        <v>710</v>
      </c>
      <c r="G90" s="108">
        <f t="shared" si="77"/>
        <v>64.5</v>
      </c>
      <c r="H90" s="108">
        <f t="shared" si="77"/>
        <v>0.58099999999999996</v>
      </c>
      <c r="I90" s="113">
        <f t="shared" si="51"/>
        <v>0.73280330658111648</v>
      </c>
      <c r="J90" s="114">
        <f t="shared" si="52"/>
        <v>1.2612793572824725</v>
      </c>
      <c r="K90" s="115" t="e">
        <f t="shared" si="53"/>
        <v>#NUM!</v>
      </c>
      <c r="L90" s="115" t="e">
        <f t="shared" si="54"/>
        <v>#NUM!</v>
      </c>
      <c r="M90" s="112" t="e">
        <f t="shared" si="55"/>
        <v>#NUM!</v>
      </c>
      <c r="N90" s="116" t="e">
        <f t="shared" si="56"/>
        <v>#NUM!</v>
      </c>
      <c r="O90" s="115" t="e">
        <f t="shared" si="57"/>
        <v>#NUM!</v>
      </c>
      <c r="P90" s="117" t="e">
        <f t="shared" si="58"/>
        <v>#NUM!</v>
      </c>
      <c r="Q90" s="115" t="e">
        <f t="shared" si="59"/>
        <v>#NUM!</v>
      </c>
      <c r="R90" s="115" t="e">
        <f t="shared" si="60"/>
        <v>#NUM!</v>
      </c>
      <c r="S90" s="119" t="e">
        <f t="shared" si="61"/>
        <v>#NUM!</v>
      </c>
      <c r="T90" s="119" t="e">
        <f t="shared" si="62"/>
        <v>#NUM!</v>
      </c>
      <c r="U90" s="112" t="e">
        <f t="shared" si="63"/>
        <v>#NUM!</v>
      </c>
      <c r="V90" s="127"/>
      <c r="W90" s="128">
        <f t="shared" si="78"/>
        <v>710</v>
      </c>
      <c r="X90" s="128">
        <f t="shared" si="78"/>
        <v>64.5</v>
      </c>
      <c r="Y90" s="129">
        <f t="shared" si="42"/>
        <v>581</v>
      </c>
      <c r="Z90" s="122">
        <f t="shared" si="43"/>
        <v>0.73280330658111648</v>
      </c>
      <c r="AA90" s="128">
        <f t="shared" si="69"/>
        <v>2.7</v>
      </c>
      <c r="AB90" s="128">
        <v>1</v>
      </c>
      <c r="AC90" s="129">
        <f t="shared" si="64"/>
        <v>1.2328767123287672</v>
      </c>
      <c r="AD90" s="130">
        <f t="shared" si="70"/>
        <v>0.3</v>
      </c>
      <c r="AE90" s="131">
        <f t="shared" si="65"/>
        <v>0.13698630136986301</v>
      </c>
      <c r="AF90" s="128">
        <f t="shared" si="71"/>
        <v>8.6999999999999994E-2</v>
      </c>
      <c r="AG90" s="121" t="e">
        <f t="shared" si="44"/>
        <v>#NUM!</v>
      </c>
      <c r="AH90" s="125">
        <f t="shared" si="72"/>
        <v>0.8195508933778024</v>
      </c>
      <c r="AI90" s="125">
        <f t="shared" si="73"/>
        <v>2.1491794319490021</v>
      </c>
      <c r="AJ90" s="122">
        <f t="shared" si="74"/>
        <v>8.9825347456982105E-2</v>
      </c>
      <c r="AK90" s="121">
        <f t="shared" si="45"/>
        <v>0.83732782990464338</v>
      </c>
      <c r="AL90" s="121">
        <f t="shared" si="46"/>
        <v>0.91965394349154128</v>
      </c>
      <c r="AM90" s="121">
        <f t="shared" si="47"/>
        <v>0.86597280641296126</v>
      </c>
      <c r="AN90" s="121">
        <f t="shared" si="66"/>
        <v>1.9804403514963009</v>
      </c>
      <c r="AO90" s="121" t="e">
        <f t="shared" si="75"/>
        <v>#NUM!</v>
      </c>
      <c r="AP90" s="121" t="e">
        <f t="shared" si="76"/>
        <v>#NUM!</v>
      </c>
    </row>
    <row r="91" spans="1:42">
      <c r="A91" s="105" t="e">
        <f t="shared" si="48"/>
        <v>#NUM!</v>
      </c>
      <c r="B91" s="106" t="e">
        <f t="shared" si="49"/>
        <v>#NUM!</v>
      </c>
      <c r="C91" s="107" t="e">
        <f t="shared" si="50"/>
        <v>#NUM!</v>
      </c>
      <c r="D91" s="108">
        <f t="shared" si="77"/>
        <v>6.7000000000000004E-2</v>
      </c>
      <c r="E91" s="108">
        <f t="shared" si="77"/>
        <v>1.0999999999999999E-2</v>
      </c>
      <c r="F91" s="108">
        <f t="shared" si="77"/>
        <v>710</v>
      </c>
      <c r="G91" s="108">
        <f t="shared" si="77"/>
        <v>64.5</v>
      </c>
      <c r="H91" s="108">
        <f t="shared" si="77"/>
        <v>0.58099999999999996</v>
      </c>
      <c r="I91" s="113">
        <f t="shared" si="51"/>
        <v>0.73861330658111646</v>
      </c>
      <c r="J91" s="114">
        <f t="shared" si="52"/>
        <v>1.2712793572824725</v>
      </c>
      <c r="K91" s="115" t="e">
        <f t="shared" si="53"/>
        <v>#NUM!</v>
      </c>
      <c r="L91" s="115" t="e">
        <f t="shared" si="54"/>
        <v>#NUM!</v>
      </c>
      <c r="M91" s="112" t="e">
        <f t="shared" si="55"/>
        <v>#NUM!</v>
      </c>
      <c r="N91" s="116" t="e">
        <f t="shared" si="56"/>
        <v>#NUM!</v>
      </c>
      <c r="O91" s="115" t="e">
        <f t="shared" si="57"/>
        <v>#NUM!</v>
      </c>
      <c r="P91" s="117" t="e">
        <f t="shared" si="58"/>
        <v>#NUM!</v>
      </c>
      <c r="Q91" s="115" t="e">
        <f t="shared" si="59"/>
        <v>#NUM!</v>
      </c>
      <c r="R91" s="115" t="e">
        <f t="shared" si="60"/>
        <v>#NUM!</v>
      </c>
      <c r="S91" s="119" t="e">
        <f t="shared" si="61"/>
        <v>#NUM!</v>
      </c>
      <c r="T91" s="119" t="e">
        <f t="shared" si="62"/>
        <v>#NUM!</v>
      </c>
      <c r="U91" s="112" t="e">
        <f t="shared" si="63"/>
        <v>#NUM!</v>
      </c>
      <c r="V91" s="127"/>
      <c r="W91" s="128">
        <f t="shared" si="78"/>
        <v>710</v>
      </c>
      <c r="X91" s="128">
        <f t="shared" si="78"/>
        <v>64.5</v>
      </c>
      <c r="Y91" s="129">
        <f t="shared" si="42"/>
        <v>581</v>
      </c>
      <c r="Z91" s="122">
        <f t="shared" si="43"/>
        <v>0.73861330658111646</v>
      </c>
      <c r="AA91" s="128">
        <f t="shared" si="69"/>
        <v>2.7</v>
      </c>
      <c r="AB91" s="128">
        <v>1</v>
      </c>
      <c r="AC91" s="129">
        <f t="shared" si="64"/>
        <v>1.2328767123287672</v>
      </c>
      <c r="AD91" s="130">
        <f t="shared" si="70"/>
        <v>0.3</v>
      </c>
      <c r="AE91" s="131">
        <f t="shared" si="65"/>
        <v>0.13698630136986301</v>
      </c>
      <c r="AF91" s="128">
        <f t="shared" si="71"/>
        <v>8.6999999999999994E-2</v>
      </c>
      <c r="AG91" s="121" t="e">
        <f t="shared" si="44"/>
        <v>#NUM!</v>
      </c>
      <c r="AH91" s="125">
        <f t="shared" si="72"/>
        <v>0.8195508933778024</v>
      </c>
      <c r="AI91" s="125">
        <f t="shared" si="73"/>
        <v>2.1491794319490021</v>
      </c>
      <c r="AJ91" s="122">
        <f t="shared" si="74"/>
        <v>9.0062114976486654E-2</v>
      </c>
      <c r="AK91" s="121">
        <f t="shared" si="45"/>
        <v>0.83732782990464338</v>
      </c>
      <c r="AL91" s="121">
        <f t="shared" si="46"/>
        <v>0.91965394349154128</v>
      </c>
      <c r="AM91" s="121">
        <f t="shared" si="47"/>
        <v>0.86597280641296126</v>
      </c>
      <c r="AN91" s="121">
        <f t="shared" si="66"/>
        <v>1.9804403514963009</v>
      </c>
      <c r="AO91" s="121" t="e">
        <f t="shared" si="75"/>
        <v>#NUM!</v>
      </c>
      <c r="AP91" s="121" t="e">
        <f t="shared" si="76"/>
        <v>#NUM!</v>
      </c>
    </row>
    <row r="92" spans="1:42">
      <c r="A92" s="105" t="e">
        <f t="shared" si="48"/>
        <v>#NUM!</v>
      </c>
      <c r="B92" s="106" t="e">
        <f t="shared" si="49"/>
        <v>#NUM!</v>
      </c>
      <c r="C92" s="107" t="e">
        <f t="shared" si="50"/>
        <v>#NUM!</v>
      </c>
      <c r="D92" s="108">
        <f t="shared" si="77"/>
        <v>6.7000000000000004E-2</v>
      </c>
      <c r="E92" s="108">
        <f t="shared" si="77"/>
        <v>1.0999999999999999E-2</v>
      </c>
      <c r="F92" s="108">
        <f t="shared" si="77"/>
        <v>710</v>
      </c>
      <c r="G92" s="108">
        <f t="shared" si="77"/>
        <v>64.5</v>
      </c>
      <c r="H92" s="108">
        <f t="shared" si="77"/>
        <v>0.58099999999999996</v>
      </c>
      <c r="I92" s="113">
        <f t="shared" si="51"/>
        <v>0.74442330658111655</v>
      </c>
      <c r="J92" s="114">
        <f t="shared" si="52"/>
        <v>1.2812793572824726</v>
      </c>
      <c r="K92" s="115" t="e">
        <f t="shared" si="53"/>
        <v>#NUM!</v>
      </c>
      <c r="L92" s="115" t="e">
        <f t="shared" si="54"/>
        <v>#NUM!</v>
      </c>
      <c r="M92" s="112" t="e">
        <f t="shared" si="55"/>
        <v>#NUM!</v>
      </c>
      <c r="N92" s="116" t="e">
        <f t="shared" si="56"/>
        <v>#NUM!</v>
      </c>
      <c r="O92" s="115" t="e">
        <f t="shared" si="57"/>
        <v>#NUM!</v>
      </c>
      <c r="P92" s="117" t="e">
        <f t="shared" si="58"/>
        <v>#NUM!</v>
      </c>
      <c r="Q92" s="115" t="e">
        <f t="shared" si="59"/>
        <v>#NUM!</v>
      </c>
      <c r="R92" s="115" t="e">
        <f t="shared" si="60"/>
        <v>#NUM!</v>
      </c>
      <c r="S92" s="119" t="e">
        <f t="shared" si="61"/>
        <v>#NUM!</v>
      </c>
      <c r="T92" s="119" t="e">
        <f t="shared" si="62"/>
        <v>#NUM!</v>
      </c>
      <c r="U92" s="112" t="e">
        <f t="shared" si="63"/>
        <v>#NUM!</v>
      </c>
      <c r="V92" s="127"/>
      <c r="W92" s="128">
        <f t="shared" si="78"/>
        <v>710</v>
      </c>
      <c r="X92" s="128">
        <f t="shared" si="78"/>
        <v>64.5</v>
      </c>
      <c r="Y92" s="129">
        <f t="shared" si="42"/>
        <v>581</v>
      </c>
      <c r="Z92" s="122">
        <f t="shared" si="43"/>
        <v>0.74442330658111655</v>
      </c>
      <c r="AA92" s="128">
        <f t="shared" si="69"/>
        <v>2.7</v>
      </c>
      <c r="AB92" s="128">
        <v>1</v>
      </c>
      <c r="AC92" s="129">
        <f t="shared" si="64"/>
        <v>1.2328767123287672</v>
      </c>
      <c r="AD92" s="130">
        <f t="shared" si="70"/>
        <v>0.3</v>
      </c>
      <c r="AE92" s="131">
        <f t="shared" si="65"/>
        <v>0.13698630136986301</v>
      </c>
      <c r="AF92" s="128">
        <f t="shared" si="71"/>
        <v>8.6999999999999994E-2</v>
      </c>
      <c r="AG92" s="121" t="e">
        <f t="shared" si="44"/>
        <v>#NUM!</v>
      </c>
      <c r="AH92" s="125">
        <f t="shared" si="72"/>
        <v>0.8195508933778024</v>
      </c>
      <c r="AI92" s="125">
        <f t="shared" si="73"/>
        <v>2.1491794319490021</v>
      </c>
      <c r="AJ92" s="122">
        <f t="shared" si="74"/>
        <v>9.0297644105551994E-2</v>
      </c>
      <c r="AK92" s="121">
        <f t="shared" si="45"/>
        <v>0.83732782990464338</v>
      </c>
      <c r="AL92" s="121">
        <f t="shared" si="46"/>
        <v>0.91965394349154128</v>
      </c>
      <c r="AM92" s="121">
        <f t="shared" si="47"/>
        <v>0.86597280641296126</v>
      </c>
      <c r="AN92" s="121">
        <f t="shared" si="66"/>
        <v>1.9804403514963009</v>
      </c>
      <c r="AO92" s="121" t="e">
        <f t="shared" si="75"/>
        <v>#NUM!</v>
      </c>
      <c r="AP92" s="121" t="e">
        <f t="shared" si="76"/>
        <v>#NUM!</v>
      </c>
    </row>
    <row r="93" spans="1:42">
      <c r="A93" s="105" t="e">
        <f t="shared" si="48"/>
        <v>#NUM!</v>
      </c>
      <c r="B93" s="106" t="e">
        <f t="shared" si="49"/>
        <v>#NUM!</v>
      </c>
      <c r="C93" s="107" t="e">
        <f t="shared" si="50"/>
        <v>#NUM!</v>
      </c>
      <c r="D93" s="108">
        <f t="shared" si="77"/>
        <v>6.7000000000000004E-2</v>
      </c>
      <c r="E93" s="108">
        <f t="shared" si="77"/>
        <v>1.0999999999999999E-2</v>
      </c>
      <c r="F93" s="108">
        <f t="shared" si="77"/>
        <v>710</v>
      </c>
      <c r="G93" s="108">
        <f t="shared" si="77"/>
        <v>64.5</v>
      </c>
      <c r="H93" s="108">
        <f t="shared" si="77"/>
        <v>0.58099999999999996</v>
      </c>
      <c r="I93" s="113">
        <f t="shared" si="51"/>
        <v>0.75023330658111653</v>
      </c>
      <c r="J93" s="114">
        <f t="shared" si="52"/>
        <v>1.2912793572824726</v>
      </c>
      <c r="K93" s="115" t="e">
        <f t="shared" si="53"/>
        <v>#NUM!</v>
      </c>
      <c r="L93" s="115" t="e">
        <f t="shared" si="54"/>
        <v>#NUM!</v>
      </c>
      <c r="M93" s="112" t="e">
        <f t="shared" si="55"/>
        <v>#NUM!</v>
      </c>
      <c r="N93" s="116" t="e">
        <f t="shared" si="56"/>
        <v>#NUM!</v>
      </c>
      <c r="O93" s="115" t="e">
        <f t="shared" si="57"/>
        <v>#NUM!</v>
      </c>
      <c r="P93" s="117" t="e">
        <f t="shared" si="58"/>
        <v>#NUM!</v>
      </c>
      <c r="Q93" s="115" t="e">
        <f t="shared" si="59"/>
        <v>#NUM!</v>
      </c>
      <c r="R93" s="115" t="e">
        <f t="shared" si="60"/>
        <v>#NUM!</v>
      </c>
      <c r="S93" s="119" t="e">
        <f t="shared" si="61"/>
        <v>#NUM!</v>
      </c>
      <c r="T93" s="119" t="e">
        <f t="shared" si="62"/>
        <v>#NUM!</v>
      </c>
      <c r="U93" s="112" t="e">
        <f t="shared" si="63"/>
        <v>#NUM!</v>
      </c>
      <c r="V93" s="127"/>
      <c r="W93" s="128">
        <f t="shared" si="78"/>
        <v>710</v>
      </c>
      <c r="X93" s="128">
        <f t="shared" si="78"/>
        <v>64.5</v>
      </c>
      <c r="Y93" s="129">
        <f t="shared" si="42"/>
        <v>581</v>
      </c>
      <c r="Z93" s="122">
        <f t="shared" si="43"/>
        <v>0.75023330658111653</v>
      </c>
      <c r="AA93" s="128">
        <f t="shared" si="69"/>
        <v>2.7</v>
      </c>
      <c r="AB93" s="128">
        <v>1</v>
      </c>
      <c r="AC93" s="129">
        <f t="shared" si="64"/>
        <v>1.2328767123287672</v>
      </c>
      <c r="AD93" s="130">
        <f t="shared" si="70"/>
        <v>0.3</v>
      </c>
      <c r="AE93" s="131">
        <f t="shared" si="65"/>
        <v>0.13698630136986301</v>
      </c>
      <c r="AF93" s="128">
        <f t="shared" si="71"/>
        <v>8.6999999999999994E-2</v>
      </c>
      <c r="AG93" s="121" t="e">
        <f t="shared" si="44"/>
        <v>#NUM!</v>
      </c>
      <c r="AH93" s="125">
        <f t="shared" si="72"/>
        <v>0.8195508933778024</v>
      </c>
      <c r="AI93" s="125">
        <f t="shared" si="73"/>
        <v>2.1491794319490021</v>
      </c>
      <c r="AJ93" s="122">
        <f t="shared" si="74"/>
        <v>9.0531950911443976E-2</v>
      </c>
      <c r="AK93" s="121">
        <f t="shared" si="45"/>
        <v>0.83732782990464338</v>
      </c>
      <c r="AL93" s="121">
        <f t="shared" si="46"/>
        <v>0.91965394349154128</v>
      </c>
      <c r="AM93" s="121">
        <f t="shared" si="47"/>
        <v>0.86597280641296126</v>
      </c>
      <c r="AN93" s="121">
        <f t="shared" si="66"/>
        <v>1.9804403514963009</v>
      </c>
      <c r="AO93" s="121" t="e">
        <f t="shared" si="75"/>
        <v>#NUM!</v>
      </c>
      <c r="AP93" s="121" t="e">
        <f t="shared" si="76"/>
        <v>#NUM!</v>
      </c>
    </row>
    <row r="94" spans="1:42">
      <c r="A94" s="105" t="e">
        <f t="shared" si="48"/>
        <v>#NUM!</v>
      </c>
      <c r="B94" s="106" t="e">
        <f t="shared" si="49"/>
        <v>#NUM!</v>
      </c>
      <c r="C94" s="107" t="e">
        <f t="shared" si="50"/>
        <v>#NUM!</v>
      </c>
      <c r="D94" s="108">
        <f t="shared" si="77"/>
        <v>6.7000000000000004E-2</v>
      </c>
      <c r="E94" s="108">
        <f t="shared" si="77"/>
        <v>1.0999999999999999E-2</v>
      </c>
      <c r="F94" s="108">
        <f t="shared" si="77"/>
        <v>710</v>
      </c>
      <c r="G94" s="108">
        <f t="shared" si="77"/>
        <v>64.5</v>
      </c>
      <c r="H94" s="108">
        <f t="shared" si="77"/>
        <v>0.58099999999999996</v>
      </c>
      <c r="I94" s="113">
        <f t="shared" si="51"/>
        <v>0.75604330658111651</v>
      </c>
      <c r="J94" s="114">
        <f t="shared" si="52"/>
        <v>1.3012793572824726</v>
      </c>
      <c r="K94" s="115" t="e">
        <f t="shared" si="53"/>
        <v>#NUM!</v>
      </c>
      <c r="L94" s="115" t="e">
        <f t="shared" si="54"/>
        <v>#NUM!</v>
      </c>
      <c r="M94" s="112" t="e">
        <f t="shared" si="55"/>
        <v>#NUM!</v>
      </c>
      <c r="N94" s="116" t="e">
        <f t="shared" si="56"/>
        <v>#NUM!</v>
      </c>
      <c r="O94" s="115" t="e">
        <f t="shared" si="57"/>
        <v>#NUM!</v>
      </c>
      <c r="P94" s="117" t="e">
        <f t="shared" si="58"/>
        <v>#NUM!</v>
      </c>
      <c r="Q94" s="115" t="e">
        <f t="shared" si="59"/>
        <v>#NUM!</v>
      </c>
      <c r="R94" s="115" t="e">
        <f t="shared" si="60"/>
        <v>#NUM!</v>
      </c>
      <c r="S94" s="119" t="e">
        <f t="shared" si="61"/>
        <v>#NUM!</v>
      </c>
      <c r="T94" s="119" t="e">
        <f t="shared" si="62"/>
        <v>#NUM!</v>
      </c>
      <c r="U94" s="112" t="e">
        <f t="shared" si="63"/>
        <v>#NUM!</v>
      </c>
      <c r="V94" s="127"/>
      <c r="W94" s="128">
        <f t="shared" si="78"/>
        <v>710</v>
      </c>
      <c r="X94" s="128">
        <f t="shared" si="78"/>
        <v>64.5</v>
      </c>
      <c r="Y94" s="129">
        <f t="shared" si="42"/>
        <v>581</v>
      </c>
      <c r="Z94" s="122">
        <f t="shared" si="43"/>
        <v>0.75604330658111651</v>
      </c>
      <c r="AA94" s="128">
        <f t="shared" si="69"/>
        <v>2.7</v>
      </c>
      <c r="AB94" s="128">
        <v>1</v>
      </c>
      <c r="AC94" s="129">
        <f t="shared" si="64"/>
        <v>1.2328767123287672</v>
      </c>
      <c r="AD94" s="130">
        <f t="shared" si="70"/>
        <v>0.3</v>
      </c>
      <c r="AE94" s="131">
        <f t="shared" si="65"/>
        <v>0.13698630136986301</v>
      </c>
      <c r="AF94" s="128">
        <f t="shared" si="71"/>
        <v>8.6999999999999994E-2</v>
      </c>
      <c r="AG94" s="121" t="e">
        <f t="shared" si="44"/>
        <v>#NUM!</v>
      </c>
      <c r="AH94" s="125">
        <f t="shared" si="72"/>
        <v>0.8195508933778024</v>
      </c>
      <c r="AI94" s="125">
        <f t="shared" si="73"/>
        <v>2.1491794319490021</v>
      </c>
      <c r="AJ94" s="122">
        <f t="shared" si="74"/>
        <v>9.0765051130463972E-2</v>
      </c>
      <c r="AK94" s="121">
        <f t="shared" si="45"/>
        <v>0.83732782990464338</v>
      </c>
      <c r="AL94" s="121">
        <f t="shared" si="46"/>
        <v>0.91965394349154128</v>
      </c>
      <c r="AM94" s="121">
        <f t="shared" si="47"/>
        <v>0.86597280641296126</v>
      </c>
      <c r="AN94" s="121">
        <f t="shared" si="66"/>
        <v>1.9804403514963009</v>
      </c>
      <c r="AO94" s="121" t="e">
        <f t="shared" si="75"/>
        <v>#NUM!</v>
      </c>
      <c r="AP94" s="121" t="e">
        <f t="shared" si="76"/>
        <v>#NUM!</v>
      </c>
    </row>
    <row r="95" spans="1:42">
      <c r="A95" s="105" t="e">
        <f t="shared" si="48"/>
        <v>#NUM!</v>
      </c>
      <c r="B95" s="106" t="e">
        <f t="shared" si="49"/>
        <v>#NUM!</v>
      </c>
      <c r="C95" s="107" t="e">
        <f t="shared" si="50"/>
        <v>#NUM!</v>
      </c>
      <c r="D95" s="108">
        <f t="shared" si="77"/>
        <v>6.7000000000000004E-2</v>
      </c>
      <c r="E95" s="108">
        <f t="shared" si="77"/>
        <v>1.0999999999999999E-2</v>
      </c>
      <c r="F95" s="108">
        <f t="shared" si="77"/>
        <v>710</v>
      </c>
      <c r="G95" s="108">
        <f t="shared" si="77"/>
        <v>64.5</v>
      </c>
      <c r="H95" s="108">
        <f t="shared" si="77"/>
        <v>0.58099999999999996</v>
      </c>
      <c r="I95" s="113">
        <f t="shared" si="51"/>
        <v>0.7618533065811165</v>
      </c>
      <c r="J95" s="114">
        <f t="shared" si="52"/>
        <v>1.3112793572824726</v>
      </c>
      <c r="K95" s="115" t="e">
        <f t="shared" si="53"/>
        <v>#NUM!</v>
      </c>
      <c r="L95" s="115" t="e">
        <f t="shared" si="54"/>
        <v>#NUM!</v>
      </c>
      <c r="M95" s="112" t="e">
        <f t="shared" si="55"/>
        <v>#NUM!</v>
      </c>
      <c r="N95" s="116" t="e">
        <f t="shared" si="56"/>
        <v>#NUM!</v>
      </c>
      <c r="O95" s="115" t="e">
        <f t="shared" si="57"/>
        <v>#NUM!</v>
      </c>
      <c r="P95" s="117" t="e">
        <f t="shared" si="58"/>
        <v>#NUM!</v>
      </c>
      <c r="Q95" s="115" t="e">
        <f t="shared" si="59"/>
        <v>#NUM!</v>
      </c>
      <c r="R95" s="115" t="e">
        <f t="shared" si="60"/>
        <v>#NUM!</v>
      </c>
      <c r="S95" s="119" t="e">
        <f t="shared" si="61"/>
        <v>#NUM!</v>
      </c>
      <c r="T95" s="119" t="e">
        <f t="shared" si="62"/>
        <v>#NUM!</v>
      </c>
      <c r="U95" s="112" t="e">
        <f t="shared" si="63"/>
        <v>#NUM!</v>
      </c>
      <c r="V95" s="127"/>
      <c r="W95" s="128">
        <f t="shared" si="78"/>
        <v>710</v>
      </c>
      <c r="X95" s="128">
        <f t="shared" si="78"/>
        <v>64.5</v>
      </c>
      <c r="Y95" s="129">
        <f t="shared" si="42"/>
        <v>581</v>
      </c>
      <c r="Z95" s="122">
        <f t="shared" si="43"/>
        <v>0.7618533065811165</v>
      </c>
      <c r="AA95" s="128">
        <f t="shared" si="69"/>
        <v>2.7</v>
      </c>
      <c r="AB95" s="128">
        <v>1</v>
      </c>
      <c r="AC95" s="129">
        <f t="shared" si="64"/>
        <v>1.2328767123287672</v>
      </c>
      <c r="AD95" s="130">
        <f t="shared" si="70"/>
        <v>0.3</v>
      </c>
      <c r="AE95" s="131">
        <f t="shared" si="65"/>
        <v>0.13698630136986301</v>
      </c>
      <c r="AF95" s="128">
        <f t="shared" si="71"/>
        <v>8.6999999999999994E-2</v>
      </c>
      <c r="AG95" s="121" t="e">
        <f t="shared" si="44"/>
        <v>#NUM!</v>
      </c>
      <c r="AH95" s="125">
        <f t="shared" si="72"/>
        <v>0.8195508933778024</v>
      </c>
      <c r="AI95" s="125">
        <f t="shared" si="73"/>
        <v>2.1491794319490021</v>
      </c>
      <c r="AJ95" s="122">
        <f t="shared" si="74"/>
        <v>9.0996960177250882E-2</v>
      </c>
      <c r="AK95" s="121">
        <f t="shared" si="45"/>
        <v>0.83732782990464338</v>
      </c>
      <c r="AL95" s="121">
        <f t="shared" si="46"/>
        <v>0.91965394349154128</v>
      </c>
      <c r="AM95" s="121">
        <f t="shared" si="47"/>
        <v>0.86597280641296126</v>
      </c>
      <c r="AN95" s="121">
        <f t="shared" si="66"/>
        <v>1.9804403514963009</v>
      </c>
      <c r="AO95" s="121" t="e">
        <f t="shared" si="75"/>
        <v>#NUM!</v>
      </c>
      <c r="AP95" s="121" t="e">
        <f t="shared" si="76"/>
        <v>#NUM!</v>
      </c>
    </row>
    <row r="96" spans="1:42">
      <c r="A96" s="105" t="e">
        <f t="shared" si="48"/>
        <v>#NUM!</v>
      </c>
      <c r="B96" s="106" t="e">
        <f t="shared" si="49"/>
        <v>#NUM!</v>
      </c>
      <c r="C96" s="107" t="e">
        <f t="shared" si="50"/>
        <v>#NUM!</v>
      </c>
      <c r="D96" s="108">
        <f t="shared" si="77"/>
        <v>6.7000000000000004E-2</v>
      </c>
      <c r="E96" s="108">
        <f t="shared" si="77"/>
        <v>1.0999999999999999E-2</v>
      </c>
      <c r="F96" s="108">
        <f t="shared" si="77"/>
        <v>710</v>
      </c>
      <c r="G96" s="108">
        <f t="shared" si="77"/>
        <v>64.5</v>
      </c>
      <c r="H96" s="108">
        <f t="shared" si="77"/>
        <v>0.58099999999999996</v>
      </c>
      <c r="I96" s="113">
        <f t="shared" si="51"/>
        <v>0.76766330658111648</v>
      </c>
      <c r="J96" s="114">
        <f t="shared" si="52"/>
        <v>1.3212793572824726</v>
      </c>
      <c r="K96" s="115" t="e">
        <f t="shared" si="53"/>
        <v>#NUM!</v>
      </c>
      <c r="L96" s="115" t="e">
        <f t="shared" si="54"/>
        <v>#NUM!</v>
      </c>
      <c r="M96" s="112" t="e">
        <f t="shared" si="55"/>
        <v>#NUM!</v>
      </c>
      <c r="N96" s="116" t="e">
        <f t="shared" si="56"/>
        <v>#NUM!</v>
      </c>
      <c r="O96" s="115" t="e">
        <f t="shared" si="57"/>
        <v>#NUM!</v>
      </c>
      <c r="P96" s="117" t="e">
        <f t="shared" si="58"/>
        <v>#NUM!</v>
      </c>
      <c r="Q96" s="115" t="e">
        <f t="shared" si="59"/>
        <v>#NUM!</v>
      </c>
      <c r="R96" s="115" t="e">
        <f t="shared" si="60"/>
        <v>#NUM!</v>
      </c>
      <c r="S96" s="119" t="e">
        <f t="shared" si="61"/>
        <v>#NUM!</v>
      </c>
      <c r="T96" s="119" t="e">
        <f t="shared" si="62"/>
        <v>#NUM!</v>
      </c>
      <c r="U96" s="112" t="e">
        <f t="shared" si="63"/>
        <v>#NUM!</v>
      </c>
      <c r="V96" s="127"/>
      <c r="W96" s="128">
        <f>W95</f>
        <v>710</v>
      </c>
      <c r="X96" s="128">
        <f>X95</f>
        <v>64.5</v>
      </c>
      <c r="Y96" s="129">
        <f t="shared" si="42"/>
        <v>581</v>
      </c>
      <c r="Z96" s="122">
        <f t="shared" si="43"/>
        <v>0.76766330658111648</v>
      </c>
      <c r="AA96" s="128">
        <f t="shared" si="69"/>
        <v>2.7</v>
      </c>
      <c r="AB96" s="128">
        <v>1</v>
      </c>
      <c r="AC96" s="129">
        <f t="shared" si="64"/>
        <v>1.2328767123287672</v>
      </c>
      <c r="AD96" s="130">
        <f t="shared" si="70"/>
        <v>0.3</v>
      </c>
      <c r="AE96" s="131">
        <f t="shared" si="65"/>
        <v>0.13698630136986301</v>
      </c>
      <c r="AF96" s="128">
        <f t="shared" si="71"/>
        <v>8.6999999999999994E-2</v>
      </c>
      <c r="AG96" s="121" t="e">
        <f t="shared" si="44"/>
        <v>#NUM!</v>
      </c>
      <c r="AH96" s="125">
        <f t="shared" si="72"/>
        <v>0.8195508933778024</v>
      </c>
      <c r="AI96" s="125">
        <f t="shared" si="73"/>
        <v>2.1491794319490021</v>
      </c>
      <c r="AJ96" s="122">
        <f t="shared" si="74"/>
        <v>9.1227693153753148E-2</v>
      </c>
      <c r="AK96" s="121">
        <f t="shared" si="45"/>
        <v>0.83732782990464338</v>
      </c>
      <c r="AL96" s="121">
        <f t="shared" si="46"/>
        <v>0.91965394349154128</v>
      </c>
      <c r="AM96" s="121">
        <f t="shared" si="47"/>
        <v>0.86597280641296126</v>
      </c>
      <c r="AN96" s="121">
        <f t="shared" si="66"/>
        <v>1.9804403514963009</v>
      </c>
      <c r="AO96" s="121" t="e">
        <f>+AG96/AI96</f>
        <v>#NUM!</v>
      </c>
      <c r="AP96" s="121" t="e">
        <f>+AG96/AN96</f>
        <v>#NUM!</v>
      </c>
    </row>
    <row r="97" spans="1:42">
      <c r="A97" s="105" t="e">
        <f t="shared" si="48"/>
        <v>#NUM!</v>
      </c>
      <c r="B97" s="106" t="e">
        <f t="shared" si="49"/>
        <v>#NUM!</v>
      </c>
      <c r="C97" s="107" t="e">
        <f t="shared" si="50"/>
        <v>#NUM!</v>
      </c>
      <c r="D97" s="108">
        <f t="shared" si="77"/>
        <v>6.7000000000000004E-2</v>
      </c>
      <c r="E97" s="108">
        <f t="shared" si="77"/>
        <v>1.0999999999999999E-2</v>
      </c>
      <c r="F97" s="108">
        <f t="shared" si="77"/>
        <v>710</v>
      </c>
      <c r="G97" s="108">
        <f t="shared" si="77"/>
        <v>64.5</v>
      </c>
      <c r="H97" s="108">
        <f t="shared" si="77"/>
        <v>0.58099999999999996</v>
      </c>
      <c r="I97" s="113">
        <f t="shared" si="51"/>
        <v>0.77347330658111657</v>
      </c>
      <c r="J97" s="114">
        <f t="shared" si="52"/>
        <v>1.3312793572824726</v>
      </c>
      <c r="K97" s="115" t="e">
        <f t="shared" si="53"/>
        <v>#NUM!</v>
      </c>
      <c r="L97" s="115" t="e">
        <f t="shared" si="54"/>
        <v>#NUM!</v>
      </c>
      <c r="M97" s="112" t="e">
        <f t="shared" si="55"/>
        <v>#NUM!</v>
      </c>
      <c r="N97" s="116" t="e">
        <f t="shared" si="56"/>
        <v>#NUM!</v>
      </c>
      <c r="O97" s="115" t="e">
        <f t="shared" si="57"/>
        <v>#NUM!</v>
      </c>
      <c r="P97" s="117" t="e">
        <f t="shared" si="58"/>
        <v>#NUM!</v>
      </c>
      <c r="Q97" s="115" t="e">
        <f t="shared" si="59"/>
        <v>#NUM!</v>
      </c>
      <c r="R97" s="115" t="e">
        <f t="shared" si="60"/>
        <v>#NUM!</v>
      </c>
      <c r="S97" s="119" t="e">
        <f t="shared" si="61"/>
        <v>#NUM!</v>
      </c>
      <c r="T97" s="119" t="e">
        <f t="shared" si="62"/>
        <v>#NUM!</v>
      </c>
      <c r="U97" s="112" t="e">
        <f t="shared" si="63"/>
        <v>#NUM!</v>
      </c>
      <c r="V97" s="127"/>
      <c r="W97" s="128">
        <f t="shared" ref="W97:X104" si="79">W96</f>
        <v>710</v>
      </c>
      <c r="X97" s="128">
        <f t="shared" si="79"/>
        <v>64.5</v>
      </c>
      <c r="Y97" s="129">
        <f t="shared" si="42"/>
        <v>581</v>
      </c>
      <c r="Z97" s="122">
        <f t="shared" si="43"/>
        <v>0.77347330658111657</v>
      </c>
      <c r="AA97" s="128">
        <f t="shared" si="69"/>
        <v>2.7</v>
      </c>
      <c r="AB97" s="128">
        <v>1</v>
      </c>
      <c r="AC97" s="129">
        <f t="shared" si="64"/>
        <v>1.2328767123287672</v>
      </c>
      <c r="AD97" s="130">
        <f t="shared" si="70"/>
        <v>0.3</v>
      </c>
      <c r="AE97" s="131">
        <f t="shared" si="65"/>
        <v>0.13698630136986301</v>
      </c>
      <c r="AF97" s="128">
        <f t="shared" si="71"/>
        <v>8.6999999999999994E-2</v>
      </c>
      <c r="AG97" s="121" t="e">
        <f t="shared" si="44"/>
        <v>#NUM!</v>
      </c>
      <c r="AH97" s="125">
        <f t="shared" si="72"/>
        <v>0.8195508933778024</v>
      </c>
      <c r="AI97" s="125">
        <f t="shared" si="73"/>
        <v>2.1491794319490021</v>
      </c>
      <c r="AJ97" s="122">
        <f t="shared" si="74"/>
        <v>9.1457264857884732E-2</v>
      </c>
      <c r="AK97" s="121">
        <f t="shared" si="45"/>
        <v>0.83732782990464338</v>
      </c>
      <c r="AL97" s="121">
        <f t="shared" si="46"/>
        <v>0.91965394349154128</v>
      </c>
      <c r="AM97" s="121">
        <f t="shared" si="47"/>
        <v>0.86597280641296126</v>
      </c>
      <c r="AN97" s="121">
        <f t="shared" si="66"/>
        <v>1.9804403514963009</v>
      </c>
      <c r="AO97" s="121" t="e">
        <f t="shared" ref="AO97:AO104" si="80">+AG97/AI97</f>
        <v>#NUM!</v>
      </c>
      <c r="AP97" s="121" t="e">
        <f t="shared" ref="AP97:AP104" si="81">+AG97/AN97</f>
        <v>#NUM!</v>
      </c>
    </row>
    <row r="98" spans="1:42">
      <c r="A98" s="105" t="e">
        <f t="shared" si="48"/>
        <v>#NUM!</v>
      </c>
      <c r="B98" s="106" t="e">
        <f t="shared" si="49"/>
        <v>#NUM!</v>
      </c>
      <c r="C98" s="107" t="e">
        <f t="shared" si="50"/>
        <v>#NUM!</v>
      </c>
      <c r="D98" s="108">
        <f t="shared" si="77"/>
        <v>6.7000000000000004E-2</v>
      </c>
      <c r="E98" s="108">
        <f t="shared" si="77"/>
        <v>1.0999999999999999E-2</v>
      </c>
      <c r="F98" s="108">
        <f t="shared" si="77"/>
        <v>710</v>
      </c>
      <c r="G98" s="108">
        <f t="shared" si="77"/>
        <v>64.5</v>
      </c>
      <c r="H98" s="108">
        <f t="shared" si="77"/>
        <v>0.58099999999999996</v>
      </c>
      <c r="I98" s="113">
        <f t="shared" si="51"/>
        <v>0.77928330658111655</v>
      </c>
      <c r="J98" s="114">
        <f t="shared" si="52"/>
        <v>1.3412793572824726</v>
      </c>
      <c r="K98" s="115" t="e">
        <f t="shared" si="53"/>
        <v>#NUM!</v>
      </c>
      <c r="L98" s="115" t="e">
        <f t="shared" si="54"/>
        <v>#NUM!</v>
      </c>
      <c r="M98" s="112" t="e">
        <f t="shared" si="55"/>
        <v>#NUM!</v>
      </c>
      <c r="N98" s="116" t="e">
        <f t="shared" si="56"/>
        <v>#NUM!</v>
      </c>
      <c r="O98" s="115" t="e">
        <f t="shared" si="57"/>
        <v>#NUM!</v>
      </c>
      <c r="P98" s="117" t="e">
        <f t="shared" si="58"/>
        <v>#NUM!</v>
      </c>
      <c r="Q98" s="115" t="e">
        <f t="shared" si="59"/>
        <v>#NUM!</v>
      </c>
      <c r="R98" s="115" t="e">
        <f t="shared" si="60"/>
        <v>#NUM!</v>
      </c>
      <c r="S98" s="119" t="e">
        <f t="shared" si="61"/>
        <v>#NUM!</v>
      </c>
      <c r="T98" s="119" t="e">
        <f t="shared" si="62"/>
        <v>#NUM!</v>
      </c>
      <c r="U98" s="112" t="e">
        <f t="shared" si="63"/>
        <v>#NUM!</v>
      </c>
      <c r="V98" s="127"/>
      <c r="W98" s="128">
        <f t="shared" si="79"/>
        <v>710</v>
      </c>
      <c r="X98" s="128">
        <f t="shared" si="79"/>
        <v>64.5</v>
      </c>
      <c r="Y98" s="129">
        <f t="shared" si="42"/>
        <v>581</v>
      </c>
      <c r="Z98" s="122">
        <f t="shared" si="43"/>
        <v>0.77928330658111655</v>
      </c>
      <c r="AA98" s="128">
        <f t="shared" si="69"/>
        <v>2.7</v>
      </c>
      <c r="AB98" s="128">
        <v>1</v>
      </c>
      <c r="AC98" s="129">
        <f t="shared" si="64"/>
        <v>1.2328767123287672</v>
      </c>
      <c r="AD98" s="130">
        <f t="shared" si="70"/>
        <v>0.3</v>
      </c>
      <c r="AE98" s="131">
        <f t="shared" si="65"/>
        <v>0.13698630136986301</v>
      </c>
      <c r="AF98" s="128">
        <f t="shared" si="71"/>
        <v>8.6999999999999994E-2</v>
      </c>
      <c r="AG98" s="121" t="e">
        <f t="shared" si="44"/>
        <v>#NUM!</v>
      </c>
      <c r="AH98" s="125">
        <f t="shared" si="72"/>
        <v>0.8195508933778024</v>
      </c>
      <c r="AI98" s="125">
        <f t="shared" si="73"/>
        <v>2.1491794319490021</v>
      </c>
      <c r="AJ98" s="122">
        <f t="shared" si="74"/>
        <v>9.1685689791878022E-2</v>
      </c>
      <c r="AK98" s="121">
        <f t="shared" si="45"/>
        <v>0.83732782990464338</v>
      </c>
      <c r="AL98" s="121">
        <f t="shared" si="46"/>
        <v>0.91965394349154128</v>
      </c>
      <c r="AM98" s="121">
        <f t="shared" si="47"/>
        <v>0.86597280641296126</v>
      </c>
      <c r="AN98" s="121">
        <f t="shared" si="66"/>
        <v>1.9804403514963009</v>
      </c>
      <c r="AO98" s="121" t="e">
        <f t="shared" si="80"/>
        <v>#NUM!</v>
      </c>
      <c r="AP98" s="121" t="e">
        <f t="shared" si="81"/>
        <v>#NUM!</v>
      </c>
    </row>
    <row r="99" spans="1:42">
      <c r="A99" s="105" t="e">
        <f t="shared" si="48"/>
        <v>#NUM!</v>
      </c>
      <c r="B99" s="106" t="e">
        <f t="shared" si="49"/>
        <v>#NUM!</v>
      </c>
      <c r="C99" s="107" t="e">
        <f t="shared" si="50"/>
        <v>#NUM!</v>
      </c>
      <c r="D99" s="108">
        <f t="shared" si="77"/>
        <v>6.7000000000000004E-2</v>
      </c>
      <c r="E99" s="108">
        <f t="shared" si="77"/>
        <v>1.0999999999999999E-2</v>
      </c>
      <c r="F99" s="108">
        <f t="shared" si="77"/>
        <v>710</v>
      </c>
      <c r="G99" s="108">
        <f t="shared" si="77"/>
        <v>64.5</v>
      </c>
      <c r="H99" s="108">
        <f t="shared" si="77"/>
        <v>0.58099999999999996</v>
      </c>
      <c r="I99" s="113">
        <f t="shared" si="51"/>
        <v>0.78509330658111653</v>
      </c>
      <c r="J99" s="114">
        <f t="shared" si="52"/>
        <v>1.3512793572824726</v>
      </c>
      <c r="K99" s="115" t="e">
        <f t="shared" si="53"/>
        <v>#NUM!</v>
      </c>
      <c r="L99" s="115" t="e">
        <f t="shared" si="54"/>
        <v>#NUM!</v>
      </c>
      <c r="M99" s="112" t="e">
        <f t="shared" si="55"/>
        <v>#NUM!</v>
      </c>
      <c r="N99" s="116" t="e">
        <f t="shared" si="56"/>
        <v>#NUM!</v>
      </c>
      <c r="O99" s="115" t="e">
        <f t="shared" si="57"/>
        <v>#NUM!</v>
      </c>
      <c r="P99" s="117" t="e">
        <f t="shared" si="58"/>
        <v>#NUM!</v>
      </c>
      <c r="Q99" s="115" t="e">
        <f t="shared" si="59"/>
        <v>#NUM!</v>
      </c>
      <c r="R99" s="115" t="e">
        <f t="shared" si="60"/>
        <v>#NUM!</v>
      </c>
      <c r="S99" s="119" t="e">
        <f t="shared" si="61"/>
        <v>#NUM!</v>
      </c>
      <c r="T99" s="119" t="e">
        <f t="shared" si="62"/>
        <v>#NUM!</v>
      </c>
      <c r="U99" s="112" t="e">
        <f t="shared" si="63"/>
        <v>#NUM!</v>
      </c>
      <c r="V99" s="127"/>
      <c r="W99" s="128">
        <f t="shared" si="79"/>
        <v>710</v>
      </c>
      <c r="X99" s="128">
        <f t="shared" si="79"/>
        <v>64.5</v>
      </c>
      <c r="Y99" s="129">
        <f t="shared" si="42"/>
        <v>581</v>
      </c>
      <c r="Z99" s="122">
        <f t="shared" si="43"/>
        <v>0.78509330658111653</v>
      </c>
      <c r="AA99" s="128">
        <f t="shared" si="69"/>
        <v>2.7</v>
      </c>
      <c r="AB99" s="128">
        <v>1</v>
      </c>
      <c r="AC99" s="129">
        <f t="shared" si="64"/>
        <v>1.2328767123287672</v>
      </c>
      <c r="AD99" s="130">
        <f t="shared" si="70"/>
        <v>0.3</v>
      </c>
      <c r="AE99" s="131">
        <f t="shared" si="65"/>
        <v>0.13698630136986301</v>
      </c>
      <c r="AF99" s="128">
        <f t="shared" si="71"/>
        <v>8.6999999999999994E-2</v>
      </c>
      <c r="AG99" s="121" t="e">
        <f t="shared" si="44"/>
        <v>#NUM!</v>
      </c>
      <c r="AH99" s="125">
        <f t="shared" si="72"/>
        <v>0.8195508933778024</v>
      </c>
      <c r="AI99" s="125">
        <f t="shared" si="73"/>
        <v>2.1491794319490021</v>
      </c>
      <c r="AJ99" s="122">
        <f t="shared" si="74"/>
        <v>9.1912982170347407E-2</v>
      </c>
      <c r="AK99" s="121">
        <f t="shared" si="45"/>
        <v>0.83732782990464338</v>
      </c>
      <c r="AL99" s="121">
        <f t="shared" si="46"/>
        <v>0.91965394349154128</v>
      </c>
      <c r="AM99" s="121">
        <f t="shared" si="47"/>
        <v>0.86597280641296126</v>
      </c>
      <c r="AN99" s="121">
        <f t="shared" si="66"/>
        <v>1.9804403514963009</v>
      </c>
      <c r="AO99" s="121" t="e">
        <f t="shared" si="80"/>
        <v>#NUM!</v>
      </c>
      <c r="AP99" s="121" t="e">
        <f t="shared" si="81"/>
        <v>#NUM!</v>
      </c>
    </row>
    <row r="100" spans="1:42">
      <c r="A100" s="105" t="e">
        <f t="shared" si="48"/>
        <v>#NUM!</v>
      </c>
      <c r="B100" s="106" t="e">
        <f t="shared" si="49"/>
        <v>#NUM!</v>
      </c>
      <c r="C100" s="107" t="e">
        <f t="shared" si="50"/>
        <v>#NUM!</v>
      </c>
      <c r="D100" s="108">
        <f t="shared" si="77"/>
        <v>6.7000000000000004E-2</v>
      </c>
      <c r="E100" s="108">
        <f t="shared" si="77"/>
        <v>1.0999999999999999E-2</v>
      </c>
      <c r="F100" s="108">
        <f t="shared" si="77"/>
        <v>710</v>
      </c>
      <c r="G100" s="108">
        <f t="shared" si="77"/>
        <v>64.5</v>
      </c>
      <c r="H100" s="108">
        <f t="shared" si="77"/>
        <v>0.58099999999999996</v>
      </c>
      <c r="I100" s="113">
        <f t="shared" si="51"/>
        <v>0.79090330658111652</v>
      </c>
      <c r="J100" s="114">
        <f t="shared" si="52"/>
        <v>1.3612793572824726</v>
      </c>
      <c r="K100" s="115" t="e">
        <f t="shared" si="53"/>
        <v>#NUM!</v>
      </c>
      <c r="L100" s="115" t="e">
        <f t="shared" si="54"/>
        <v>#NUM!</v>
      </c>
      <c r="M100" s="112" t="e">
        <f t="shared" si="55"/>
        <v>#NUM!</v>
      </c>
      <c r="N100" s="116" t="e">
        <f t="shared" si="56"/>
        <v>#NUM!</v>
      </c>
      <c r="O100" s="115" t="e">
        <f t="shared" si="57"/>
        <v>#NUM!</v>
      </c>
      <c r="P100" s="117" t="e">
        <f t="shared" si="58"/>
        <v>#NUM!</v>
      </c>
      <c r="Q100" s="115" t="e">
        <f t="shared" si="59"/>
        <v>#NUM!</v>
      </c>
      <c r="R100" s="115" t="e">
        <f t="shared" si="60"/>
        <v>#NUM!</v>
      </c>
      <c r="S100" s="119" t="e">
        <f t="shared" si="61"/>
        <v>#NUM!</v>
      </c>
      <c r="T100" s="119" t="e">
        <f t="shared" si="62"/>
        <v>#NUM!</v>
      </c>
      <c r="U100" s="112" t="e">
        <f t="shared" si="63"/>
        <v>#NUM!</v>
      </c>
      <c r="V100" s="127"/>
      <c r="W100" s="128">
        <f t="shared" si="79"/>
        <v>710</v>
      </c>
      <c r="X100" s="128">
        <f t="shared" si="79"/>
        <v>64.5</v>
      </c>
      <c r="Y100" s="129">
        <f t="shared" si="42"/>
        <v>581</v>
      </c>
      <c r="Z100" s="122">
        <f t="shared" si="43"/>
        <v>0.79090330658111652</v>
      </c>
      <c r="AA100" s="128">
        <f t="shared" si="69"/>
        <v>2.7</v>
      </c>
      <c r="AB100" s="128">
        <v>1</v>
      </c>
      <c r="AC100" s="129">
        <f t="shared" si="64"/>
        <v>1.2328767123287672</v>
      </c>
      <c r="AD100" s="130">
        <f t="shared" si="70"/>
        <v>0.3</v>
      </c>
      <c r="AE100" s="131">
        <f t="shared" si="65"/>
        <v>0.13698630136986301</v>
      </c>
      <c r="AF100" s="128">
        <f t="shared" si="71"/>
        <v>8.6999999999999994E-2</v>
      </c>
      <c r="AG100" s="121" t="e">
        <f t="shared" si="44"/>
        <v>#NUM!</v>
      </c>
      <c r="AH100" s="125">
        <f t="shared" si="72"/>
        <v>0.8195508933778024</v>
      </c>
      <c r="AI100" s="125">
        <f t="shared" si="73"/>
        <v>2.1491794319490021</v>
      </c>
      <c r="AJ100" s="122">
        <f t="shared" si="74"/>
        <v>9.2139155928074534E-2</v>
      </c>
      <c r="AK100" s="121">
        <f t="shared" si="45"/>
        <v>0.83732782990464338</v>
      </c>
      <c r="AL100" s="121">
        <f t="shared" si="46"/>
        <v>0.91965394349154128</v>
      </c>
      <c r="AM100" s="121">
        <f t="shared" si="47"/>
        <v>0.86597280641296126</v>
      </c>
      <c r="AN100" s="121">
        <f t="shared" si="66"/>
        <v>1.9804403514963009</v>
      </c>
      <c r="AO100" s="121" t="e">
        <f t="shared" si="80"/>
        <v>#NUM!</v>
      </c>
      <c r="AP100" s="121" t="e">
        <f t="shared" si="81"/>
        <v>#NUM!</v>
      </c>
    </row>
    <row r="101" spans="1:42">
      <c r="A101" s="105" t="e">
        <f t="shared" si="48"/>
        <v>#NUM!</v>
      </c>
      <c r="B101" s="106" t="e">
        <f t="shared" si="49"/>
        <v>#NUM!</v>
      </c>
      <c r="C101" s="107" t="e">
        <f t="shared" si="50"/>
        <v>#NUM!</v>
      </c>
      <c r="D101" s="108">
        <f t="shared" si="77"/>
        <v>6.7000000000000004E-2</v>
      </c>
      <c r="E101" s="108">
        <f t="shared" si="77"/>
        <v>1.0999999999999999E-2</v>
      </c>
      <c r="F101" s="108">
        <f t="shared" si="77"/>
        <v>710</v>
      </c>
      <c r="G101" s="108">
        <f t="shared" si="77"/>
        <v>64.5</v>
      </c>
      <c r="H101" s="108">
        <f t="shared" si="77"/>
        <v>0.58099999999999996</v>
      </c>
      <c r="I101" s="113">
        <f t="shared" si="51"/>
        <v>0.7967133065811165</v>
      </c>
      <c r="J101" s="114">
        <f t="shared" si="52"/>
        <v>1.3712793572824726</v>
      </c>
      <c r="K101" s="115" t="e">
        <f t="shared" si="53"/>
        <v>#NUM!</v>
      </c>
      <c r="L101" s="115" t="e">
        <f t="shared" si="54"/>
        <v>#NUM!</v>
      </c>
      <c r="M101" s="112" t="e">
        <f t="shared" si="55"/>
        <v>#NUM!</v>
      </c>
      <c r="N101" s="116" t="e">
        <f t="shared" si="56"/>
        <v>#NUM!</v>
      </c>
      <c r="O101" s="115" t="e">
        <f t="shared" si="57"/>
        <v>#NUM!</v>
      </c>
      <c r="P101" s="117" t="e">
        <f t="shared" si="58"/>
        <v>#NUM!</v>
      </c>
      <c r="Q101" s="115" t="e">
        <f t="shared" si="59"/>
        <v>#NUM!</v>
      </c>
      <c r="R101" s="115" t="e">
        <f t="shared" si="60"/>
        <v>#NUM!</v>
      </c>
      <c r="S101" s="119" t="e">
        <f t="shared" si="61"/>
        <v>#NUM!</v>
      </c>
      <c r="T101" s="119" t="e">
        <f t="shared" si="62"/>
        <v>#NUM!</v>
      </c>
      <c r="U101" s="112" t="e">
        <f t="shared" si="63"/>
        <v>#NUM!</v>
      </c>
      <c r="V101" s="127"/>
      <c r="W101" s="128">
        <f t="shared" si="79"/>
        <v>710</v>
      </c>
      <c r="X101" s="128">
        <f t="shared" si="79"/>
        <v>64.5</v>
      </c>
      <c r="Y101" s="129">
        <f t="shared" si="42"/>
        <v>581</v>
      </c>
      <c r="Z101" s="122">
        <f t="shared" si="43"/>
        <v>0.7967133065811165</v>
      </c>
      <c r="AA101" s="128">
        <f t="shared" si="69"/>
        <v>2.7</v>
      </c>
      <c r="AB101" s="128">
        <v>1</v>
      </c>
      <c r="AC101" s="129">
        <f t="shared" si="64"/>
        <v>1.2328767123287672</v>
      </c>
      <c r="AD101" s="130">
        <f t="shared" si="70"/>
        <v>0.3</v>
      </c>
      <c r="AE101" s="131">
        <f t="shared" si="65"/>
        <v>0.13698630136986301</v>
      </c>
      <c r="AF101" s="128">
        <f t="shared" si="71"/>
        <v>8.6999999999999994E-2</v>
      </c>
      <c r="AG101" s="121" t="e">
        <f t="shared" si="44"/>
        <v>#NUM!</v>
      </c>
      <c r="AH101" s="125">
        <f t="shared" si="72"/>
        <v>0.8195508933778024</v>
      </c>
      <c r="AI101" s="125">
        <f t="shared" si="73"/>
        <v>2.1491794319490021</v>
      </c>
      <c r="AJ101" s="122">
        <f t="shared" si="74"/>
        <v>9.2364224727527644E-2</v>
      </c>
      <c r="AK101" s="121">
        <f t="shared" si="45"/>
        <v>0.83732782990464338</v>
      </c>
      <c r="AL101" s="121">
        <f t="shared" si="46"/>
        <v>0.91965394349154128</v>
      </c>
      <c r="AM101" s="121">
        <f t="shared" si="47"/>
        <v>0.86597280641296126</v>
      </c>
      <c r="AN101" s="121">
        <f t="shared" si="66"/>
        <v>1.9804403514963009</v>
      </c>
      <c r="AO101" s="121" t="e">
        <f t="shared" si="80"/>
        <v>#NUM!</v>
      </c>
      <c r="AP101" s="121" t="e">
        <f t="shared" si="81"/>
        <v>#NUM!</v>
      </c>
    </row>
    <row r="102" spans="1:42">
      <c r="A102" s="105" t="e">
        <f t="shared" si="48"/>
        <v>#NUM!</v>
      </c>
      <c r="B102" s="106" t="e">
        <f t="shared" si="49"/>
        <v>#NUM!</v>
      </c>
      <c r="C102" s="107" t="e">
        <f t="shared" si="50"/>
        <v>#NUM!</v>
      </c>
      <c r="D102" s="108">
        <f t="shared" si="77"/>
        <v>6.7000000000000004E-2</v>
      </c>
      <c r="E102" s="108">
        <f t="shared" si="77"/>
        <v>1.0999999999999999E-2</v>
      </c>
      <c r="F102" s="108">
        <f t="shared" si="77"/>
        <v>710</v>
      </c>
      <c r="G102" s="108">
        <f t="shared" si="77"/>
        <v>64.5</v>
      </c>
      <c r="H102" s="108">
        <f t="shared" si="77"/>
        <v>0.58099999999999996</v>
      </c>
      <c r="I102" s="113">
        <f t="shared" si="51"/>
        <v>0.80252330658111659</v>
      </c>
      <c r="J102" s="114">
        <f t="shared" si="52"/>
        <v>1.3812793572824726</v>
      </c>
      <c r="K102" s="115" t="e">
        <f t="shared" si="53"/>
        <v>#NUM!</v>
      </c>
      <c r="L102" s="115" t="e">
        <f t="shared" si="54"/>
        <v>#NUM!</v>
      </c>
      <c r="M102" s="112" t="e">
        <f t="shared" si="55"/>
        <v>#NUM!</v>
      </c>
      <c r="N102" s="116" t="e">
        <f t="shared" si="56"/>
        <v>#NUM!</v>
      </c>
      <c r="O102" s="115" t="e">
        <f t="shared" si="57"/>
        <v>#NUM!</v>
      </c>
      <c r="P102" s="117" t="e">
        <f t="shared" si="58"/>
        <v>#NUM!</v>
      </c>
      <c r="Q102" s="115" t="e">
        <f t="shared" si="59"/>
        <v>#NUM!</v>
      </c>
      <c r="R102" s="115" t="e">
        <f t="shared" si="60"/>
        <v>#NUM!</v>
      </c>
      <c r="S102" s="119" t="e">
        <f t="shared" si="61"/>
        <v>#NUM!</v>
      </c>
      <c r="T102" s="119" t="e">
        <f t="shared" si="62"/>
        <v>#NUM!</v>
      </c>
      <c r="U102" s="112" t="e">
        <f t="shared" si="63"/>
        <v>#NUM!</v>
      </c>
      <c r="V102" s="127"/>
      <c r="W102" s="128">
        <f t="shared" si="79"/>
        <v>710</v>
      </c>
      <c r="X102" s="128">
        <f t="shared" si="79"/>
        <v>64.5</v>
      </c>
      <c r="Y102" s="129">
        <f t="shared" si="42"/>
        <v>581</v>
      </c>
      <c r="Z102" s="122">
        <f t="shared" si="43"/>
        <v>0.80252330658111659</v>
      </c>
      <c r="AA102" s="128">
        <f t="shared" si="69"/>
        <v>2.7</v>
      </c>
      <c r="AB102" s="128">
        <v>1</v>
      </c>
      <c r="AC102" s="129">
        <f t="shared" si="64"/>
        <v>1.2328767123287672</v>
      </c>
      <c r="AD102" s="130">
        <f t="shared" si="70"/>
        <v>0.3</v>
      </c>
      <c r="AE102" s="131">
        <f t="shared" si="65"/>
        <v>0.13698630136986301</v>
      </c>
      <c r="AF102" s="128">
        <f t="shared" si="71"/>
        <v>8.6999999999999994E-2</v>
      </c>
      <c r="AG102" s="121" t="e">
        <f t="shared" si="44"/>
        <v>#NUM!</v>
      </c>
      <c r="AH102" s="125">
        <f t="shared" si="72"/>
        <v>0.8195508933778024</v>
      </c>
      <c r="AI102" s="125">
        <f t="shared" si="73"/>
        <v>2.1491794319490021</v>
      </c>
      <c r="AJ102" s="122">
        <f t="shared" si="74"/>
        <v>9.258820196612548E-2</v>
      </c>
      <c r="AK102" s="121">
        <f t="shared" si="45"/>
        <v>0.83732782990464338</v>
      </c>
      <c r="AL102" s="121">
        <f t="shared" si="46"/>
        <v>0.91965394349154128</v>
      </c>
      <c r="AM102" s="121">
        <f t="shared" si="47"/>
        <v>0.86597280641296126</v>
      </c>
      <c r="AN102" s="121">
        <f t="shared" si="66"/>
        <v>1.9804403514963009</v>
      </c>
      <c r="AO102" s="121" t="e">
        <f t="shared" si="80"/>
        <v>#NUM!</v>
      </c>
      <c r="AP102" s="121" t="e">
        <f t="shared" si="81"/>
        <v>#NUM!</v>
      </c>
    </row>
    <row r="103" spans="1:42">
      <c r="A103" s="105" t="e">
        <f t="shared" si="48"/>
        <v>#NUM!</v>
      </c>
      <c r="B103" s="106" t="e">
        <f t="shared" si="49"/>
        <v>#NUM!</v>
      </c>
      <c r="C103" s="107" t="e">
        <f t="shared" si="50"/>
        <v>#NUM!</v>
      </c>
      <c r="D103" s="108">
        <f t="shared" ref="D103:H104" si="82">D102</f>
        <v>6.7000000000000004E-2</v>
      </c>
      <c r="E103" s="108">
        <f t="shared" si="82"/>
        <v>1.0999999999999999E-2</v>
      </c>
      <c r="F103" s="108">
        <f t="shared" si="82"/>
        <v>710</v>
      </c>
      <c r="G103" s="108">
        <f t="shared" si="82"/>
        <v>64.5</v>
      </c>
      <c r="H103" s="108">
        <f t="shared" si="82"/>
        <v>0.58099999999999996</v>
      </c>
      <c r="I103" s="113">
        <f t="shared" si="51"/>
        <v>0.80833330658111657</v>
      </c>
      <c r="J103" s="114">
        <f t="shared" si="52"/>
        <v>1.3912793572824727</v>
      </c>
      <c r="K103" s="115" t="e">
        <f t="shared" si="53"/>
        <v>#NUM!</v>
      </c>
      <c r="L103" s="115" t="e">
        <f t="shared" si="54"/>
        <v>#NUM!</v>
      </c>
      <c r="M103" s="112" t="e">
        <f t="shared" si="55"/>
        <v>#NUM!</v>
      </c>
      <c r="N103" s="116" t="e">
        <f t="shared" si="56"/>
        <v>#NUM!</v>
      </c>
      <c r="O103" s="115" t="e">
        <f t="shared" si="57"/>
        <v>#NUM!</v>
      </c>
      <c r="P103" s="117" t="e">
        <f t="shared" si="58"/>
        <v>#NUM!</v>
      </c>
      <c r="Q103" s="115" t="e">
        <f t="shared" si="59"/>
        <v>#NUM!</v>
      </c>
      <c r="R103" s="115" t="e">
        <f t="shared" si="60"/>
        <v>#NUM!</v>
      </c>
      <c r="S103" s="119" t="e">
        <f t="shared" si="61"/>
        <v>#NUM!</v>
      </c>
      <c r="T103" s="119" t="e">
        <f t="shared" si="62"/>
        <v>#NUM!</v>
      </c>
      <c r="U103" s="112" t="e">
        <f t="shared" si="63"/>
        <v>#NUM!</v>
      </c>
      <c r="V103" s="127"/>
      <c r="W103" s="128">
        <f t="shared" si="79"/>
        <v>710</v>
      </c>
      <c r="X103" s="128">
        <f t="shared" si="79"/>
        <v>64.5</v>
      </c>
      <c r="Y103" s="129">
        <f t="shared" si="42"/>
        <v>581</v>
      </c>
      <c r="Z103" s="122">
        <f t="shared" si="43"/>
        <v>0.80833330658111657</v>
      </c>
      <c r="AA103" s="128">
        <f t="shared" si="69"/>
        <v>2.7</v>
      </c>
      <c r="AB103" s="128">
        <v>1</v>
      </c>
      <c r="AC103" s="129">
        <f t="shared" si="64"/>
        <v>1.2328767123287672</v>
      </c>
      <c r="AD103" s="130">
        <f t="shared" si="70"/>
        <v>0.3</v>
      </c>
      <c r="AE103" s="131">
        <f t="shared" si="65"/>
        <v>0.13698630136986301</v>
      </c>
      <c r="AF103" s="128">
        <f t="shared" si="71"/>
        <v>8.6999999999999994E-2</v>
      </c>
      <c r="AG103" s="121" t="e">
        <f t="shared" si="44"/>
        <v>#NUM!</v>
      </c>
      <c r="AH103" s="125">
        <f t="shared" si="72"/>
        <v>0.8195508933778024</v>
      </c>
      <c r="AI103" s="125">
        <f t="shared" si="73"/>
        <v>2.1491794319490021</v>
      </c>
      <c r="AJ103" s="122">
        <f t="shared" si="74"/>
        <v>9.2811100783256301E-2</v>
      </c>
      <c r="AK103" s="121">
        <f t="shared" si="45"/>
        <v>0.83732782990464338</v>
      </c>
      <c r="AL103" s="121">
        <f t="shared" si="46"/>
        <v>0.91965394349154128</v>
      </c>
      <c r="AM103" s="121">
        <f t="shared" si="47"/>
        <v>0.86597280641296126</v>
      </c>
      <c r="AN103" s="121">
        <f t="shared" si="66"/>
        <v>1.9804403514963009</v>
      </c>
      <c r="AO103" s="121" t="e">
        <f t="shared" si="80"/>
        <v>#NUM!</v>
      </c>
      <c r="AP103" s="121" t="e">
        <f t="shared" si="81"/>
        <v>#NUM!</v>
      </c>
    </row>
    <row r="104" spans="1:42">
      <c r="A104" s="105" t="e">
        <f t="shared" si="48"/>
        <v>#NUM!</v>
      </c>
      <c r="B104" s="106" t="e">
        <f t="shared" si="49"/>
        <v>#NUM!</v>
      </c>
      <c r="C104" s="107" t="e">
        <f t="shared" si="50"/>
        <v>#NUM!</v>
      </c>
      <c r="D104" s="108">
        <f t="shared" si="82"/>
        <v>6.7000000000000004E-2</v>
      </c>
      <c r="E104" s="108">
        <f t="shared" si="82"/>
        <v>1.0999999999999999E-2</v>
      </c>
      <c r="F104" s="108">
        <f t="shared" si="82"/>
        <v>710</v>
      </c>
      <c r="G104" s="108">
        <f t="shared" si="82"/>
        <v>64.5</v>
      </c>
      <c r="H104" s="108">
        <f t="shared" si="82"/>
        <v>0.58099999999999996</v>
      </c>
      <c r="I104" s="113">
        <f t="shared" si="51"/>
        <v>0.81414330658111655</v>
      </c>
      <c r="J104" s="114">
        <f t="shared" si="52"/>
        <v>1.4012793572824727</v>
      </c>
      <c r="K104" s="115" t="e">
        <f t="shared" si="53"/>
        <v>#NUM!</v>
      </c>
      <c r="L104" s="115" t="e">
        <f t="shared" si="54"/>
        <v>#NUM!</v>
      </c>
      <c r="M104" s="112" t="e">
        <f t="shared" si="55"/>
        <v>#NUM!</v>
      </c>
      <c r="N104" s="116" t="e">
        <f t="shared" si="56"/>
        <v>#NUM!</v>
      </c>
      <c r="O104" s="115" t="e">
        <f t="shared" si="57"/>
        <v>#NUM!</v>
      </c>
      <c r="P104" s="117" t="e">
        <f t="shared" si="58"/>
        <v>#NUM!</v>
      </c>
      <c r="Q104" s="115" t="e">
        <f t="shared" si="59"/>
        <v>#NUM!</v>
      </c>
      <c r="R104" s="115" t="e">
        <f t="shared" si="60"/>
        <v>#NUM!</v>
      </c>
      <c r="S104" s="119" t="e">
        <f t="shared" si="61"/>
        <v>#NUM!</v>
      </c>
      <c r="T104" s="119" t="e">
        <f t="shared" si="62"/>
        <v>#NUM!</v>
      </c>
      <c r="U104" s="112" t="e">
        <f t="shared" si="63"/>
        <v>#NUM!</v>
      </c>
      <c r="V104" s="127"/>
      <c r="W104" s="128">
        <f t="shared" si="79"/>
        <v>710</v>
      </c>
      <c r="X104" s="128">
        <f t="shared" si="79"/>
        <v>64.5</v>
      </c>
      <c r="Y104" s="129">
        <f t="shared" si="42"/>
        <v>581</v>
      </c>
      <c r="Z104" s="122">
        <f t="shared" si="43"/>
        <v>0.81414330658111655</v>
      </c>
      <c r="AA104" s="128">
        <f t="shared" si="69"/>
        <v>2.7</v>
      </c>
      <c r="AB104" s="128">
        <v>1</v>
      </c>
      <c r="AC104" s="129">
        <f t="shared" si="64"/>
        <v>1.2328767123287672</v>
      </c>
      <c r="AD104" s="130">
        <f t="shared" si="70"/>
        <v>0.3</v>
      </c>
      <c r="AE104" s="131">
        <f t="shared" si="65"/>
        <v>0.13698630136986301</v>
      </c>
      <c r="AF104" s="128">
        <f t="shared" si="71"/>
        <v>8.6999999999999994E-2</v>
      </c>
      <c r="AG104" s="121" t="e">
        <f t="shared" si="44"/>
        <v>#NUM!</v>
      </c>
      <c r="AH104" s="125">
        <f t="shared" si="72"/>
        <v>0.8195508933778024</v>
      </c>
      <c r="AI104" s="125">
        <f t="shared" si="73"/>
        <v>2.1491794319490021</v>
      </c>
      <c r="AJ104" s="122">
        <f t="shared" si="74"/>
        <v>9.3032934067062242E-2</v>
      </c>
      <c r="AK104" s="121">
        <f t="shared" si="45"/>
        <v>0.83732782990464338</v>
      </c>
      <c r="AL104" s="121">
        <f t="shared" si="46"/>
        <v>0.91965394349154128</v>
      </c>
      <c r="AM104" s="121">
        <f t="shared" si="47"/>
        <v>0.86597280641296126</v>
      </c>
      <c r="AN104" s="121">
        <f t="shared" si="66"/>
        <v>1.9804403514963009</v>
      </c>
      <c r="AO104" s="121" t="e">
        <f t="shared" si="80"/>
        <v>#NUM!</v>
      </c>
      <c r="AP104" s="121" t="e">
        <f t="shared" si="81"/>
        <v>#NUM!</v>
      </c>
    </row>
  </sheetData>
  <mergeCells count="5">
    <mergeCell ref="B2:E2"/>
    <mergeCell ref="F2:H2"/>
    <mergeCell ref="I2:O2"/>
    <mergeCell ref="P2:R2"/>
    <mergeCell ref="S2:U2"/>
  </mergeCells>
  <conditionalFormatting sqref="Q5:Q104">
    <cfRule type="cellIs" dxfId="0" priority="1" stopIfTrue="1" operator="greater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47"/>
  <sheetViews>
    <sheetView workbookViewId="0">
      <selection activeCell="G16" sqref="G16"/>
    </sheetView>
  </sheetViews>
  <sheetFormatPr defaultColWidth="11.42578125" defaultRowHeight="15"/>
  <sheetData>
    <row r="2" spans="1:18">
      <c r="A2" t="s">
        <v>239</v>
      </c>
      <c r="B2" t="s">
        <v>240</v>
      </c>
      <c r="C2" t="s">
        <v>241</v>
      </c>
      <c r="D2" t="s">
        <v>242</v>
      </c>
      <c r="E2" t="s">
        <v>90</v>
      </c>
      <c r="F2" t="s">
        <v>93</v>
      </c>
      <c r="G2" t="s">
        <v>125</v>
      </c>
      <c r="L2" t="s">
        <v>239</v>
      </c>
      <c r="M2" t="s">
        <v>240</v>
      </c>
      <c r="N2" t="s">
        <v>241</v>
      </c>
      <c r="O2" t="s">
        <v>242</v>
      </c>
      <c r="P2" t="s">
        <v>90</v>
      </c>
      <c r="Q2" t="s">
        <v>93</v>
      </c>
      <c r="R2" t="s">
        <v>125</v>
      </c>
    </row>
    <row r="3" spans="1:18">
      <c r="A3" s="152">
        <v>0</v>
      </c>
      <c r="B3" s="152">
        <v>802.35</v>
      </c>
      <c r="C3" s="152" t="s">
        <v>140</v>
      </c>
      <c r="D3" s="153">
        <v>6</v>
      </c>
      <c r="E3" s="154">
        <v>500</v>
      </c>
      <c r="F3" s="155">
        <f>E3-2*G3</f>
        <v>461.8</v>
      </c>
      <c r="G3" s="155">
        <v>19.100000000000001</v>
      </c>
      <c r="I3" s="152"/>
      <c r="J3" s="152"/>
      <c r="L3" s="152">
        <v>0</v>
      </c>
      <c r="M3" s="152">
        <v>812</v>
      </c>
      <c r="N3" s="152" t="s">
        <v>140</v>
      </c>
      <c r="O3" s="153">
        <v>16</v>
      </c>
      <c r="P3" s="154">
        <v>710</v>
      </c>
      <c r="Q3" s="155">
        <f t="shared" ref="Q3" si="0">P3-2*R3</f>
        <v>581</v>
      </c>
      <c r="R3" s="155">
        <v>64.5</v>
      </c>
    </row>
    <row r="4" spans="1:18">
      <c r="A4" s="152">
        <v>40</v>
      </c>
      <c r="B4" s="152">
        <v>801.15</v>
      </c>
      <c r="C4" s="152" t="s">
        <v>140</v>
      </c>
      <c r="D4" s="153">
        <v>6</v>
      </c>
      <c r="E4" s="154">
        <v>500</v>
      </c>
      <c r="F4" s="155">
        <f>E4-2*G4</f>
        <v>461.8</v>
      </c>
      <c r="G4" s="155">
        <v>19.100000000000001</v>
      </c>
      <c r="I4" s="152"/>
      <c r="J4" s="152"/>
      <c r="L4" s="152">
        <v>20</v>
      </c>
      <c r="M4" s="152">
        <v>811.78</v>
      </c>
      <c r="N4" s="152" t="s">
        <v>140</v>
      </c>
      <c r="O4" s="153">
        <v>16</v>
      </c>
      <c r="P4" s="154">
        <v>710</v>
      </c>
      <c r="Q4" s="155">
        <f t="shared" ref="Q4:Q46" si="1">P4-2*R4</f>
        <v>579</v>
      </c>
      <c r="R4" s="155">
        <v>65.5</v>
      </c>
    </row>
    <row r="5" spans="1:18">
      <c r="A5" s="152">
        <v>69.77</v>
      </c>
      <c r="B5" s="152">
        <v>800.26</v>
      </c>
      <c r="C5" s="152" t="s">
        <v>140</v>
      </c>
      <c r="D5" s="153">
        <v>10</v>
      </c>
      <c r="E5" s="154">
        <v>450</v>
      </c>
      <c r="F5" s="155">
        <f>E5-2*G5</f>
        <v>396.6</v>
      </c>
      <c r="G5" s="155">
        <v>26.7</v>
      </c>
      <c r="I5" s="152"/>
      <c r="J5" s="152"/>
      <c r="L5" s="152">
        <v>40</v>
      </c>
      <c r="M5" s="152">
        <v>811.56</v>
      </c>
      <c r="N5" s="152" t="s">
        <v>140</v>
      </c>
      <c r="O5" s="153">
        <v>16</v>
      </c>
      <c r="P5" s="154">
        <v>710</v>
      </c>
      <c r="Q5" s="155">
        <f t="shared" si="1"/>
        <v>577</v>
      </c>
      <c r="R5" s="155">
        <v>66.5</v>
      </c>
    </row>
    <row r="6" spans="1:18">
      <c r="A6" s="152">
        <v>69.819999999999993</v>
      </c>
      <c r="B6" s="152">
        <v>791.2</v>
      </c>
      <c r="C6" s="152" t="s">
        <v>140</v>
      </c>
      <c r="D6" s="153">
        <v>10</v>
      </c>
      <c r="E6" s="154">
        <v>450</v>
      </c>
      <c r="F6" s="155">
        <f>E6-2*G6</f>
        <v>396.6</v>
      </c>
      <c r="G6" s="155">
        <v>26.7</v>
      </c>
      <c r="I6" s="152"/>
      <c r="J6" s="152"/>
      <c r="L6" s="152">
        <v>60</v>
      </c>
      <c r="M6" s="152">
        <v>811.34</v>
      </c>
      <c r="N6" s="152" t="s">
        <v>140</v>
      </c>
      <c r="O6" s="153">
        <v>16</v>
      </c>
      <c r="P6" s="154">
        <v>710</v>
      </c>
      <c r="Q6" s="155">
        <f t="shared" si="1"/>
        <v>575</v>
      </c>
      <c r="R6" s="155">
        <v>67.5</v>
      </c>
    </row>
    <row r="7" spans="1:18">
      <c r="A7" s="152">
        <v>77.66</v>
      </c>
      <c r="B7" s="152">
        <v>790.96</v>
      </c>
      <c r="C7" s="152" t="s">
        <v>140</v>
      </c>
      <c r="D7" s="153">
        <v>10</v>
      </c>
      <c r="E7" s="154">
        <v>450</v>
      </c>
      <c r="F7" s="155">
        <f>E7-2*G7</f>
        <v>396.6</v>
      </c>
      <c r="G7" s="155">
        <v>26.7</v>
      </c>
      <c r="I7" s="152"/>
      <c r="J7" s="152"/>
      <c r="L7" s="152">
        <v>80</v>
      </c>
      <c r="M7" s="152">
        <v>811.12</v>
      </c>
      <c r="N7" s="152" t="s">
        <v>140</v>
      </c>
      <c r="O7" s="153">
        <v>16</v>
      </c>
      <c r="P7" s="154">
        <v>710</v>
      </c>
      <c r="Q7" s="155">
        <f t="shared" si="1"/>
        <v>573</v>
      </c>
      <c r="R7" s="155">
        <v>68.5</v>
      </c>
    </row>
    <row r="8" spans="1:18">
      <c r="A8" s="152">
        <v>95.62</v>
      </c>
      <c r="B8" s="152">
        <v>783.1</v>
      </c>
      <c r="C8" s="152" t="s">
        <v>140</v>
      </c>
      <c r="D8" s="153">
        <v>16</v>
      </c>
      <c r="E8" s="154">
        <v>710</v>
      </c>
      <c r="F8" s="155">
        <f t="shared" ref="F8:F22" si="2">E8-2*G8</f>
        <v>581</v>
      </c>
      <c r="G8" s="155">
        <v>64.5</v>
      </c>
      <c r="I8" s="152"/>
      <c r="J8" s="152"/>
      <c r="L8" s="152">
        <v>100</v>
      </c>
      <c r="M8" s="152">
        <v>810.9</v>
      </c>
      <c r="N8" s="152" t="s">
        <v>140</v>
      </c>
      <c r="O8" s="153">
        <v>16</v>
      </c>
      <c r="P8" s="154">
        <v>710</v>
      </c>
      <c r="Q8" s="155">
        <f t="shared" si="1"/>
        <v>571</v>
      </c>
      <c r="R8" s="155">
        <v>69.5</v>
      </c>
    </row>
    <row r="9" spans="1:18">
      <c r="A9" s="152">
        <v>198.15</v>
      </c>
      <c r="B9" s="152">
        <v>782.08</v>
      </c>
      <c r="C9" s="152" t="s">
        <v>140</v>
      </c>
      <c r="D9" s="153">
        <v>16</v>
      </c>
      <c r="E9" s="154">
        <v>710</v>
      </c>
      <c r="F9" s="155">
        <f t="shared" si="2"/>
        <v>581</v>
      </c>
      <c r="G9" s="155">
        <v>64.5</v>
      </c>
      <c r="I9" s="152"/>
      <c r="J9" s="152"/>
      <c r="L9" s="152">
        <v>120</v>
      </c>
      <c r="M9" s="152">
        <v>810.68</v>
      </c>
      <c r="N9" s="152" t="s">
        <v>140</v>
      </c>
      <c r="O9" s="153">
        <v>16</v>
      </c>
      <c r="P9" s="154">
        <v>710</v>
      </c>
      <c r="Q9" s="155">
        <f t="shared" si="1"/>
        <v>569</v>
      </c>
      <c r="R9" s="155">
        <v>70.5</v>
      </c>
    </row>
    <row r="10" spans="1:18">
      <c r="A10" s="152">
        <v>217.02</v>
      </c>
      <c r="B10" s="152">
        <v>773.99</v>
      </c>
      <c r="C10" s="152" t="s">
        <v>140</v>
      </c>
      <c r="D10" s="153">
        <v>16</v>
      </c>
      <c r="E10" s="154">
        <v>710</v>
      </c>
      <c r="F10" s="155">
        <f t="shared" si="2"/>
        <v>581</v>
      </c>
      <c r="G10" s="155">
        <v>64.5</v>
      </c>
      <c r="I10" s="152">
        <f t="shared" ref="I10:J10" si="3">L3</f>
        <v>0</v>
      </c>
      <c r="J10" s="152">
        <f t="shared" si="3"/>
        <v>812</v>
      </c>
      <c r="L10" s="152">
        <v>140</v>
      </c>
      <c r="M10" s="152">
        <v>810.46</v>
      </c>
      <c r="N10" s="152" t="s">
        <v>140</v>
      </c>
      <c r="O10" s="153">
        <v>16</v>
      </c>
      <c r="P10" s="154">
        <v>710</v>
      </c>
      <c r="Q10" s="155">
        <f t="shared" si="1"/>
        <v>567</v>
      </c>
      <c r="R10" s="155">
        <v>71.5</v>
      </c>
    </row>
    <row r="11" spans="1:18">
      <c r="A11" s="152">
        <v>309.56</v>
      </c>
      <c r="B11" s="152">
        <v>773.06</v>
      </c>
      <c r="C11" s="152" t="s">
        <v>140</v>
      </c>
      <c r="D11" s="153">
        <v>16</v>
      </c>
      <c r="E11" s="154">
        <v>710</v>
      </c>
      <c r="F11" s="155">
        <f t="shared" si="2"/>
        <v>581</v>
      </c>
      <c r="G11" s="155">
        <v>64.5</v>
      </c>
      <c r="I11" s="152">
        <f t="shared" ref="I11:J11" si="4">L4</f>
        <v>20</v>
      </c>
      <c r="J11" s="152">
        <f t="shared" si="4"/>
        <v>811.78</v>
      </c>
      <c r="L11" s="152">
        <v>160</v>
      </c>
      <c r="M11" s="152">
        <v>810.24</v>
      </c>
      <c r="N11" s="152" t="s">
        <v>140</v>
      </c>
      <c r="O11" s="153">
        <v>16</v>
      </c>
      <c r="P11" s="154">
        <v>710</v>
      </c>
      <c r="Q11" s="155">
        <f t="shared" si="1"/>
        <v>565</v>
      </c>
      <c r="R11" s="155">
        <v>72.5</v>
      </c>
    </row>
    <row r="12" spans="1:18">
      <c r="A12" s="152">
        <v>322.89</v>
      </c>
      <c r="B12" s="152">
        <v>770.35</v>
      </c>
      <c r="C12" s="152" t="s">
        <v>140</v>
      </c>
      <c r="D12" s="153">
        <v>16</v>
      </c>
      <c r="E12" s="154">
        <v>710</v>
      </c>
      <c r="F12" s="155">
        <f t="shared" si="2"/>
        <v>581</v>
      </c>
      <c r="G12" s="155">
        <v>64.5</v>
      </c>
      <c r="I12" s="152">
        <f t="shared" ref="I12:J12" si="5">L5</f>
        <v>40</v>
      </c>
      <c r="J12" s="152">
        <f t="shared" si="5"/>
        <v>811.56</v>
      </c>
      <c r="L12" s="152">
        <v>180</v>
      </c>
      <c r="M12" s="152">
        <v>810.02</v>
      </c>
      <c r="N12" s="152" t="s">
        <v>140</v>
      </c>
      <c r="O12" s="153">
        <v>16</v>
      </c>
      <c r="P12" s="154">
        <v>710</v>
      </c>
      <c r="Q12" s="155">
        <f t="shared" si="1"/>
        <v>563</v>
      </c>
      <c r="R12" s="155">
        <v>73.5</v>
      </c>
    </row>
    <row r="13" spans="1:18">
      <c r="A13" s="152">
        <v>359.56</v>
      </c>
      <c r="B13" s="152">
        <v>769.98</v>
      </c>
      <c r="C13" s="152" t="s">
        <v>140</v>
      </c>
      <c r="D13" s="153">
        <v>16</v>
      </c>
      <c r="E13" s="154">
        <v>710</v>
      </c>
      <c r="F13" s="155">
        <f t="shared" si="2"/>
        <v>581</v>
      </c>
      <c r="G13" s="155">
        <v>64.5</v>
      </c>
      <c r="I13" s="152">
        <f t="shared" ref="I13:J13" si="6">L6</f>
        <v>60</v>
      </c>
      <c r="J13" s="152">
        <f t="shared" si="6"/>
        <v>811.34</v>
      </c>
      <c r="L13" s="152">
        <v>200</v>
      </c>
      <c r="M13" s="152">
        <v>809.8</v>
      </c>
      <c r="N13" s="152" t="s">
        <v>140</v>
      </c>
      <c r="O13" s="153">
        <v>16</v>
      </c>
      <c r="P13" s="154">
        <v>710</v>
      </c>
      <c r="Q13" s="155">
        <f t="shared" si="1"/>
        <v>561</v>
      </c>
      <c r="R13" s="155">
        <v>74.5</v>
      </c>
    </row>
    <row r="14" spans="1:18">
      <c r="A14" s="156">
        <v>388.75</v>
      </c>
      <c r="B14" s="156">
        <v>763.58</v>
      </c>
      <c r="C14" s="152" t="s">
        <v>140</v>
      </c>
      <c r="D14" s="153">
        <v>16</v>
      </c>
      <c r="E14" s="157">
        <v>710</v>
      </c>
      <c r="F14" s="158">
        <f t="shared" si="2"/>
        <v>581</v>
      </c>
      <c r="G14" s="155">
        <v>64.5</v>
      </c>
      <c r="I14" s="152">
        <f t="shared" ref="I14:J14" si="7">L7</f>
        <v>80</v>
      </c>
      <c r="J14" s="152">
        <f t="shared" si="7"/>
        <v>811.12</v>
      </c>
      <c r="L14" s="152">
        <v>220</v>
      </c>
      <c r="M14" s="152">
        <v>809.58</v>
      </c>
      <c r="N14" s="152" t="s">
        <v>140</v>
      </c>
      <c r="O14" s="153">
        <v>16</v>
      </c>
      <c r="P14" s="154">
        <v>710</v>
      </c>
      <c r="Q14" s="155">
        <f t="shared" si="1"/>
        <v>559</v>
      </c>
      <c r="R14" s="155">
        <v>75.5</v>
      </c>
    </row>
    <row r="15" spans="1:18">
      <c r="A15" s="156">
        <v>400.62</v>
      </c>
      <c r="B15" s="156">
        <v>757.55</v>
      </c>
      <c r="C15" s="152" t="s">
        <v>140</v>
      </c>
      <c r="D15" s="153">
        <v>16</v>
      </c>
      <c r="E15" s="157">
        <v>710</v>
      </c>
      <c r="F15" s="158">
        <f t="shared" si="2"/>
        <v>581</v>
      </c>
      <c r="G15" s="155">
        <v>64.5</v>
      </c>
      <c r="I15" s="152">
        <f t="shared" ref="I15:J15" si="8">L8</f>
        <v>100</v>
      </c>
      <c r="J15" s="152">
        <f t="shared" si="8"/>
        <v>810.9</v>
      </c>
      <c r="L15" s="152">
        <v>240</v>
      </c>
      <c r="M15" s="152">
        <v>809.36</v>
      </c>
      <c r="N15" s="152" t="s">
        <v>140</v>
      </c>
      <c r="O15" s="153">
        <v>16</v>
      </c>
      <c r="P15" s="154">
        <v>710</v>
      </c>
      <c r="Q15" s="155">
        <f t="shared" si="1"/>
        <v>557</v>
      </c>
      <c r="R15" s="155">
        <v>76.5</v>
      </c>
    </row>
    <row r="16" spans="1:18">
      <c r="A16" s="156">
        <v>405.32</v>
      </c>
      <c r="B16" s="156">
        <v>757.55</v>
      </c>
      <c r="C16" s="152" t="s">
        <v>140</v>
      </c>
      <c r="D16" s="153">
        <v>16</v>
      </c>
      <c r="E16" s="157">
        <v>710</v>
      </c>
      <c r="F16" s="158">
        <f t="shared" si="2"/>
        <v>581</v>
      </c>
      <c r="G16" s="155">
        <v>64.5</v>
      </c>
      <c r="I16" s="152">
        <f t="shared" ref="I16:J16" si="9">L9</f>
        <v>120</v>
      </c>
      <c r="J16" s="152">
        <f t="shared" si="9"/>
        <v>810.68</v>
      </c>
      <c r="L16" s="152">
        <v>260</v>
      </c>
      <c r="M16" s="152">
        <v>809.14</v>
      </c>
      <c r="N16" s="152" t="s">
        <v>140</v>
      </c>
      <c r="O16" s="153">
        <v>16</v>
      </c>
      <c r="P16" s="154">
        <v>710</v>
      </c>
      <c r="Q16" s="155">
        <f t="shared" si="1"/>
        <v>555</v>
      </c>
      <c r="R16" s="155">
        <v>77.5</v>
      </c>
    </row>
    <row r="17" spans="1:18">
      <c r="A17" s="156">
        <v>408.71999999999997</v>
      </c>
      <c r="B17" s="156">
        <v>757.55</v>
      </c>
      <c r="C17" s="152" t="s">
        <v>140</v>
      </c>
      <c r="D17" s="153">
        <v>16</v>
      </c>
      <c r="E17" s="157">
        <v>710</v>
      </c>
      <c r="F17" s="158">
        <f t="shared" si="2"/>
        <v>581</v>
      </c>
      <c r="G17" s="155">
        <v>64.5</v>
      </c>
      <c r="I17" s="152">
        <f t="shared" ref="I17:J17" si="10">L10</f>
        <v>140</v>
      </c>
      <c r="J17" s="152">
        <f t="shared" si="10"/>
        <v>810.46</v>
      </c>
      <c r="L17" s="152">
        <v>280</v>
      </c>
      <c r="M17" s="152">
        <v>807.89</v>
      </c>
      <c r="N17" s="152" t="s">
        <v>140</v>
      </c>
      <c r="O17" s="153">
        <v>16</v>
      </c>
      <c r="P17" s="154">
        <v>710</v>
      </c>
      <c r="Q17" s="155">
        <f t="shared" si="1"/>
        <v>553</v>
      </c>
      <c r="R17" s="155">
        <v>78.5</v>
      </c>
    </row>
    <row r="18" spans="1:18">
      <c r="A18" s="156">
        <v>413.11999999999995</v>
      </c>
      <c r="B18" s="156">
        <v>757.55</v>
      </c>
      <c r="C18" s="152" t="s">
        <v>140</v>
      </c>
      <c r="D18" s="153">
        <v>16</v>
      </c>
      <c r="E18" s="157">
        <v>710</v>
      </c>
      <c r="F18" s="158">
        <f t="shared" si="2"/>
        <v>581</v>
      </c>
      <c r="G18" s="155">
        <v>64.5</v>
      </c>
      <c r="I18" s="152">
        <f t="shared" ref="I18:J18" si="11">L11</f>
        <v>160</v>
      </c>
      <c r="J18" s="152">
        <f t="shared" si="11"/>
        <v>810.24</v>
      </c>
      <c r="L18" s="152">
        <v>300</v>
      </c>
      <c r="M18" s="152">
        <v>802.89</v>
      </c>
      <c r="N18" s="152" t="s">
        <v>140</v>
      </c>
      <c r="O18" s="153">
        <v>16</v>
      </c>
      <c r="P18" s="154">
        <v>710</v>
      </c>
      <c r="Q18" s="155">
        <f t="shared" si="1"/>
        <v>551</v>
      </c>
      <c r="R18" s="155">
        <v>79.5</v>
      </c>
    </row>
    <row r="19" spans="1:18">
      <c r="A19" s="156">
        <v>416.16</v>
      </c>
      <c r="B19" s="156">
        <v>757.55</v>
      </c>
      <c r="C19" s="152" t="s">
        <v>140</v>
      </c>
      <c r="D19" s="153">
        <v>16</v>
      </c>
      <c r="E19" s="157">
        <v>710</v>
      </c>
      <c r="F19" s="158">
        <f t="shared" si="2"/>
        <v>581</v>
      </c>
      <c r="G19" s="155">
        <v>64.5</v>
      </c>
      <c r="I19" s="152">
        <f t="shared" ref="I19:J19" si="12">L12</f>
        <v>180</v>
      </c>
      <c r="J19" s="152">
        <f t="shared" si="12"/>
        <v>810.02</v>
      </c>
      <c r="L19" s="152">
        <v>320</v>
      </c>
      <c r="M19" s="152">
        <v>802.55</v>
      </c>
      <c r="N19" s="152" t="s">
        <v>140</v>
      </c>
      <c r="O19" s="153">
        <v>16</v>
      </c>
      <c r="P19" s="154">
        <v>710</v>
      </c>
      <c r="Q19" s="155">
        <f t="shared" si="1"/>
        <v>549</v>
      </c>
      <c r="R19" s="155">
        <v>80.5</v>
      </c>
    </row>
    <row r="20" spans="1:18">
      <c r="A20" s="156">
        <v>449.22</v>
      </c>
      <c r="B20" s="156">
        <v>754.23</v>
      </c>
      <c r="C20" s="152" t="s">
        <v>140</v>
      </c>
      <c r="D20" s="153">
        <v>16</v>
      </c>
      <c r="E20" s="157">
        <v>710</v>
      </c>
      <c r="F20" s="158">
        <f t="shared" si="2"/>
        <v>581</v>
      </c>
      <c r="G20" s="155">
        <v>64.5</v>
      </c>
      <c r="I20" s="152">
        <f t="shared" ref="I20:J20" si="13">L13</f>
        <v>200</v>
      </c>
      <c r="J20" s="152">
        <f t="shared" si="13"/>
        <v>809.8</v>
      </c>
      <c r="L20" s="152">
        <v>340</v>
      </c>
      <c r="M20" s="152">
        <v>802.35</v>
      </c>
      <c r="N20" s="152" t="s">
        <v>140</v>
      </c>
      <c r="O20" s="153">
        <v>16</v>
      </c>
      <c r="P20" s="154">
        <v>710</v>
      </c>
      <c r="Q20" s="155">
        <f t="shared" si="1"/>
        <v>547</v>
      </c>
      <c r="R20" s="155">
        <v>81.5</v>
      </c>
    </row>
    <row r="21" spans="1:18">
      <c r="A21" s="156">
        <v>449.5</v>
      </c>
      <c r="B21" s="156">
        <v>753.25</v>
      </c>
      <c r="C21" s="152" t="s">
        <v>140</v>
      </c>
      <c r="D21" s="153">
        <v>16</v>
      </c>
      <c r="E21" s="157">
        <v>710</v>
      </c>
      <c r="F21" s="158">
        <f t="shared" si="2"/>
        <v>581</v>
      </c>
      <c r="G21" s="155">
        <v>64.5</v>
      </c>
      <c r="I21" s="152">
        <f t="shared" ref="I21:J21" si="14">L14</f>
        <v>220</v>
      </c>
      <c r="J21" s="152">
        <f t="shared" si="14"/>
        <v>809.58</v>
      </c>
      <c r="L21" s="152">
        <v>360</v>
      </c>
      <c r="M21" s="152">
        <v>802.15</v>
      </c>
      <c r="N21" s="152" t="s">
        <v>140</v>
      </c>
      <c r="O21" s="153">
        <v>16</v>
      </c>
      <c r="P21" s="154">
        <v>710</v>
      </c>
      <c r="Q21" s="155">
        <f t="shared" si="1"/>
        <v>545</v>
      </c>
      <c r="R21" s="155">
        <v>82.5</v>
      </c>
    </row>
    <row r="22" spans="1:18">
      <c r="A22" s="156">
        <v>471.96</v>
      </c>
      <c r="B22" s="156">
        <v>753.14</v>
      </c>
      <c r="C22" s="152" t="s">
        <v>140</v>
      </c>
      <c r="D22" s="153">
        <v>16</v>
      </c>
      <c r="E22" s="157">
        <v>710</v>
      </c>
      <c r="F22" s="158">
        <f t="shared" si="2"/>
        <v>581</v>
      </c>
      <c r="G22" s="155">
        <v>64.5</v>
      </c>
      <c r="I22" s="152">
        <f t="shared" ref="I22:J22" si="15">L15</f>
        <v>240</v>
      </c>
      <c r="J22" s="152">
        <f t="shared" si="15"/>
        <v>809.36</v>
      </c>
      <c r="L22" s="152">
        <v>380</v>
      </c>
      <c r="M22" s="152">
        <v>800.78</v>
      </c>
      <c r="N22" s="152" t="s">
        <v>140</v>
      </c>
      <c r="O22" s="153">
        <v>16</v>
      </c>
      <c r="P22" s="154">
        <v>710</v>
      </c>
      <c r="Q22" s="155">
        <f t="shared" si="1"/>
        <v>543</v>
      </c>
      <c r="R22" s="155">
        <v>83.5</v>
      </c>
    </row>
    <row r="23" spans="1:18">
      <c r="I23" s="152">
        <f t="shared" ref="I23:J23" si="16">L16</f>
        <v>260</v>
      </c>
      <c r="J23" s="152">
        <f t="shared" si="16"/>
        <v>809.14</v>
      </c>
      <c r="L23" s="152">
        <v>400</v>
      </c>
      <c r="M23" s="152">
        <v>793.15</v>
      </c>
      <c r="N23" s="152" t="s">
        <v>140</v>
      </c>
      <c r="O23" s="153">
        <v>16</v>
      </c>
      <c r="P23" s="154">
        <v>710</v>
      </c>
      <c r="Q23" s="155">
        <f t="shared" si="1"/>
        <v>541</v>
      </c>
      <c r="R23" s="155">
        <v>84.5</v>
      </c>
    </row>
    <row r="24" spans="1:18">
      <c r="I24" s="152">
        <f t="shared" ref="I24:J24" si="17">L17</f>
        <v>280</v>
      </c>
      <c r="J24" s="152">
        <f t="shared" si="17"/>
        <v>807.89</v>
      </c>
      <c r="L24" s="152">
        <v>420</v>
      </c>
      <c r="M24" s="152">
        <v>784.99</v>
      </c>
      <c r="N24" s="152" t="s">
        <v>140</v>
      </c>
      <c r="O24" s="153">
        <v>16</v>
      </c>
      <c r="P24" s="154">
        <v>710</v>
      </c>
      <c r="Q24" s="155">
        <f t="shared" si="1"/>
        <v>539</v>
      </c>
      <c r="R24" s="155">
        <v>85.5</v>
      </c>
    </row>
    <row r="25" spans="1:18">
      <c r="I25" s="152">
        <f t="shared" ref="I25:J25" si="18">L18</f>
        <v>300</v>
      </c>
      <c r="J25" s="152">
        <f t="shared" si="18"/>
        <v>802.89</v>
      </c>
      <c r="L25" s="152">
        <v>440</v>
      </c>
      <c r="M25" s="152">
        <v>782.93</v>
      </c>
      <c r="N25" s="152" t="s">
        <v>140</v>
      </c>
      <c r="O25" s="153">
        <v>16</v>
      </c>
      <c r="P25" s="154">
        <v>710</v>
      </c>
      <c r="Q25" s="155">
        <f t="shared" si="1"/>
        <v>537</v>
      </c>
      <c r="R25" s="155">
        <v>86.5</v>
      </c>
    </row>
    <row r="26" spans="1:18">
      <c r="I26" s="152">
        <f t="shared" ref="I26:J26" si="19">L19</f>
        <v>320</v>
      </c>
      <c r="J26" s="152">
        <f t="shared" si="19"/>
        <v>802.55</v>
      </c>
      <c r="L26" s="152">
        <v>460</v>
      </c>
      <c r="M26" s="152">
        <v>782.73</v>
      </c>
      <c r="N26" s="152" t="s">
        <v>140</v>
      </c>
      <c r="O26" s="153">
        <v>16</v>
      </c>
      <c r="P26" s="154">
        <v>710</v>
      </c>
      <c r="Q26" s="155">
        <f t="shared" si="1"/>
        <v>535</v>
      </c>
      <c r="R26" s="155">
        <v>87.5</v>
      </c>
    </row>
    <row r="27" spans="1:18">
      <c r="I27" s="152">
        <f t="shared" ref="I27:J27" si="20">L20</f>
        <v>340</v>
      </c>
      <c r="J27" s="152">
        <f t="shared" si="20"/>
        <v>802.35</v>
      </c>
      <c r="L27" s="152">
        <v>480</v>
      </c>
      <c r="M27" s="152">
        <v>782.53</v>
      </c>
      <c r="N27" s="152" t="s">
        <v>140</v>
      </c>
      <c r="O27" s="153">
        <v>16</v>
      </c>
      <c r="P27" s="154">
        <v>710</v>
      </c>
      <c r="Q27" s="155">
        <f t="shared" si="1"/>
        <v>533</v>
      </c>
      <c r="R27" s="155">
        <v>88.5</v>
      </c>
    </row>
    <row r="28" spans="1:18">
      <c r="I28" s="152">
        <f t="shared" ref="I28:J28" si="21">L21</f>
        <v>360</v>
      </c>
      <c r="J28" s="152">
        <f t="shared" si="21"/>
        <v>802.15</v>
      </c>
      <c r="L28" s="152">
        <v>500</v>
      </c>
      <c r="M28" s="152">
        <v>782.33</v>
      </c>
      <c r="N28" s="152" t="s">
        <v>140</v>
      </c>
      <c r="O28" s="153">
        <v>16</v>
      </c>
      <c r="P28" s="154">
        <v>710</v>
      </c>
      <c r="Q28" s="155">
        <f t="shared" si="1"/>
        <v>531</v>
      </c>
      <c r="R28" s="155">
        <v>89.5</v>
      </c>
    </row>
    <row r="29" spans="1:18">
      <c r="I29" s="152">
        <f t="shared" ref="I29:J29" si="22">L22</f>
        <v>380</v>
      </c>
      <c r="J29" s="152">
        <f t="shared" si="22"/>
        <v>800.78</v>
      </c>
      <c r="L29" s="152">
        <v>520</v>
      </c>
      <c r="M29" s="152">
        <v>782.08</v>
      </c>
      <c r="N29" s="152" t="s">
        <v>140</v>
      </c>
      <c r="O29" s="153">
        <v>16</v>
      </c>
      <c r="P29" s="154">
        <v>710</v>
      </c>
      <c r="Q29" s="155">
        <f t="shared" si="1"/>
        <v>529</v>
      </c>
      <c r="R29" s="155">
        <v>90.5</v>
      </c>
    </row>
    <row r="30" spans="1:18">
      <c r="I30" s="152">
        <f t="shared" ref="I30:J30" si="23">L23</f>
        <v>400</v>
      </c>
      <c r="J30" s="152">
        <f t="shared" si="23"/>
        <v>793.15</v>
      </c>
      <c r="L30" s="152">
        <v>540</v>
      </c>
      <c r="M30" s="152">
        <v>775.98</v>
      </c>
      <c r="N30" s="152" t="s">
        <v>140</v>
      </c>
      <c r="O30" s="153">
        <v>16</v>
      </c>
      <c r="P30" s="154">
        <v>710</v>
      </c>
      <c r="Q30" s="155">
        <f t="shared" si="1"/>
        <v>527</v>
      </c>
      <c r="R30" s="155">
        <v>91.5</v>
      </c>
    </row>
    <row r="31" spans="1:18">
      <c r="I31" s="152">
        <f>L24</f>
        <v>420</v>
      </c>
      <c r="J31" s="152">
        <f>M24</f>
        <v>784.99</v>
      </c>
      <c r="L31" s="152">
        <v>560</v>
      </c>
      <c r="M31" s="152">
        <v>773.83</v>
      </c>
      <c r="N31" s="152" t="s">
        <v>140</v>
      </c>
      <c r="O31" s="153">
        <v>16</v>
      </c>
      <c r="P31" s="154">
        <v>710</v>
      </c>
      <c r="Q31" s="155">
        <f t="shared" si="1"/>
        <v>525</v>
      </c>
      <c r="R31" s="155">
        <v>92.5</v>
      </c>
    </row>
    <row r="32" spans="1:18">
      <c r="I32" s="159">
        <f t="shared" ref="I32:I45" si="24">$L$47+A8</f>
        <v>422.96999999999997</v>
      </c>
      <c r="J32" s="159">
        <f t="shared" ref="J32:J45" si="25">B8</f>
        <v>783.1</v>
      </c>
      <c r="L32" s="152">
        <v>580</v>
      </c>
      <c r="M32" s="152">
        <v>773.63</v>
      </c>
      <c r="N32" s="152" t="s">
        <v>140</v>
      </c>
      <c r="O32" s="153">
        <v>16</v>
      </c>
      <c r="P32" s="154">
        <v>710</v>
      </c>
      <c r="Q32" s="155">
        <f t="shared" si="1"/>
        <v>523</v>
      </c>
      <c r="R32" s="155">
        <v>93.5</v>
      </c>
    </row>
    <row r="33" spans="9:18">
      <c r="I33" s="159">
        <f t="shared" si="24"/>
        <v>525.5</v>
      </c>
      <c r="J33" s="159">
        <f t="shared" si="25"/>
        <v>782.08</v>
      </c>
      <c r="L33" s="152">
        <v>600</v>
      </c>
      <c r="M33" s="152">
        <v>773.43</v>
      </c>
      <c r="N33" s="152" t="s">
        <v>140</v>
      </c>
      <c r="O33" s="153">
        <v>16</v>
      </c>
      <c r="P33" s="154">
        <v>710</v>
      </c>
      <c r="Q33" s="155">
        <f t="shared" si="1"/>
        <v>521</v>
      </c>
      <c r="R33" s="155">
        <v>94.5</v>
      </c>
    </row>
    <row r="34" spans="9:18">
      <c r="I34" s="159">
        <f t="shared" si="24"/>
        <v>544.37</v>
      </c>
      <c r="J34" s="159">
        <f t="shared" si="25"/>
        <v>773.99</v>
      </c>
      <c r="L34" s="152">
        <v>620</v>
      </c>
      <c r="M34" s="152">
        <v>773.23</v>
      </c>
      <c r="N34" s="152" t="s">
        <v>140</v>
      </c>
      <c r="O34" s="153">
        <v>16</v>
      </c>
      <c r="P34" s="154">
        <v>710</v>
      </c>
      <c r="Q34" s="155">
        <f t="shared" si="1"/>
        <v>519</v>
      </c>
      <c r="R34" s="155">
        <v>95.5</v>
      </c>
    </row>
    <row r="35" spans="9:18">
      <c r="I35" s="159">
        <f t="shared" si="24"/>
        <v>636.91</v>
      </c>
      <c r="J35" s="159">
        <f t="shared" si="25"/>
        <v>773.06</v>
      </c>
      <c r="L35" s="152">
        <v>640</v>
      </c>
      <c r="M35" s="152">
        <v>772.4</v>
      </c>
      <c r="N35" s="152" t="s">
        <v>140</v>
      </c>
      <c r="O35" s="153">
        <v>16</v>
      </c>
      <c r="P35" s="154">
        <v>710</v>
      </c>
      <c r="Q35" s="155">
        <f t="shared" si="1"/>
        <v>517</v>
      </c>
      <c r="R35" s="155">
        <v>96.5</v>
      </c>
    </row>
    <row r="36" spans="9:18">
      <c r="I36" s="159">
        <f t="shared" si="24"/>
        <v>650.24</v>
      </c>
      <c r="J36" s="159">
        <f t="shared" si="25"/>
        <v>770.35</v>
      </c>
      <c r="L36" s="152">
        <v>660</v>
      </c>
      <c r="M36" s="152">
        <v>770.25</v>
      </c>
      <c r="N36" s="152" t="s">
        <v>140</v>
      </c>
      <c r="O36" s="153">
        <v>16</v>
      </c>
      <c r="P36" s="154">
        <v>710</v>
      </c>
      <c r="Q36" s="155">
        <f t="shared" si="1"/>
        <v>515</v>
      </c>
      <c r="R36" s="155">
        <v>97.5</v>
      </c>
    </row>
    <row r="37" spans="9:18">
      <c r="I37" s="159">
        <f t="shared" si="24"/>
        <v>686.91</v>
      </c>
      <c r="J37" s="159">
        <f t="shared" si="25"/>
        <v>769.98</v>
      </c>
      <c r="L37" s="152">
        <v>680</v>
      </c>
      <c r="M37" s="152">
        <v>769.99</v>
      </c>
      <c r="N37" s="152" t="s">
        <v>140</v>
      </c>
      <c r="O37" s="153">
        <v>16</v>
      </c>
      <c r="P37" s="154">
        <v>710</v>
      </c>
      <c r="Q37" s="155">
        <f t="shared" si="1"/>
        <v>513</v>
      </c>
      <c r="R37" s="155">
        <v>98.5</v>
      </c>
    </row>
    <row r="38" spans="9:18">
      <c r="I38" s="159">
        <f t="shared" si="24"/>
        <v>716.09999999999991</v>
      </c>
      <c r="J38" s="159">
        <f t="shared" si="25"/>
        <v>763.58</v>
      </c>
      <c r="L38" s="152">
        <v>700</v>
      </c>
      <c r="M38" s="152">
        <v>767.11</v>
      </c>
      <c r="N38" s="152" t="s">
        <v>140</v>
      </c>
      <c r="O38" s="153">
        <v>16</v>
      </c>
      <c r="P38" s="154">
        <v>710</v>
      </c>
      <c r="Q38" s="155">
        <f t="shared" si="1"/>
        <v>511</v>
      </c>
      <c r="R38" s="155">
        <v>99.5</v>
      </c>
    </row>
    <row r="39" spans="9:18">
      <c r="I39" s="159">
        <f t="shared" si="24"/>
        <v>727.97</v>
      </c>
      <c r="J39" s="159">
        <f t="shared" si="25"/>
        <v>757.55</v>
      </c>
      <c r="L39" s="152">
        <v>720</v>
      </c>
      <c r="M39" s="152">
        <v>761.59</v>
      </c>
      <c r="N39" s="152" t="s">
        <v>140</v>
      </c>
      <c r="O39" s="153">
        <v>16</v>
      </c>
      <c r="P39" s="154">
        <v>710</v>
      </c>
      <c r="Q39" s="155">
        <f t="shared" si="1"/>
        <v>509</v>
      </c>
      <c r="R39" s="155">
        <v>100.5</v>
      </c>
    </row>
    <row r="40" spans="9:18">
      <c r="I40" s="159">
        <f t="shared" si="24"/>
        <v>732.67</v>
      </c>
      <c r="J40" s="159">
        <f t="shared" si="25"/>
        <v>757.55</v>
      </c>
      <c r="L40" s="152">
        <v>734.98</v>
      </c>
      <c r="M40" s="152">
        <v>757.55</v>
      </c>
      <c r="N40" s="152" t="s">
        <v>140</v>
      </c>
      <c r="O40" s="153">
        <v>16</v>
      </c>
      <c r="P40" s="154">
        <v>710</v>
      </c>
      <c r="Q40" s="155">
        <f t="shared" si="1"/>
        <v>507</v>
      </c>
      <c r="R40" s="155">
        <v>101.5</v>
      </c>
    </row>
    <row r="41" spans="9:18">
      <c r="I41" s="159">
        <f t="shared" si="24"/>
        <v>736.06999999999994</v>
      </c>
      <c r="J41" s="159">
        <f t="shared" si="25"/>
        <v>757.55</v>
      </c>
      <c r="L41" s="152">
        <v>734.98</v>
      </c>
      <c r="M41" s="152">
        <v>757.55</v>
      </c>
      <c r="N41" s="152" t="s">
        <v>140</v>
      </c>
      <c r="O41" s="153">
        <v>16</v>
      </c>
      <c r="P41" s="154">
        <v>710</v>
      </c>
      <c r="Q41" s="155">
        <f t="shared" si="1"/>
        <v>505</v>
      </c>
      <c r="R41" s="155">
        <v>102.5</v>
      </c>
    </row>
    <row r="42" spans="9:18">
      <c r="I42" s="159">
        <f t="shared" si="24"/>
        <v>740.46999999999991</v>
      </c>
      <c r="J42" s="159">
        <f t="shared" si="25"/>
        <v>757.55</v>
      </c>
      <c r="L42" s="152">
        <v>734.98</v>
      </c>
      <c r="M42" s="152">
        <v>757.55</v>
      </c>
      <c r="N42" s="152" t="s">
        <v>140</v>
      </c>
      <c r="O42" s="153">
        <v>16</v>
      </c>
      <c r="P42" s="154">
        <v>710</v>
      </c>
      <c r="Q42" s="155">
        <f t="shared" si="1"/>
        <v>503</v>
      </c>
      <c r="R42" s="155">
        <v>103.5</v>
      </c>
    </row>
    <row r="43" spans="9:18">
      <c r="I43" s="159">
        <f t="shared" si="24"/>
        <v>743.51</v>
      </c>
      <c r="J43" s="159">
        <f t="shared" si="25"/>
        <v>757.55</v>
      </c>
      <c r="L43" s="152">
        <v>760</v>
      </c>
      <c r="M43" s="152">
        <v>755.89</v>
      </c>
      <c r="N43" s="152" t="s">
        <v>140</v>
      </c>
      <c r="O43" s="153">
        <v>16</v>
      </c>
      <c r="P43" s="154">
        <v>710</v>
      </c>
      <c r="Q43" s="155">
        <f t="shared" si="1"/>
        <v>501</v>
      </c>
      <c r="R43" s="155">
        <v>104.5</v>
      </c>
    </row>
    <row r="44" spans="9:18">
      <c r="I44" s="159">
        <f t="shared" si="24"/>
        <v>776.56999999999994</v>
      </c>
      <c r="J44" s="159">
        <f t="shared" si="25"/>
        <v>754.23</v>
      </c>
      <c r="L44" s="152">
        <v>780</v>
      </c>
      <c r="M44" s="152">
        <v>753.24</v>
      </c>
      <c r="N44" s="152" t="s">
        <v>140</v>
      </c>
      <c r="O44" s="153">
        <v>16</v>
      </c>
      <c r="P44" s="154">
        <v>710</v>
      </c>
      <c r="Q44" s="155">
        <f t="shared" si="1"/>
        <v>499</v>
      </c>
      <c r="R44" s="155">
        <v>105.5</v>
      </c>
    </row>
    <row r="45" spans="9:18">
      <c r="I45" s="159">
        <f t="shared" si="24"/>
        <v>776.84999999999991</v>
      </c>
      <c r="J45" s="159">
        <f t="shared" si="25"/>
        <v>753.25</v>
      </c>
      <c r="L45" s="152">
        <v>799.31</v>
      </c>
      <c r="M45" s="152">
        <v>753.14</v>
      </c>
      <c r="N45" s="152" t="s">
        <v>140</v>
      </c>
      <c r="O45" s="153">
        <v>16</v>
      </c>
      <c r="P45" s="154">
        <v>710</v>
      </c>
      <c r="Q45" s="155">
        <f t="shared" si="1"/>
        <v>497</v>
      </c>
      <c r="R45" s="155">
        <v>106.5</v>
      </c>
    </row>
    <row r="46" spans="9:18">
      <c r="I46" s="159">
        <f>$L$47+A22</f>
        <v>799.31</v>
      </c>
      <c r="J46" s="159">
        <f>B22</f>
        <v>753.14</v>
      </c>
      <c r="L46" s="152">
        <v>799.31</v>
      </c>
      <c r="M46" s="152">
        <v>753.14</v>
      </c>
      <c r="N46" s="152" t="s">
        <v>140</v>
      </c>
      <c r="O46" s="153">
        <v>16</v>
      </c>
      <c r="P46" s="154">
        <v>710</v>
      </c>
      <c r="Q46" s="155">
        <f t="shared" si="1"/>
        <v>495</v>
      </c>
      <c r="R46" s="155">
        <v>107.5</v>
      </c>
    </row>
    <row r="47" spans="9:18">
      <c r="L47" s="159">
        <f>L46-A22</f>
        <v>327.34999999999997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3"/>
  <dimension ref="A1:G32"/>
  <sheetViews>
    <sheetView topLeftCell="A25" zoomScale="115" zoomScaleNormal="115" workbookViewId="0">
      <selection activeCell="G16" sqref="G16"/>
    </sheetView>
  </sheetViews>
  <sheetFormatPr defaultColWidth="11.42578125" defaultRowHeight="15"/>
  <cols>
    <col min="1" max="1" width="16.85546875" customWidth="1"/>
  </cols>
  <sheetData>
    <row r="1" spans="1:7">
      <c r="A1" s="1"/>
      <c r="B1" s="1"/>
      <c r="C1" s="1" t="s">
        <v>243</v>
      </c>
      <c r="D1" s="1" t="s">
        <v>244</v>
      </c>
      <c r="E1" s="1" t="s">
        <v>245</v>
      </c>
      <c r="F1" s="1" t="s">
        <v>245</v>
      </c>
      <c r="G1" s="1"/>
    </row>
    <row r="2" spans="1:7">
      <c r="A2" s="2" t="s">
        <v>120</v>
      </c>
      <c r="B2" s="3" t="s">
        <v>137</v>
      </c>
      <c r="C2" s="4">
        <f>C3*C4/C5</f>
        <v>41.319020084865791</v>
      </c>
      <c r="D2" s="4">
        <f>D3*D4/D5</f>
        <v>59.781513708028335</v>
      </c>
      <c r="E2" s="4">
        <f>E3*E4/E5</f>
        <v>74.119922483682046</v>
      </c>
      <c r="F2" s="4">
        <f>F3*F4/F5</f>
        <v>74.119922483682046</v>
      </c>
      <c r="G2" s="2"/>
    </row>
    <row r="3" spans="1:7">
      <c r="A3" s="2" t="s">
        <v>122</v>
      </c>
      <c r="B3" s="3" t="s">
        <v>130</v>
      </c>
      <c r="C3" s="4">
        <f>C17</f>
        <v>245.32839954242402</v>
      </c>
      <c r="D3" s="4">
        <f>D17</f>
        <v>306.11994191439953</v>
      </c>
      <c r="E3" s="4">
        <f>E17</f>
        <v>341.66992363097449</v>
      </c>
      <c r="F3" s="4">
        <f>F17</f>
        <v>341.66992363097449</v>
      </c>
      <c r="G3" s="2"/>
    </row>
    <row r="4" spans="1:7" ht="18">
      <c r="A4" s="2" t="s">
        <v>246</v>
      </c>
      <c r="B4" s="3" t="s">
        <v>130</v>
      </c>
      <c r="C4" s="5">
        <f>C15</f>
        <v>1.6522326309899522</v>
      </c>
      <c r="D4" s="5">
        <f>D15</f>
        <v>1.9157740779911332</v>
      </c>
      <c r="E4" s="5">
        <f>E15</f>
        <v>2.128125390253119</v>
      </c>
      <c r="F4" s="5">
        <f>F15</f>
        <v>2.128125390253119</v>
      </c>
      <c r="G4" s="2"/>
    </row>
    <row r="5" spans="1:7">
      <c r="A5" s="2" t="s">
        <v>247</v>
      </c>
      <c r="B5" s="3" t="s">
        <v>248</v>
      </c>
      <c r="C5" s="2">
        <v>9.81</v>
      </c>
      <c r="D5" s="2">
        <v>9.81</v>
      </c>
      <c r="E5" s="2">
        <v>9.81</v>
      </c>
      <c r="F5" s="2">
        <v>9.81</v>
      </c>
      <c r="G5" s="2"/>
    </row>
    <row r="6" spans="1:7">
      <c r="A6" s="2"/>
      <c r="B6" s="3"/>
      <c r="C6" s="2"/>
      <c r="D6" s="2"/>
      <c r="E6" s="2"/>
      <c r="F6" s="2"/>
      <c r="G6" s="2"/>
    </row>
    <row r="7" spans="1:7">
      <c r="A7" s="2" t="s">
        <v>216</v>
      </c>
      <c r="B7" s="3" t="s">
        <v>231</v>
      </c>
      <c r="C7" s="2">
        <v>100</v>
      </c>
      <c r="D7" s="2">
        <v>100</v>
      </c>
      <c r="E7" s="2">
        <v>100</v>
      </c>
      <c r="F7" s="2">
        <v>100</v>
      </c>
      <c r="G7" s="2"/>
    </row>
    <row r="8" spans="1:7">
      <c r="A8" s="2"/>
      <c r="B8" s="3" t="s">
        <v>249</v>
      </c>
      <c r="C8" s="2">
        <f>C7*3.6</f>
        <v>360</v>
      </c>
      <c r="D8" s="2">
        <f>D7*3.6</f>
        <v>360</v>
      </c>
      <c r="E8" s="2">
        <f>E7*3.6</f>
        <v>360</v>
      </c>
      <c r="F8" s="2">
        <f>F7*3.6</f>
        <v>360</v>
      </c>
      <c r="G8" s="2"/>
    </row>
    <row r="9" spans="1:7">
      <c r="A9" s="2" t="s">
        <v>89</v>
      </c>
      <c r="B9" s="3" t="s">
        <v>132</v>
      </c>
      <c r="C9" s="2">
        <v>315</v>
      </c>
      <c r="D9" s="2">
        <v>315</v>
      </c>
      <c r="E9" s="2">
        <v>315</v>
      </c>
      <c r="F9" s="2">
        <v>315</v>
      </c>
      <c r="G9" s="2"/>
    </row>
    <row r="10" spans="1:7">
      <c r="A10" s="2" t="s">
        <v>250</v>
      </c>
      <c r="B10" s="3" t="s">
        <v>136</v>
      </c>
      <c r="C10" s="2">
        <v>10</v>
      </c>
      <c r="D10" s="2">
        <v>16</v>
      </c>
      <c r="E10" s="2">
        <v>20</v>
      </c>
      <c r="F10" s="2">
        <v>20</v>
      </c>
      <c r="G10" s="2"/>
    </row>
    <row r="11" spans="1:7">
      <c r="A11" s="2" t="s">
        <v>125</v>
      </c>
      <c r="B11" s="3" t="s">
        <v>132</v>
      </c>
      <c r="C11" s="2">
        <v>18.7</v>
      </c>
      <c r="D11" s="2">
        <v>28.6</v>
      </c>
      <c r="E11" s="2">
        <v>35.200000000000003</v>
      </c>
      <c r="F11" s="2">
        <v>35.200000000000003</v>
      </c>
      <c r="G11" s="2"/>
    </row>
    <row r="12" spans="1:7">
      <c r="A12" s="2" t="s">
        <v>93</v>
      </c>
      <c r="B12" s="3" t="s">
        <v>132</v>
      </c>
      <c r="C12" s="2">
        <f>C9-2*C11</f>
        <v>277.60000000000002</v>
      </c>
      <c r="D12" s="2">
        <f>D9-2*D11</f>
        <v>257.8</v>
      </c>
      <c r="E12" s="2">
        <f>E9-2*E11</f>
        <v>244.6</v>
      </c>
      <c r="F12" s="2">
        <f>F9-2*F11</f>
        <v>244.6</v>
      </c>
      <c r="G12" s="2"/>
    </row>
    <row r="13" spans="1:7">
      <c r="A13" s="2" t="s">
        <v>124</v>
      </c>
      <c r="B13" s="3" t="s">
        <v>132</v>
      </c>
      <c r="C13" s="2">
        <f>(C12+C9)/2</f>
        <v>296.3</v>
      </c>
      <c r="D13" s="2">
        <f>(D12+D9)/2</f>
        <v>286.39999999999998</v>
      </c>
      <c r="E13" s="2">
        <f>(E12+E9)/2</f>
        <v>279.8</v>
      </c>
      <c r="F13" s="2">
        <f>(F12+F9)/2</f>
        <v>279.8</v>
      </c>
      <c r="G13" s="2"/>
    </row>
    <row r="14" spans="1:7">
      <c r="A14" s="2" t="s">
        <v>94</v>
      </c>
      <c r="B14" s="3" t="s">
        <v>129</v>
      </c>
      <c r="C14" s="5">
        <f>0.25*PI()*(C12/1000)^2</f>
        <v>6.0524164772174947E-2</v>
      </c>
      <c r="D14" s="5">
        <f>0.25*PI()*(D12/1000)^2</f>
        <v>5.2198221673851686E-2</v>
      </c>
      <c r="E14" s="5">
        <f>0.25*PI()*(E12/1000)^2</f>
        <v>4.6989712381612071E-2</v>
      </c>
      <c r="F14" s="5">
        <f>0.25*PI()*(F12/1000)^2</f>
        <v>4.6989712381612071E-2</v>
      </c>
      <c r="G14" s="2"/>
    </row>
    <row r="15" spans="1:7">
      <c r="A15" s="2" t="s">
        <v>251</v>
      </c>
      <c r="B15" s="3" t="s">
        <v>130</v>
      </c>
      <c r="C15" s="5">
        <f>C8/C14/3600</f>
        <v>1.6522326309899522</v>
      </c>
      <c r="D15" s="5">
        <f>D8/D14/3600</f>
        <v>1.9157740779911332</v>
      </c>
      <c r="E15" s="5">
        <f>E8/E14/3600</f>
        <v>2.128125390253119</v>
      </c>
      <c r="F15" s="5">
        <f>F8/F14/3600</f>
        <v>2.128125390253119</v>
      </c>
      <c r="G15" s="2"/>
    </row>
    <row r="16" spans="1:7">
      <c r="A16" s="2"/>
      <c r="B16" s="3"/>
      <c r="C16" s="2"/>
      <c r="D16" s="2"/>
      <c r="E16" s="2"/>
      <c r="F16" s="2"/>
      <c r="G16" s="2"/>
    </row>
    <row r="17" spans="1:7">
      <c r="A17" s="2" t="s">
        <v>122</v>
      </c>
      <c r="B17" s="3" t="s">
        <v>130</v>
      </c>
      <c r="C17" s="4">
        <f>((C19*C20/C21)/((C19/C23)+(C24/C25)))^0.5</f>
        <v>245.32839954242402</v>
      </c>
      <c r="D17" s="4">
        <f>((D19*D20/D21)/((D19/D23)+(D24/D25)))^0.5</f>
        <v>306.11994191439953</v>
      </c>
      <c r="E17" s="4">
        <f>((E19*E20/E21)/((E19/E23)+(E24/E25)))^0.5</f>
        <v>341.66992363097449</v>
      </c>
      <c r="F17" s="4">
        <f>((F19*F20/F21)/((F19/F23)+(F24/F25)))^0.5</f>
        <v>341.66992363097449</v>
      </c>
      <c r="G17" s="2"/>
    </row>
    <row r="18" spans="1:7">
      <c r="A18" s="2" t="s">
        <v>123</v>
      </c>
      <c r="B18" s="3" t="s">
        <v>138</v>
      </c>
      <c r="C18" s="6">
        <v>10000</v>
      </c>
      <c r="D18" s="6">
        <f>C18</f>
        <v>10000</v>
      </c>
      <c r="E18" s="6">
        <f>D18</f>
        <v>10000</v>
      </c>
      <c r="F18" s="6">
        <f>E18</f>
        <v>10000</v>
      </c>
      <c r="G18" s="2"/>
    </row>
    <row r="19" spans="1:7">
      <c r="A19" s="2"/>
      <c r="B19" s="3" t="s">
        <v>139</v>
      </c>
      <c r="C19" s="6">
        <f>C18*100^2</f>
        <v>100000000</v>
      </c>
      <c r="D19" s="6">
        <f>D18*100^2</f>
        <v>100000000</v>
      </c>
      <c r="E19" s="6">
        <f>E18*100^2</f>
        <v>100000000</v>
      </c>
      <c r="F19" s="6">
        <f>F18*100^2</f>
        <v>100000000</v>
      </c>
      <c r="G19" s="2"/>
    </row>
    <row r="20" spans="1:7">
      <c r="A20" s="2" t="s">
        <v>247</v>
      </c>
      <c r="B20" s="3" t="s">
        <v>248</v>
      </c>
      <c r="C20" s="2">
        <v>9.81</v>
      </c>
      <c r="D20" s="2">
        <v>9.81</v>
      </c>
      <c r="E20" s="2">
        <v>9.81</v>
      </c>
      <c r="F20" s="2">
        <v>9.81</v>
      </c>
      <c r="G20" s="2"/>
    </row>
    <row r="21" spans="1:7">
      <c r="A21" s="7" t="s">
        <v>252</v>
      </c>
      <c r="B21" s="3" t="s">
        <v>253</v>
      </c>
      <c r="C21" s="6">
        <v>1000</v>
      </c>
      <c r="D21" s="6">
        <v>1000</v>
      </c>
      <c r="E21" s="6">
        <v>1000</v>
      </c>
      <c r="F21" s="6">
        <v>1000</v>
      </c>
      <c r="G21" s="2"/>
    </row>
    <row r="22" spans="1:7">
      <c r="A22" s="2" t="s">
        <v>254</v>
      </c>
      <c r="B22" s="3" t="s">
        <v>138</v>
      </c>
      <c r="C22" s="6">
        <v>22000</v>
      </c>
      <c r="D22" s="6">
        <f>C22</f>
        <v>22000</v>
      </c>
      <c r="E22" s="6">
        <f>D22</f>
        <v>22000</v>
      </c>
      <c r="F22" s="6">
        <f>E22</f>
        <v>22000</v>
      </c>
      <c r="G22" s="2"/>
    </row>
    <row r="23" spans="1:7">
      <c r="A23" s="2"/>
      <c r="B23" s="3" t="s">
        <v>255</v>
      </c>
      <c r="C23" s="6">
        <f>C22*100^2</f>
        <v>220000000</v>
      </c>
      <c r="D23" s="6">
        <f>D22*100^2</f>
        <v>220000000</v>
      </c>
      <c r="E23" s="6">
        <f>E22*100^2</f>
        <v>220000000</v>
      </c>
      <c r="F23" s="6">
        <f>F22*100^2</f>
        <v>220000000</v>
      </c>
      <c r="G23" s="2"/>
    </row>
    <row r="24" spans="1:7">
      <c r="A24" s="2" t="s">
        <v>124</v>
      </c>
      <c r="B24" s="3" t="s">
        <v>132</v>
      </c>
      <c r="C24" s="2">
        <f>C13</f>
        <v>296.3</v>
      </c>
      <c r="D24" s="2">
        <f>D13</f>
        <v>286.39999999999998</v>
      </c>
      <c r="E24" s="2">
        <f>E13</f>
        <v>279.8</v>
      </c>
      <c r="F24" s="2">
        <f>F13</f>
        <v>279.8</v>
      </c>
      <c r="G24" s="2"/>
    </row>
    <row r="25" spans="1:7">
      <c r="A25" s="2" t="s">
        <v>125</v>
      </c>
      <c r="B25" s="3" t="s">
        <v>132</v>
      </c>
      <c r="C25" s="2">
        <f>C11</f>
        <v>18.7</v>
      </c>
      <c r="D25" s="2">
        <f>D11</f>
        <v>28.6</v>
      </c>
      <c r="E25" s="2">
        <f>E11</f>
        <v>35.200000000000003</v>
      </c>
      <c r="F25" s="2">
        <f>F11</f>
        <v>35.200000000000003</v>
      </c>
      <c r="G25" s="2"/>
    </row>
    <row r="26" spans="1:7">
      <c r="A26" s="2"/>
      <c r="B26" s="3"/>
      <c r="C26" s="2"/>
      <c r="D26" s="2"/>
      <c r="E26" s="2"/>
      <c r="F26" s="2"/>
      <c r="G26" s="2"/>
    </row>
    <row r="27" spans="1:7">
      <c r="A27" s="2" t="s">
        <v>256</v>
      </c>
      <c r="B27" s="3"/>
      <c r="C27" s="4">
        <v>58</v>
      </c>
      <c r="D27" s="4">
        <v>58</v>
      </c>
      <c r="E27" s="4">
        <f>D27</f>
        <v>58</v>
      </c>
      <c r="F27" s="4">
        <f>E27</f>
        <v>58</v>
      </c>
      <c r="G27" s="2"/>
    </row>
    <row r="28" spans="1:7">
      <c r="A28" s="2" t="s">
        <v>257</v>
      </c>
      <c r="B28" s="3"/>
      <c r="C28" s="4">
        <f>C2</f>
        <v>41.319020084865791</v>
      </c>
      <c r="D28" s="4">
        <f>D2</f>
        <v>59.781513708028335</v>
      </c>
      <c r="E28" s="4">
        <f>E2</f>
        <v>74.119922483682046</v>
      </c>
      <c r="F28" s="4">
        <f>F2</f>
        <v>74.119922483682046</v>
      </c>
      <c r="G28" s="2"/>
    </row>
    <row r="29" spans="1:7">
      <c r="A29" s="2" t="s">
        <v>258</v>
      </c>
      <c r="B29" s="3" t="s">
        <v>137</v>
      </c>
      <c r="C29" s="4">
        <f>C28+C27</f>
        <v>99.319020084865798</v>
      </c>
      <c r="D29" s="4">
        <f>D28+D27</f>
        <v>117.78151370802834</v>
      </c>
      <c r="E29" s="4">
        <f>E28+E27</f>
        <v>132.11992248368205</v>
      </c>
      <c r="F29" s="4">
        <f>F28+F27</f>
        <v>132.11992248368205</v>
      </c>
      <c r="G29" s="2"/>
    </row>
    <row r="30" spans="1:7">
      <c r="A30" s="2" t="s">
        <v>259</v>
      </c>
      <c r="B30" s="3" t="s">
        <v>137</v>
      </c>
      <c r="C30" s="4">
        <f>C29*1.25</f>
        <v>124.14877510608224</v>
      </c>
      <c r="D30" s="4">
        <f>D29*1.25</f>
        <v>147.22689213503543</v>
      </c>
      <c r="E30" s="4">
        <f>E29*1.25</f>
        <v>165.14990310460257</v>
      </c>
      <c r="F30" s="4">
        <f>F29*1.25</f>
        <v>165.14990310460257</v>
      </c>
      <c r="G30" s="2"/>
    </row>
    <row r="31" spans="1:7">
      <c r="A31" s="2"/>
      <c r="B31" s="3" t="s">
        <v>136</v>
      </c>
      <c r="C31" s="4">
        <f>C30/10</f>
        <v>12.414877510608225</v>
      </c>
      <c r="D31" s="4">
        <f>D30/10</f>
        <v>14.722689213503543</v>
      </c>
      <c r="E31" s="4">
        <f>E30/10</f>
        <v>16.514990310460256</v>
      </c>
      <c r="F31" s="4">
        <f>F30/10</f>
        <v>16.514990310460256</v>
      </c>
      <c r="G31" s="2"/>
    </row>
    <row r="32" spans="1:7">
      <c r="A32" s="2"/>
      <c r="B32" s="3"/>
      <c r="C32" s="8"/>
      <c r="D32" s="8"/>
      <c r="E32" s="8"/>
      <c r="F32" s="8"/>
      <c r="G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ARCADIS CHILE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Azocar</dc:creator>
  <cp:keywords/>
  <dc:description/>
  <cp:lastModifiedBy>Julio Azocar Mansilla</cp:lastModifiedBy>
  <cp:revision/>
  <dcterms:created xsi:type="dcterms:W3CDTF">2016-04-27T19:38:10Z</dcterms:created>
  <dcterms:modified xsi:type="dcterms:W3CDTF">2019-10-12T15:48:29Z</dcterms:modified>
  <cp:category/>
  <cp:contentStatus/>
</cp:coreProperties>
</file>