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pm365-my.sharepoint.com/personal/beatriz_esteban_navarro_alumnos_upm_es/Documents/Segundo cuatri/SCOM-RECM/Fase 3/Management/"/>
    </mc:Choice>
  </mc:AlternateContent>
  <xr:revisionPtr revIDLastSave="4570" documentId="8_{29208DD6-CE5F-1745-B9FB-E5F2BF874A4C}" xr6:coauthVersionLast="45" xr6:coauthVersionMax="45" xr10:uidLastSave="{BAF5D26A-C735-4848-A6F1-FC81BD733F7F}"/>
  <bookViews>
    <workbookView xWindow="0" yWindow="460" windowWidth="28800" windowHeight="16160" firstSheet="2" activeTab="9" xr2:uid="{8EF782E1-AAE4-A149-A44B-1688FEAEDE89}"/>
  </bookViews>
  <sheets>
    <sheet name="Network management" sheetId="5" r:id="rId1"/>
    <sheet name="IoT" sheetId="1" r:id="rId2"/>
    <sheet name="IMS" sheetId="2" r:id="rId3"/>
    <sheet name="Edge" sheetId="6" r:id="rId4"/>
    <sheet name="FIXED" sheetId="9" r:id="rId5"/>
    <sheet name="Mobile" sheetId="10" r:id="rId6"/>
    <sheet name="Core" sheetId="4" r:id="rId7"/>
    <sheet name="Satellite" sheetId="8" r:id="rId8"/>
    <sheet name="EXP-INCOM (2)" sheetId="15" r:id="rId9"/>
    <sheet name="cashflow" sheetId="13" r:id="rId10"/>
    <sheet name="Netprofit" sheetId="14" r:id="rId1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50" i="15" l="1"/>
  <c r="D6" i="9" l="1"/>
  <c r="B13" i="14" l="1"/>
  <c r="B5" i="14"/>
  <c r="B3" i="14"/>
  <c r="B4" i="14" s="1"/>
  <c r="F25" i="13"/>
  <c r="G25" i="13"/>
  <c r="H25" i="13"/>
  <c r="I25" i="13"/>
  <c r="E25" i="13"/>
  <c r="D6" i="13"/>
  <c r="D7" i="13"/>
  <c r="D8" i="13"/>
  <c r="D9" i="13"/>
  <c r="D10" i="13"/>
  <c r="D5" i="13"/>
  <c r="D3" i="13"/>
  <c r="D22" i="13"/>
  <c r="E22" i="13"/>
  <c r="F22" i="13"/>
  <c r="G22" i="13"/>
  <c r="H22" i="13"/>
  <c r="I22" i="13"/>
  <c r="B58" i="15"/>
  <c r="D4" i="13" s="1"/>
  <c r="B55" i="15"/>
  <c r="D16" i="13" s="1"/>
  <c r="B37" i="15"/>
  <c r="B38" i="15"/>
  <c r="B39" i="15"/>
  <c r="B40" i="15"/>
  <c r="B41" i="15"/>
  <c r="B47" i="15"/>
  <c r="H14" i="15"/>
  <c r="N43" i="4"/>
  <c r="O43" i="4"/>
  <c r="N44" i="4"/>
  <c r="O44" i="4"/>
  <c r="N45" i="4"/>
  <c r="N5" i="10"/>
  <c r="N6" i="10" s="1"/>
  <c r="N7" i="10" s="1"/>
  <c r="O5" i="10"/>
  <c r="O6" i="10"/>
  <c r="O7" i="10" s="1"/>
  <c r="G12" i="15" s="1"/>
  <c r="E4" i="10"/>
  <c r="H17" i="9"/>
  <c r="J17" i="9"/>
  <c r="L17" i="9"/>
  <c r="N17" i="9"/>
  <c r="N46" i="6"/>
  <c r="N47" i="6" s="1"/>
  <c r="N48" i="6" s="1"/>
  <c r="O46" i="6"/>
  <c r="O47" i="6"/>
  <c r="O48" i="6" s="1"/>
  <c r="G10" i="15" s="1"/>
  <c r="N6" i="5"/>
  <c r="N7" i="5" s="1"/>
  <c r="N8" i="5" s="1"/>
  <c r="O6" i="5"/>
  <c r="O7" i="5"/>
  <c r="O8" i="5" s="1"/>
  <c r="G3" i="15" s="1"/>
  <c r="P28" i="15"/>
  <c r="K22" i="15"/>
  <c r="C7" i="15"/>
  <c r="C6" i="15"/>
  <c r="L2" i="15"/>
  <c r="D26" i="13"/>
  <c r="D28" i="13" s="1"/>
  <c r="I18" i="13" l="1"/>
  <c r="I20" i="13"/>
  <c r="I15" i="13"/>
  <c r="B52" i="15"/>
  <c r="O45" i="4"/>
  <c r="G13" i="15" s="1"/>
  <c r="B6" i="14"/>
  <c r="I21" i="13" l="1"/>
  <c r="B7" i="14"/>
  <c r="B8" i="14" s="1"/>
  <c r="L21" i="14" l="1"/>
  <c r="L17" i="14"/>
  <c r="N17" i="14" s="1"/>
  <c r="L18" i="14"/>
  <c r="N18" i="14" s="1"/>
  <c r="L19" i="14"/>
  <c r="N19" i="14" s="1"/>
  <c r="L20" i="14"/>
  <c r="N20" i="14" s="1"/>
  <c r="L15" i="14"/>
  <c r="L16" i="14"/>
  <c r="L14" i="14"/>
  <c r="L13" i="14"/>
  <c r="F11" i="14" s="1"/>
  <c r="L6" i="9"/>
  <c r="C12" i="14" l="1"/>
  <c r="D12" i="14" s="1"/>
  <c r="E12" i="14" s="1"/>
  <c r="F12" i="14" s="1"/>
  <c r="G12" i="14" s="1"/>
  <c r="D11" i="14"/>
  <c r="G11" i="14"/>
  <c r="E11" i="14"/>
  <c r="C11" i="14"/>
  <c r="C13" i="14" s="1"/>
  <c r="D13" i="13"/>
  <c r="G13" i="14" l="1"/>
  <c r="E13" i="14"/>
  <c r="D13" i="14"/>
  <c r="C5" i="14"/>
  <c r="E11" i="13"/>
  <c r="F13" i="14"/>
  <c r="W5" i="5"/>
  <c r="W6" i="5" s="1"/>
  <c r="W7" i="5" s="1"/>
  <c r="V5" i="5"/>
  <c r="V6" i="5" s="1"/>
  <c r="V7" i="5" s="1"/>
  <c r="U5" i="5"/>
  <c r="U6" i="5" s="1"/>
  <c r="U7" i="5" s="1"/>
  <c r="S5" i="5"/>
  <c r="S6" i="5" s="1"/>
  <c r="S7" i="5" s="1"/>
  <c r="T5" i="5"/>
  <c r="T6" i="5" s="1"/>
  <c r="T7" i="5" s="1"/>
  <c r="G5" i="14" l="1"/>
  <c r="I11" i="13"/>
  <c r="D5" i="14"/>
  <c r="F11" i="13"/>
  <c r="F5" i="14"/>
  <c r="H11" i="13"/>
  <c r="E5" i="14"/>
  <c r="G11" i="13"/>
  <c r="E20" i="15"/>
  <c r="G3" i="13" s="1"/>
  <c r="G20" i="15"/>
  <c r="C20" i="15"/>
  <c r="D20" i="15"/>
  <c r="F3" i="13" s="1"/>
  <c r="F20" i="15"/>
  <c r="H3" i="13" s="1"/>
  <c r="I3" i="13" l="1"/>
  <c r="G36" i="15"/>
  <c r="H20" i="15"/>
  <c r="E3" i="13"/>
  <c r="H5" i="14"/>
  <c r="D4" i="9"/>
  <c r="F43" i="4" l="1"/>
  <c r="G43" i="4"/>
  <c r="H43" i="4"/>
  <c r="I43" i="4"/>
  <c r="J43" i="4"/>
  <c r="K43" i="4"/>
  <c r="L43" i="4"/>
  <c r="M43" i="4"/>
  <c r="F44" i="4"/>
  <c r="G44" i="4"/>
  <c r="H44" i="4"/>
  <c r="I44" i="4"/>
  <c r="J44" i="4"/>
  <c r="J45" i="4" s="1"/>
  <c r="K44" i="4"/>
  <c r="L44" i="4"/>
  <c r="M44" i="4"/>
  <c r="F45" i="4"/>
  <c r="G45" i="4"/>
  <c r="C13" i="15" s="1"/>
  <c r="H45" i="4"/>
  <c r="I45" i="4"/>
  <c r="D13" i="15" s="1"/>
  <c r="K45" i="4"/>
  <c r="E13" i="15" s="1"/>
  <c r="L45" i="4"/>
  <c r="D40" i="4"/>
  <c r="E40" i="4" s="1"/>
  <c r="E44" i="4" s="1"/>
  <c r="D39" i="4"/>
  <c r="E39" i="4" s="1"/>
  <c r="F5" i="10"/>
  <c r="G5" i="10"/>
  <c r="H5" i="10"/>
  <c r="I5" i="10"/>
  <c r="I6" i="10" s="1"/>
  <c r="J5" i="10"/>
  <c r="K5" i="10"/>
  <c r="L5" i="10"/>
  <c r="M5" i="10"/>
  <c r="F6" i="10"/>
  <c r="G6" i="10"/>
  <c r="H6" i="10"/>
  <c r="H7" i="10" s="1"/>
  <c r="J6" i="10"/>
  <c r="J7" i="10" s="1"/>
  <c r="K6" i="10"/>
  <c r="K7" i="10" s="1"/>
  <c r="E12" i="15" s="1"/>
  <c r="L6" i="10"/>
  <c r="M6" i="10"/>
  <c r="F7" i="10"/>
  <c r="G7" i="10"/>
  <c r="C12" i="15" s="1"/>
  <c r="L7" i="10"/>
  <c r="M7" i="10"/>
  <c r="F12" i="15" s="1"/>
  <c r="F46" i="6"/>
  <c r="G46" i="6"/>
  <c r="H46" i="6"/>
  <c r="H47" i="6" s="1"/>
  <c r="H48" i="6" s="1"/>
  <c r="I46" i="6"/>
  <c r="I47" i="6" s="1"/>
  <c r="I48" i="6" s="1"/>
  <c r="D10" i="15" s="1"/>
  <c r="J46" i="6"/>
  <c r="K46" i="6"/>
  <c r="K47" i="6" s="1"/>
  <c r="L46" i="6"/>
  <c r="M46" i="6"/>
  <c r="F47" i="6"/>
  <c r="G47" i="6"/>
  <c r="J47" i="6"/>
  <c r="J48" i="6" s="1"/>
  <c r="L47" i="6"/>
  <c r="M47" i="6"/>
  <c r="F48" i="6"/>
  <c r="G48" i="6"/>
  <c r="C10" i="15" s="1"/>
  <c r="L48" i="6"/>
  <c r="M48" i="6"/>
  <c r="F10" i="15" s="1"/>
  <c r="D44" i="6"/>
  <c r="E44" i="6" s="1"/>
  <c r="D43" i="6"/>
  <c r="E43" i="6" s="1"/>
  <c r="D42" i="6"/>
  <c r="E42" i="6" s="1"/>
  <c r="F6" i="5"/>
  <c r="F7" i="5" s="1"/>
  <c r="F8" i="5" s="1"/>
  <c r="G6" i="5"/>
  <c r="H6" i="5"/>
  <c r="H7" i="5" s="1"/>
  <c r="I6" i="5"/>
  <c r="J6" i="5"/>
  <c r="K6" i="5"/>
  <c r="L6" i="5"/>
  <c r="M6" i="5"/>
  <c r="M7" i="5" s="1"/>
  <c r="M8" i="5" s="1"/>
  <c r="G7" i="5"/>
  <c r="G8" i="5" s="1"/>
  <c r="I7" i="5"/>
  <c r="J7" i="5"/>
  <c r="K7" i="5"/>
  <c r="L7" i="5"/>
  <c r="I8" i="5"/>
  <c r="J8" i="5"/>
  <c r="K8" i="5"/>
  <c r="E3" i="15" s="1"/>
  <c r="L8" i="5"/>
  <c r="T9" i="2"/>
  <c r="U9" i="2"/>
  <c r="V9" i="2"/>
  <c r="W9" i="2"/>
  <c r="S9" i="2"/>
  <c r="T6" i="2"/>
  <c r="U6" i="2"/>
  <c r="V6" i="2"/>
  <c r="W6" i="2"/>
  <c r="M45" i="4" l="1"/>
  <c r="F13" i="15" s="1"/>
  <c r="F18" i="13"/>
  <c r="H21" i="13"/>
  <c r="G20" i="13"/>
  <c r="H8" i="5"/>
  <c r="K48" i="6"/>
  <c r="E10" i="15" s="1"/>
  <c r="I7" i="10"/>
  <c r="D12" i="15" s="1"/>
  <c r="E18" i="13"/>
  <c r="E20" i="13"/>
  <c r="F21" i="13"/>
  <c r="G15" i="13"/>
  <c r="E36" i="15"/>
  <c r="H18" i="13"/>
  <c r="H20" i="13"/>
  <c r="E21" i="13"/>
  <c r="G21" i="13"/>
  <c r="C3" i="15"/>
  <c r="F3" i="15"/>
  <c r="D3" i="15"/>
  <c r="E43" i="4"/>
  <c r="E45" i="4" s="1"/>
  <c r="B13" i="15" s="1"/>
  <c r="E46" i="6"/>
  <c r="E47" i="6" s="1"/>
  <c r="E48" i="6" s="1"/>
  <c r="B10" i="15" s="1"/>
  <c r="G18" i="13" l="1"/>
  <c r="B46" i="15"/>
  <c r="D21" i="13"/>
  <c r="H13" i="15"/>
  <c r="F15" i="13"/>
  <c r="D36" i="15"/>
  <c r="B43" i="15"/>
  <c r="D18" i="13"/>
  <c r="H10" i="15"/>
  <c r="H15" i="13"/>
  <c r="F36" i="15"/>
  <c r="C36" i="15"/>
  <c r="E15" i="13"/>
  <c r="F20" i="13"/>
  <c r="U26" i="6"/>
  <c r="T26" i="6"/>
  <c r="S26" i="6"/>
  <c r="R26" i="6"/>
  <c r="Q26" i="6"/>
  <c r="U16" i="6"/>
  <c r="T16" i="6"/>
  <c r="S16" i="6"/>
  <c r="R16" i="6"/>
  <c r="Q16" i="6"/>
  <c r="U6" i="6"/>
  <c r="T6" i="6"/>
  <c r="S6" i="6"/>
  <c r="R6" i="6"/>
  <c r="U46" i="6" s="1"/>
  <c r="Q6" i="6"/>
  <c r="T46" i="6" s="1"/>
  <c r="X46" i="6" l="1"/>
  <c r="V46" i="6"/>
  <c r="W46" i="6"/>
  <c r="F31" i="9"/>
  <c r="F30" i="9"/>
  <c r="F32" i="9" s="1"/>
  <c r="D11" i="9" l="1"/>
  <c r="D7" i="9"/>
  <c r="D5" i="9"/>
  <c r="Q14" i="4" l="1"/>
  <c r="E5" i="10"/>
  <c r="E6" i="10" s="1"/>
  <c r="E7" i="10" s="1"/>
  <c r="H4" i="9"/>
  <c r="I4" i="9" s="1"/>
  <c r="F153" i="1"/>
  <c r="Q146" i="1"/>
  <c r="C24" i="15" s="1"/>
  <c r="Q59" i="1"/>
  <c r="Q62" i="1" s="1"/>
  <c r="C153" i="1"/>
  <c r="E160" i="1" s="1"/>
  <c r="C114" i="1"/>
  <c r="C75" i="1"/>
  <c r="G36" i="1"/>
  <c r="G37" i="1" s="1"/>
  <c r="Q139" i="1"/>
  <c r="Q142" i="1" s="1"/>
  <c r="C23" i="15" s="1"/>
  <c r="E159" i="1"/>
  <c r="Q16" i="1"/>
  <c r="Q19" i="1"/>
  <c r="Q147" i="1"/>
  <c r="Q150" i="1" s="1"/>
  <c r="C25" i="15" s="1"/>
  <c r="Q105" i="1"/>
  <c r="Q108" i="1" s="1"/>
  <c r="Q63" i="1"/>
  <c r="Q66" i="1" s="1"/>
  <c r="Q20" i="1"/>
  <c r="Q23" i="1" s="1"/>
  <c r="L106" i="1"/>
  <c r="J106" i="1"/>
  <c r="H106" i="1"/>
  <c r="F106" i="1"/>
  <c r="L68" i="1"/>
  <c r="J68" i="1"/>
  <c r="H68" i="1"/>
  <c r="F68" i="1"/>
  <c r="F4" i="9"/>
  <c r="G4" i="9" s="1"/>
  <c r="J4" i="9"/>
  <c r="K4" i="9" s="1"/>
  <c r="E5" i="9"/>
  <c r="O5" i="9" s="1"/>
  <c r="H5" i="9"/>
  <c r="I5" i="9" s="1"/>
  <c r="L5" i="9"/>
  <c r="M5" i="9" s="1"/>
  <c r="C40" i="15" l="1"/>
  <c r="G153" i="1"/>
  <c r="C39" i="15"/>
  <c r="T4" i="10"/>
  <c r="T5" i="10" s="1"/>
  <c r="B12" i="15"/>
  <c r="V4" i="10"/>
  <c r="V5" i="10" s="1"/>
  <c r="W4" i="10"/>
  <c r="W5" i="10" s="1"/>
  <c r="X4" i="10"/>
  <c r="X5" i="10" s="1"/>
  <c r="U4" i="10"/>
  <c r="U5" i="10" s="1"/>
  <c r="U5" i="9"/>
  <c r="E4" i="9"/>
  <c r="O4" i="9" s="1"/>
  <c r="J5" i="9"/>
  <c r="K5" i="9" s="1"/>
  <c r="F5" i="9"/>
  <c r="G5" i="9" s="1"/>
  <c r="L4" i="9"/>
  <c r="M4" i="9" s="1"/>
  <c r="S148" i="1"/>
  <c r="T148" i="1"/>
  <c r="U148" i="1"/>
  <c r="R148" i="1"/>
  <c r="R21" i="1"/>
  <c r="S21" i="1"/>
  <c r="T21" i="1"/>
  <c r="U21" i="1"/>
  <c r="R64" i="1"/>
  <c r="S64" i="1"/>
  <c r="T64" i="1"/>
  <c r="U64" i="1"/>
  <c r="R106" i="1"/>
  <c r="S106" i="1"/>
  <c r="T106" i="1"/>
  <c r="U106" i="1"/>
  <c r="I68" i="1"/>
  <c r="H146" i="1"/>
  <c r="I146" i="1" s="1"/>
  <c r="K68" i="1"/>
  <c r="J146" i="1"/>
  <c r="K146" i="1" s="1"/>
  <c r="M68" i="1"/>
  <c r="L146" i="1"/>
  <c r="M146" i="1" s="1"/>
  <c r="F146" i="1"/>
  <c r="G146" i="1" s="1"/>
  <c r="G68" i="1"/>
  <c r="M6" i="9"/>
  <c r="D12" i="9"/>
  <c r="L12" i="9" s="1"/>
  <c r="M12" i="9" s="1"/>
  <c r="D20" i="13" l="1"/>
  <c r="B45" i="15"/>
  <c r="H12" i="15"/>
  <c r="F29" i="15"/>
  <c r="E29" i="15"/>
  <c r="D29" i="15"/>
  <c r="G29" i="15"/>
  <c r="Y5" i="10"/>
  <c r="W5" i="9"/>
  <c r="V5" i="9"/>
  <c r="X5" i="9"/>
  <c r="L7" i="9"/>
  <c r="M7" i="9" s="1"/>
  <c r="M8" i="9" s="1"/>
  <c r="F7" i="9"/>
  <c r="G7" i="9" s="1"/>
  <c r="E7" i="9"/>
  <c r="O7" i="9" s="1"/>
  <c r="F11" i="9"/>
  <c r="G11" i="9" s="1"/>
  <c r="L11" i="9"/>
  <c r="M11" i="9" s="1"/>
  <c r="M13" i="9" s="1"/>
  <c r="J11" i="9"/>
  <c r="K11" i="9" s="1"/>
  <c r="H11" i="9"/>
  <c r="I11" i="9" s="1"/>
  <c r="H7" i="9"/>
  <c r="I7" i="9" s="1"/>
  <c r="J7" i="9"/>
  <c r="K7" i="9" s="1"/>
  <c r="E12" i="9"/>
  <c r="O12" i="9" s="1"/>
  <c r="F12" i="9"/>
  <c r="G12" i="9" s="1"/>
  <c r="E11" i="9"/>
  <c r="O11" i="9" s="1"/>
  <c r="H12" i="9"/>
  <c r="I12" i="9" s="1"/>
  <c r="J12" i="9"/>
  <c r="K12" i="9" s="1"/>
  <c r="E155" i="1"/>
  <c r="E156" i="1"/>
  <c r="C8" i="15" s="1"/>
  <c r="G38" i="1"/>
  <c r="G39" i="1" s="1"/>
  <c r="R20" i="1" s="1"/>
  <c r="R23" i="1" s="1"/>
  <c r="E75" i="1"/>
  <c r="I153" i="1"/>
  <c r="I154" i="1" s="1"/>
  <c r="E114" i="1"/>
  <c r="E115" i="1" s="1"/>
  <c r="E116" i="1" s="1"/>
  <c r="E117" i="1" s="1"/>
  <c r="E133" i="1"/>
  <c r="E134" i="1"/>
  <c r="C5" i="15" s="1"/>
  <c r="E132" i="1"/>
  <c r="E102" i="1"/>
  <c r="E103" i="1"/>
  <c r="Q97" i="1" s="1"/>
  <c r="Q100" i="1" s="1"/>
  <c r="E101" i="1"/>
  <c r="E94" i="1"/>
  <c r="E95" i="1"/>
  <c r="Q93" i="1" s="1"/>
  <c r="Q96" i="1" s="1"/>
  <c r="E93" i="1"/>
  <c r="E63" i="1"/>
  <c r="E64" i="1"/>
  <c r="E62" i="1"/>
  <c r="E55" i="1"/>
  <c r="E56" i="1"/>
  <c r="Q51" i="1" s="1"/>
  <c r="Q54" i="1" s="1"/>
  <c r="E54" i="1"/>
  <c r="E24" i="1"/>
  <c r="E25" i="1"/>
  <c r="Q12" i="1" s="1"/>
  <c r="Q15" i="1" s="1"/>
  <c r="E23" i="1"/>
  <c r="E16" i="1"/>
  <c r="E17" i="1"/>
  <c r="Q8" i="1" s="1"/>
  <c r="Q11" i="1" s="1"/>
  <c r="E15" i="1"/>
  <c r="E6" i="2"/>
  <c r="G6" i="2" s="1"/>
  <c r="I6" i="2" s="1"/>
  <c r="K6" i="2" s="1"/>
  <c r="M6" i="2" s="1"/>
  <c r="O6" i="2" s="1"/>
  <c r="E7" i="2"/>
  <c r="G7" i="2" s="1"/>
  <c r="I7" i="2" s="1"/>
  <c r="K7" i="2" s="1"/>
  <c r="M7" i="2" s="1"/>
  <c r="O7" i="2" s="1"/>
  <c r="E8" i="2"/>
  <c r="G8" i="2" s="1"/>
  <c r="I8" i="2" s="1"/>
  <c r="K8" i="2" s="1"/>
  <c r="M8" i="2" s="1"/>
  <c r="O8" i="2" s="1"/>
  <c r="L59" i="1"/>
  <c r="C41" i="15" l="1"/>
  <c r="H8" i="13"/>
  <c r="F45" i="15"/>
  <c r="F8" i="13"/>
  <c r="D45" i="15"/>
  <c r="G8" i="13"/>
  <c r="E45" i="15"/>
  <c r="O13" i="9"/>
  <c r="O14" i="9" s="1"/>
  <c r="O15" i="9" s="1"/>
  <c r="G13" i="9"/>
  <c r="I8" i="13"/>
  <c r="G45" i="15"/>
  <c r="C29" i="15"/>
  <c r="E13" i="9"/>
  <c r="E14" i="9" s="1"/>
  <c r="Q135" i="1"/>
  <c r="Q138" i="1" s="1"/>
  <c r="C22" i="15" s="1"/>
  <c r="C38" i="15" s="1"/>
  <c r="K13" i="9"/>
  <c r="I13" i="9"/>
  <c r="M9" i="9"/>
  <c r="Q55" i="1"/>
  <c r="Q58" i="1" s="1"/>
  <c r="I155" i="1"/>
  <c r="I156" i="1" s="1"/>
  <c r="E8" i="15" s="1"/>
  <c r="E77" i="1"/>
  <c r="E76" i="1"/>
  <c r="I114" i="1"/>
  <c r="G114" i="1"/>
  <c r="G115" i="1" s="1"/>
  <c r="G116" i="1" s="1"/>
  <c r="G117" i="1" s="1"/>
  <c r="R105" i="1" s="1"/>
  <c r="R108" i="1" s="1"/>
  <c r="G75" i="1"/>
  <c r="G76" i="1" s="1"/>
  <c r="G77" i="1" s="1"/>
  <c r="G78" i="1" s="1"/>
  <c r="R63" i="1" s="1"/>
  <c r="R66" i="1" s="1"/>
  <c r="K114" i="1"/>
  <c r="K115" i="1" s="1"/>
  <c r="I75" i="1"/>
  <c r="I76" i="1" s="1"/>
  <c r="I77" i="1" s="1"/>
  <c r="I78" i="1" s="1"/>
  <c r="S63" i="1" s="1"/>
  <c r="S66" i="1" s="1"/>
  <c r="I36" i="1"/>
  <c r="I37" i="1" s="1"/>
  <c r="I38" i="1" s="1"/>
  <c r="I39" i="1" s="1"/>
  <c r="S20" i="1" s="1"/>
  <c r="S23" i="1" s="1"/>
  <c r="K153" i="1"/>
  <c r="K154" i="1" s="1"/>
  <c r="E153" i="1"/>
  <c r="E154" i="1" s="1"/>
  <c r="M153" i="1"/>
  <c r="M154" i="1" s="1"/>
  <c r="K36" i="1"/>
  <c r="K37" i="1" s="1"/>
  <c r="K38" i="1" s="1"/>
  <c r="K39" i="1" s="1"/>
  <c r="T20" i="1" s="1"/>
  <c r="T23" i="1" s="1"/>
  <c r="G154" i="1"/>
  <c r="K75" i="1"/>
  <c r="K76" i="1" s="1"/>
  <c r="K77" i="1" s="1"/>
  <c r="K78" i="1" s="1"/>
  <c r="T63" i="1" s="1"/>
  <c r="E36" i="1"/>
  <c r="E37" i="1" s="1"/>
  <c r="E38" i="1" s="1"/>
  <c r="E39" i="1" s="1"/>
  <c r="Q24" i="1" s="1"/>
  <c r="M36" i="1"/>
  <c r="M37" i="1" s="1"/>
  <c r="M38" i="1" s="1"/>
  <c r="M39" i="1" s="1"/>
  <c r="U20" i="1" s="1"/>
  <c r="U23" i="1" s="1"/>
  <c r="M114" i="1"/>
  <c r="M115" i="1" s="1"/>
  <c r="M116" i="1" s="1"/>
  <c r="M117" i="1" s="1"/>
  <c r="U105" i="1" s="1"/>
  <c r="M75" i="1"/>
  <c r="M76" i="1" s="1"/>
  <c r="M77" i="1" s="1"/>
  <c r="M78" i="1" s="1"/>
  <c r="U63" i="1" s="1"/>
  <c r="I115" i="1"/>
  <c r="U66" i="1" l="1"/>
  <c r="U108" i="1"/>
  <c r="H29" i="15"/>
  <c r="E8" i="13"/>
  <c r="C45" i="15"/>
  <c r="H45" i="15" s="1"/>
  <c r="T66" i="1"/>
  <c r="E78" i="1"/>
  <c r="S147" i="1"/>
  <c r="M10" i="9"/>
  <c r="E15" i="9"/>
  <c r="G155" i="1"/>
  <c r="G156" i="1" s="1"/>
  <c r="D8" i="15" s="1"/>
  <c r="M155" i="1"/>
  <c r="M156" i="1" s="1"/>
  <c r="G8" i="15" s="1"/>
  <c r="K155" i="1"/>
  <c r="K156" i="1" s="1"/>
  <c r="F8" i="15" s="1"/>
  <c r="K116" i="1"/>
  <c r="K117" i="1" s="1"/>
  <c r="T105" i="1" s="1"/>
  <c r="T108" i="1" s="1"/>
  <c r="I116" i="1"/>
  <c r="I117" i="1" s="1"/>
  <c r="S105" i="1" s="1"/>
  <c r="S108" i="1" s="1"/>
  <c r="H8" i="15" l="1"/>
  <c r="U147" i="1"/>
  <c r="R147" i="1"/>
  <c r="U150" i="1" s="1"/>
  <c r="G25" i="15" s="1"/>
  <c r="G41" i="15" s="1"/>
  <c r="T147" i="1"/>
  <c r="I14" i="9"/>
  <c r="I15" i="9" s="1"/>
  <c r="M14" i="9"/>
  <c r="M15" i="9" s="1"/>
  <c r="M17" i="9" s="1"/>
  <c r="F11" i="15" s="1"/>
  <c r="H19" i="13" s="1"/>
  <c r="G14" i="9"/>
  <c r="G15" i="9" s="1"/>
  <c r="K14" i="9"/>
  <c r="K15" i="9" s="1"/>
  <c r="Q26" i="4"/>
  <c r="R26" i="4"/>
  <c r="S26" i="4"/>
  <c r="T26" i="4"/>
  <c r="U26" i="4"/>
  <c r="Q6" i="4"/>
  <c r="R6" i="4"/>
  <c r="S6" i="4"/>
  <c r="T6" i="4"/>
  <c r="U6" i="4"/>
  <c r="R16" i="4"/>
  <c r="S16" i="4"/>
  <c r="T16" i="4"/>
  <c r="U16" i="4"/>
  <c r="Q16" i="4"/>
  <c r="R24" i="4"/>
  <c r="S24" i="4"/>
  <c r="T24" i="4"/>
  <c r="U24" i="4"/>
  <c r="Q24" i="4"/>
  <c r="R14" i="4"/>
  <c r="S14" i="4"/>
  <c r="T14" i="4"/>
  <c r="U14" i="4"/>
  <c r="R4" i="4"/>
  <c r="S4" i="4"/>
  <c r="V38" i="4" s="1"/>
  <c r="T4" i="4"/>
  <c r="W38" i="4" s="1"/>
  <c r="U4" i="4"/>
  <c r="X38" i="4" s="1"/>
  <c r="Q4" i="4"/>
  <c r="R5" i="8"/>
  <c r="L98" i="1"/>
  <c r="M98" i="1" s="1"/>
  <c r="M101" i="1" s="1"/>
  <c r="J98" i="1"/>
  <c r="H98" i="1"/>
  <c r="F98" i="1"/>
  <c r="G98" i="1" s="1"/>
  <c r="G101" i="1" s="1"/>
  <c r="M59" i="1"/>
  <c r="M62" i="1" s="1"/>
  <c r="J59" i="1"/>
  <c r="K59" i="1" s="1"/>
  <c r="K62" i="1" s="1"/>
  <c r="H59" i="1"/>
  <c r="F59" i="1"/>
  <c r="L20" i="1"/>
  <c r="J20" i="1"/>
  <c r="H20" i="1"/>
  <c r="I20" i="1" s="1"/>
  <c r="I23" i="1" s="1"/>
  <c r="F20" i="1"/>
  <c r="K98" i="1"/>
  <c r="K101" i="1" s="1"/>
  <c r="I59" i="1"/>
  <c r="I62" i="1" s="1"/>
  <c r="F28" i="1"/>
  <c r="G28" i="1" s="1"/>
  <c r="G31" i="1" s="1"/>
  <c r="H28" i="1"/>
  <c r="I28" i="1" s="1"/>
  <c r="I31" i="1" s="1"/>
  <c r="I32" i="1" s="1"/>
  <c r="I33" i="1" s="1"/>
  <c r="S16" i="1" s="1"/>
  <c r="J28" i="1"/>
  <c r="K28" i="1" s="1"/>
  <c r="K31" i="1" s="1"/>
  <c r="L28" i="1"/>
  <c r="M28" i="1" s="1"/>
  <c r="M31" i="1" s="1"/>
  <c r="R150" i="1" l="1"/>
  <c r="D25" i="15" s="1"/>
  <c r="S150" i="1"/>
  <c r="E25" i="15" s="1"/>
  <c r="E41" i="15" s="1"/>
  <c r="X5" i="8"/>
  <c r="X6" i="8" s="1"/>
  <c r="X7" i="8" s="1"/>
  <c r="S5" i="8"/>
  <c r="S6" i="8" s="1"/>
  <c r="S7" i="8" s="1"/>
  <c r="C31" i="15" s="1"/>
  <c r="W5" i="8"/>
  <c r="W6" i="8" s="1"/>
  <c r="W7" i="8" s="1"/>
  <c r="G31" i="15" s="1"/>
  <c r="U5" i="8"/>
  <c r="U6" i="8" s="1"/>
  <c r="U7" i="8" s="1"/>
  <c r="E31" i="15" s="1"/>
  <c r="V5" i="8"/>
  <c r="V6" i="8" s="1"/>
  <c r="V7" i="8" s="1"/>
  <c r="F31" i="15" s="1"/>
  <c r="T5" i="8"/>
  <c r="T6" i="8" s="1"/>
  <c r="T7" i="8" s="1"/>
  <c r="D31" i="15" s="1"/>
  <c r="X40" i="4"/>
  <c r="T40" i="4"/>
  <c r="T150" i="1"/>
  <c r="F25" i="15" s="1"/>
  <c r="F41" i="15" s="1"/>
  <c r="V40" i="4"/>
  <c r="U40" i="4"/>
  <c r="T38" i="4"/>
  <c r="U38" i="4"/>
  <c r="W40" i="4"/>
  <c r="G20" i="1"/>
  <c r="G23" i="1" s="1"/>
  <c r="F137" i="1"/>
  <c r="G137" i="1" s="1"/>
  <c r="G140" i="1" s="1"/>
  <c r="G141" i="1" s="1"/>
  <c r="G142" i="1" s="1"/>
  <c r="D6" i="15" s="1"/>
  <c r="M102" i="1"/>
  <c r="M103" i="1" s="1"/>
  <c r="U97" i="1" s="1"/>
  <c r="K63" i="1"/>
  <c r="K64" i="1" s="1"/>
  <c r="G102" i="1"/>
  <c r="G103" i="1" s="1"/>
  <c r="R97" i="1" s="1"/>
  <c r="R100" i="1" s="1"/>
  <c r="I63" i="1"/>
  <c r="I64" i="1" s="1"/>
  <c r="I98" i="1"/>
  <c r="I101" i="1" s="1"/>
  <c r="H137" i="1"/>
  <c r="I137" i="1" s="1"/>
  <c r="I140" i="1" s="1"/>
  <c r="M20" i="1"/>
  <c r="M23" i="1" s="1"/>
  <c r="L137" i="1"/>
  <c r="M137" i="1" s="1"/>
  <c r="M140" i="1" s="1"/>
  <c r="M63" i="1"/>
  <c r="M64" i="1" s="1"/>
  <c r="I24" i="1"/>
  <c r="I25" i="1" s="1"/>
  <c r="S12" i="1" s="1"/>
  <c r="K102" i="1"/>
  <c r="K103" i="1" s="1"/>
  <c r="T97" i="1" s="1"/>
  <c r="K20" i="1"/>
  <c r="K23" i="1" s="1"/>
  <c r="J137" i="1"/>
  <c r="K137" i="1" s="1"/>
  <c r="K140" i="1" s="1"/>
  <c r="G32" i="1"/>
  <c r="M32" i="1"/>
  <c r="M33" i="1" s="1"/>
  <c r="U16" i="1" s="1"/>
  <c r="K32" i="1"/>
  <c r="K33" i="1" s="1"/>
  <c r="T16" i="1" s="1"/>
  <c r="G59" i="1"/>
  <c r="G62" i="1" s="1"/>
  <c r="E26" i="6"/>
  <c r="E25" i="6"/>
  <c r="E24" i="6"/>
  <c r="E16" i="6"/>
  <c r="E15" i="6"/>
  <c r="E14" i="6"/>
  <c r="E6" i="6"/>
  <c r="E5" i="6"/>
  <c r="E4" i="6"/>
  <c r="I10" i="13" l="1"/>
  <c r="G47" i="15"/>
  <c r="F47" i="15"/>
  <c r="H10" i="13"/>
  <c r="G10" i="13"/>
  <c r="E47" i="15"/>
  <c r="E10" i="13"/>
  <c r="C47" i="15"/>
  <c r="H31" i="15"/>
  <c r="F10" i="13"/>
  <c r="D47" i="15"/>
  <c r="H25" i="15"/>
  <c r="D41" i="15"/>
  <c r="H41" i="15" s="1"/>
  <c r="R139" i="1"/>
  <c r="R142" i="1" s="1"/>
  <c r="D23" i="15" s="1"/>
  <c r="D39" i="15" s="1"/>
  <c r="E8" i="6"/>
  <c r="E9" i="6" s="1"/>
  <c r="E10" i="6" s="1"/>
  <c r="G33" i="1"/>
  <c r="R16" i="1" s="1"/>
  <c r="R19" i="1" s="1"/>
  <c r="S19" i="1" s="1"/>
  <c r="T19" i="1" s="1"/>
  <c r="U19" i="1" s="1"/>
  <c r="U55" i="1"/>
  <c r="S55" i="1"/>
  <c r="T55" i="1"/>
  <c r="I141" i="1"/>
  <c r="I142" i="1" s="1"/>
  <c r="E6" i="15" s="1"/>
  <c r="M141" i="1"/>
  <c r="M142" i="1" s="1"/>
  <c r="G6" i="15" s="1"/>
  <c r="G24" i="1"/>
  <c r="G25" i="1" s="1"/>
  <c r="R12" i="1" s="1"/>
  <c r="R15" i="1" s="1"/>
  <c r="S15" i="1" s="1"/>
  <c r="K141" i="1"/>
  <c r="K142" i="1" s="1"/>
  <c r="F6" i="15" s="1"/>
  <c r="I102" i="1"/>
  <c r="I103" i="1" s="1"/>
  <c r="S97" i="1" s="1"/>
  <c r="S100" i="1" s="1"/>
  <c r="T100" i="1" s="1"/>
  <c r="U100" i="1" s="1"/>
  <c r="M24" i="1"/>
  <c r="M25" i="1" s="1"/>
  <c r="U12" i="1" s="1"/>
  <c r="G63" i="1"/>
  <c r="G64" i="1" s="1"/>
  <c r="K24" i="1"/>
  <c r="K25" i="1" s="1"/>
  <c r="T12" i="1" s="1"/>
  <c r="E28" i="6"/>
  <c r="E29" i="6" s="1"/>
  <c r="E30" i="6" s="1"/>
  <c r="E18" i="6"/>
  <c r="E19" i="6" s="1"/>
  <c r="M106" i="1"/>
  <c r="M109" i="1" s="1"/>
  <c r="M110" i="1" s="1"/>
  <c r="M111" i="1" s="1"/>
  <c r="U101" i="1" s="1"/>
  <c r="K106" i="1"/>
  <c r="K109" i="1" s="1"/>
  <c r="K110" i="1" s="1"/>
  <c r="K111" i="1" s="1"/>
  <c r="T101" i="1" s="1"/>
  <c r="I106" i="1"/>
  <c r="I109" i="1" s="1"/>
  <c r="L67" i="1"/>
  <c r="M67" i="1" s="1"/>
  <c r="J67" i="1"/>
  <c r="K67" i="1" s="1"/>
  <c r="K70" i="1" s="1"/>
  <c r="H67" i="1"/>
  <c r="I67" i="1" s="1"/>
  <c r="I70" i="1" s="1"/>
  <c r="F67" i="1"/>
  <c r="G67" i="1" s="1"/>
  <c r="F4" i="1"/>
  <c r="H47" i="15" l="1"/>
  <c r="H6" i="15"/>
  <c r="T15" i="1"/>
  <c r="U139" i="1"/>
  <c r="T139" i="1"/>
  <c r="S139" i="1"/>
  <c r="S142" i="1" s="1"/>
  <c r="E23" i="15" s="1"/>
  <c r="E39" i="15" s="1"/>
  <c r="S25" i="6"/>
  <c r="S27" i="6" s="1"/>
  <c r="U25" i="6"/>
  <c r="U27" i="6" s="1"/>
  <c r="Q25" i="6"/>
  <c r="Q27" i="6" s="1"/>
  <c r="R25" i="6"/>
  <c r="R27" i="6" s="1"/>
  <c r="T25" i="6"/>
  <c r="T27" i="6" s="1"/>
  <c r="E20" i="6"/>
  <c r="U5" i="6"/>
  <c r="Q5" i="6"/>
  <c r="T5" i="6"/>
  <c r="S5" i="6"/>
  <c r="R5" i="6"/>
  <c r="U15" i="1"/>
  <c r="R55" i="1"/>
  <c r="R58" i="1" s="1"/>
  <c r="S58" i="1" s="1"/>
  <c r="T58" i="1" s="1"/>
  <c r="U58" i="1" s="1"/>
  <c r="G70" i="1"/>
  <c r="G71" i="1" s="1"/>
  <c r="G72" i="1" s="1"/>
  <c r="R59" i="1" s="1"/>
  <c r="R62" i="1" s="1"/>
  <c r="M70" i="1"/>
  <c r="M71" i="1" s="1"/>
  <c r="M72" i="1" s="1"/>
  <c r="U59" i="1" s="1"/>
  <c r="K71" i="1"/>
  <c r="K72" i="1" s="1"/>
  <c r="T59" i="1" s="1"/>
  <c r="G106" i="1"/>
  <c r="G109" i="1" s="1"/>
  <c r="G110" i="1" s="1"/>
  <c r="G111" i="1" s="1"/>
  <c r="R101" i="1" s="1"/>
  <c r="R104" i="1" s="1"/>
  <c r="F145" i="1"/>
  <c r="G145" i="1" s="1"/>
  <c r="G148" i="1" s="1"/>
  <c r="H145" i="1"/>
  <c r="I145" i="1" s="1"/>
  <c r="I148" i="1" s="1"/>
  <c r="J145" i="1"/>
  <c r="K145" i="1" s="1"/>
  <c r="K148" i="1" s="1"/>
  <c r="L145" i="1"/>
  <c r="M145" i="1" s="1"/>
  <c r="M148" i="1" s="1"/>
  <c r="I110" i="1"/>
  <c r="I111" i="1" s="1"/>
  <c r="S101" i="1" s="1"/>
  <c r="I71" i="1"/>
  <c r="I72" i="1" s="1"/>
  <c r="S59" i="1" s="1"/>
  <c r="S62" i="1" s="1"/>
  <c r="T142" i="1" l="1"/>
  <c r="F23" i="15" s="1"/>
  <c r="F39" i="15" s="1"/>
  <c r="U142" i="1"/>
  <c r="G23" i="15" s="1"/>
  <c r="G39" i="15" s="1"/>
  <c r="H39" i="15" s="1"/>
  <c r="K7" i="15" s="1"/>
  <c r="S104" i="1"/>
  <c r="T104" i="1" s="1"/>
  <c r="U104" i="1" s="1"/>
  <c r="T7" i="6"/>
  <c r="U7" i="6"/>
  <c r="R7" i="6"/>
  <c r="Q7" i="6"/>
  <c r="S7" i="6"/>
  <c r="R15" i="6"/>
  <c r="R17" i="6" s="1"/>
  <c r="U15" i="6"/>
  <c r="U17" i="6" s="1"/>
  <c r="Q15" i="6"/>
  <c r="Q17" i="6" s="1"/>
  <c r="T15" i="6"/>
  <c r="T17" i="6" s="1"/>
  <c r="S15" i="6"/>
  <c r="S17" i="6" s="1"/>
  <c r="T62" i="1"/>
  <c r="U62" i="1" s="1"/>
  <c r="M149" i="1"/>
  <c r="M150" i="1" s="1"/>
  <c r="G7" i="15" s="1"/>
  <c r="K149" i="1"/>
  <c r="K150" i="1" s="1"/>
  <c r="F7" i="15" s="1"/>
  <c r="I149" i="1"/>
  <c r="I150" i="1" s="1"/>
  <c r="E7" i="15" s="1"/>
  <c r="G149" i="1"/>
  <c r="G150" i="1" s="1"/>
  <c r="D7" i="15" s="1"/>
  <c r="E4" i="5"/>
  <c r="E5" i="5"/>
  <c r="O15" i="15" l="1"/>
  <c r="M15" i="15"/>
  <c r="L15" i="15"/>
  <c r="K15" i="15"/>
  <c r="N15" i="15"/>
  <c r="H7" i="15"/>
  <c r="H23" i="15"/>
  <c r="E6" i="5"/>
  <c r="E7" i="5" s="1"/>
  <c r="E8" i="5" s="1"/>
  <c r="B3" i="15" s="1"/>
  <c r="T143" i="1"/>
  <c r="S143" i="1"/>
  <c r="U143" i="1"/>
  <c r="T45" i="6"/>
  <c r="T47" i="6" s="1"/>
  <c r="X45" i="6"/>
  <c r="X47" i="6" s="1"/>
  <c r="U45" i="6"/>
  <c r="U47" i="6" s="1"/>
  <c r="V45" i="6"/>
  <c r="V47" i="6" s="1"/>
  <c r="W45" i="6"/>
  <c r="W47" i="6" s="1"/>
  <c r="R143" i="1"/>
  <c r="R146" i="1" s="1"/>
  <c r="D24" i="15" s="1"/>
  <c r="D40" i="15" s="1"/>
  <c r="L90" i="1"/>
  <c r="M90" i="1" s="1"/>
  <c r="M93" i="1" s="1"/>
  <c r="J90" i="1"/>
  <c r="K90" i="1" s="1"/>
  <c r="K93" i="1" s="1"/>
  <c r="H90" i="1"/>
  <c r="F90" i="1"/>
  <c r="G90" i="1" s="1"/>
  <c r="G93" i="1" s="1"/>
  <c r="L51" i="1"/>
  <c r="M51" i="1" s="1"/>
  <c r="M54" i="1" s="1"/>
  <c r="M55" i="1" s="1"/>
  <c r="M56" i="1" s="1"/>
  <c r="U51" i="1" s="1"/>
  <c r="J51" i="1"/>
  <c r="K51" i="1" s="1"/>
  <c r="K54" i="1" s="1"/>
  <c r="K55" i="1" s="1"/>
  <c r="K56" i="1" s="1"/>
  <c r="T51" i="1" s="1"/>
  <c r="H51" i="1"/>
  <c r="I51" i="1" s="1"/>
  <c r="I54" i="1" s="1"/>
  <c r="I55" i="1" s="1"/>
  <c r="I56" i="1" s="1"/>
  <c r="S51" i="1" s="1"/>
  <c r="F51" i="1"/>
  <c r="G51" i="1" s="1"/>
  <c r="G54" i="1" s="1"/>
  <c r="G55" i="1" s="1"/>
  <c r="G56" i="1" s="1"/>
  <c r="R51" i="1" s="1"/>
  <c r="R54" i="1" s="1"/>
  <c r="S54" i="1" s="1"/>
  <c r="H12" i="1"/>
  <c r="I12" i="1" s="1"/>
  <c r="I15" i="1" s="1"/>
  <c r="J12" i="1"/>
  <c r="J129" i="1" s="1"/>
  <c r="K129" i="1" s="1"/>
  <c r="K132" i="1" s="1"/>
  <c r="L12" i="1"/>
  <c r="F12" i="1"/>
  <c r="G12" i="1" s="1"/>
  <c r="G15" i="1" s="1"/>
  <c r="D6" i="1"/>
  <c r="F43" i="1"/>
  <c r="P15" i="15" l="1"/>
  <c r="S146" i="1"/>
  <c r="E24" i="15" s="1"/>
  <c r="E40" i="15" s="1"/>
  <c r="H3" i="15"/>
  <c r="D15" i="13"/>
  <c r="B36" i="15"/>
  <c r="H36" i="15" s="1"/>
  <c r="D27" i="15"/>
  <c r="G27" i="15"/>
  <c r="F27" i="15"/>
  <c r="C27" i="15"/>
  <c r="E27" i="15"/>
  <c r="T146" i="1"/>
  <c r="F24" i="15" s="1"/>
  <c r="F40" i="15" s="1"/>
  <c r="T54" i="1"/>
  <c r="U54" i="1" s="1"/>
  <c r="I16" i="1"/>
  <c r="I17" i="1" s="1"/>
  <c r="S8" i="1" s="1"/>
  <c r="M94" i="1"/>
  <c r="M95" i="1" s="1"/>
  <c r="U93" i="1" s="1"/>
  <c r="G16" i="1"/>
  <c r="G17" i="1" s="1"/>
  <c r="R8" i="1" s="1"/>
  <c r="R11" i="1" s="1"/>
  <c r="K133" i="1"/>
  <c r="K134" i="1" s="1"/>
  <c r="F5" i="15" s="1"/>
  <c r="K94" i="1"/>
  <c r="K95" i="1" s="1"/>
  <c r="T93" i="1" s="1"/>
  <c r="G94" i="1"/>
  <c r="G95" i="1" s="1"/>
  <c r="R93" i="1" s="1"/>
  <c r="R96" i="1" s="1"/>
  <c r="L129" i="1"/>
  <c r="M129" i="1" s="1"/>
  <c r="M132" i="1" s="1"/>
  <c r="H129" i="1"/>
  <c r="I129" i="1" s="1"/>
  <c r="I132" i="1" s="1"/>
  <c r="K12" i="1"/>
  <c r="K15" i="1" s="1"/>
  <c r="M12" i="1"/>
  <c r="M15" i="1" s="1"/>
  <c r="I90" i="1"/>
  <c r="I93" i="1" s="1"/>
  <c r="F129" i="1"/>
  <c r="G129" i="1" s="1"/>
  <c r="G132" i="1" s="1"/>
  <c r="E5" i="4"/>
  <c r="E9" i="4" s="1"/>
  <c r="E15" i="4"/>
  <c r="E19" i="4" s="1"/>
  <c r="E25" i="4"/>
  <c r="E29" i="4" s="1"/>
  <c r="E24" i="4"/>
  <c r="E14" i="4"/>
  <c r="E4" i="4"/>
  <c r="F6" i="13" l="1"/>
  <c r="D43" i="15"/>
  <c r="G6" i="13"/>
  <c r="E43" i="15"/>
  <c r="E6" i="13"/>
  <c r="H27" i="15"/>
  <c r="C43" i="15"/>
  <c r="I6" i="13"/>
  <c r="G43" i="15"/>
  <c r="H6" i="13"/>
  <c r="F43" i="15"/>
  <c r="T135" i="1"/>
  <c r="U146" i="1"/>
  <c r="G24" i="15" s="1"/>
  <c r="S11" i="1"/>
  <c r="M16" i="1"/>
  <c r="M17" i="1" s="1"/>
  <c r="U8" i="1" s="1"/>
  <c r="K16" i="1"/>
  <c r="K17" i="1" s="1"/>
  <c r="T8" i="1" s="1"/>
  <c r="G133" i="1"/>
  <c r="G134" i="1" s="1"/>
  <c r="D5" i="15" s="1"/>
  <c r="I133" i="1"/>
  <c r="I134" i="1" s="1"/>
  <c r="E5" i="15" s="1"/>
  <c r="I94" i="1"/>
  <c r="I95" i="1" s="1"/>
  <c r="S93" i="1" s="1"/>
  <c r="S96" i="1" s="1"/>
  <c r="T96" i="1" s="1"/>
  <c r="U96" i="1" s="1"/>
  <c r="M133" i="1"/>
  <c r="M134" i="1" s="1"/>
  <c r="G5" i="15" s="1"/>
  <c r="E8" i="4"/>
  <c r="E10" i="4" s="1"/>
  <c r="E28" i="4"/>
  <c r="E30" i="4" s="1"/>
  <c r="E18" i="4"/>
  <c r="E20" i="4" s="1"/>
  <c r="C83" i="1"/>
  <c r="C84" i="1"/>
  <c r="C82" i="1"/>
  <c r="C44" i="1"/>
  <c r="C45" i="1"/>
  <c r="C43" i="1"/>
  <c r="J84" i="1"/>
  <c r="H84" i="1"/>
  <c r="F84" i="1"/>
  <c r="D84" i="1"/>
  <c r="J83" i="1"/>
  <c r="H83" i="1"/>
  <c r="F83" i="1"/>
  <c r="G83" i="1" s="1"/>
  <c r="D83" i="1"/>
  <c r="J82" i="1"/>
  <c r="H82" i="1"/>
  <c r="F82" i="1"/>
  <c r="F121" i="1" s="1"/>
  <c r="D82" i="1"/>
  <c r="J44" i="1"/>
  <c r="J45" i="1"/>
  <c r="H45" i="1"/>
  <c r="F45" i="1"/>
  <c r="H44" i="1"/>
  <c r="F44" i="1"/>
  <c r="J43" i="1"/>
  <c r="H43" i="1"/>
  <c r="J6" i="1"/>
  <c r="K6" i="1" s="1"/>
  <c r="J5" i="1"/>
  <c r="K5" i="1" s="1"/>
  <c r="H6" i="1"/>
  <c r="I6" i="1" s="1"/>
  <c r="H5" i="1"/>
  <c r="F6" i="1"/>
  <c r="G6" i="1" s="1"/>
  <c r="F5" i="1"/>
  <c r="G5" i="1" s="1"/>
  <c r="J4" i="1"/>
  <c r="K4" i="1" s="1"/>
  <c r="H4" i="1"/>
  <c r="C122" i="1"/>
  <c r="C123" i="1"/>
  <c r="C121" i="1"/>
  <c r="D40" i="1"/>
  <c r="D43" i="1" s="1"/>
  <c r="E43" i="1" s="1"/>
  <c r="D5" i="1"/>
  <c r="D4" i="1"/>
  <c r="E4" i="1" s="1"/>
  <c r="H43" i="15" l="1"/>
  <c r="H5" i="15"/>
  <c r="G40" i="15"/>
  <c r="H40" i="15" s="1"/>
  <c r="K8" i="15" s="1"/>
  <c r="H24" i="15"/>
  <c r="S135" i="1"/>
  <c r="R135" i="1"/>
  <c r="R138" i="1" s="1"/>
  <c r="D22" i="15" s="1"/>
  <c r="U135" i="1"/>
  <c r="T11" i="1"/>
  <c r="U11" i="1" s="1"/>
  <c r="G84" i="1"/>
  <c r="K43" i="1"/>
  <c r="I44" i="1"/>
  <c r="L5" i="1"/>
  <c r="M5" i="1" s="1"/>
  <c r="D44" i="1"/>
  <c r="D122" i="1" s="1"/>
  <c r="K45" i="1"/>
  <c r="I83" i="1"/>
  <c r="K83" i="1"/>
  <c r="I84" i="1"/>
  <c r="Q15" i="4"/>
  <c r="Q17" i="4" s="1"/>
  <c r="U15" i="4"/>
  <c r="U17" i="4" s="1"/>
  <c r="T15" i="4"/>
  <c r="T17" i="4" s="1"/>
  <c r="S15" i="4"/>
  <c r="S17" i="4" s="1"/>
  <c r="R15" i="4"/>
  <c r="R17" i="4" s="1"/>
  <c r="D45" i="1"/>
  <c r="E45" i="1" s="1"/>
  <c r="R25" i="4"/>
  <c r="R27" i="4" s="1"/>
  <c r="U25" i="4"/>
  <c r="U27" i="4" s="1"/>
  <c r="T25" i="4"/>
  <c r="T27" i="4" s="1"/>
  <c r="S25" i="4"/>
  <c r="S27" i="4" s="1"/>
  <c r="Q25" i="4"/>
  <c r="Q27" i="4" s="1"/>
  <c r="H121" i="1"/>
  <c r="I121" i="1" s="1"/>
  <c r="G45" i="1"/>
  <c r="T5" i="4"/>
  <c r="S5" i="4"/>
  <c r="R5" i="4"/>
  <c r="Q5" i="4"/>
  <c r="U5" i="4"/>
  <c r="L6" i="1"/>
  <c r="L4" i="1"/>
  <c r="M4" i="1" s="1"/>
  <c r="E83" i="1"/>
  <c r="E84" i="1"/>
  <c r="K44" i="1"/>
  <c r="G43" i="1"/>
  <c r="G44" i="1"/>
  <c r="K84" i="1"/>
  <c r="I82" i="1"/>
  <c r="G82" i="1"/>
  <c r="K82" i="1"/>
  <c r="E82" i="1"/>
  <c r="I45" i="1"/>
  <c r="I43" i="1"/>
  <c r="L84" i="1"/>
  <c r="M84" i="1" s="1"/>
  <c r="L83" i="1"/>
  <c r="M83" i="1" s="1"/>
  <c r="L82" i="1"/>
  <c r="M82" i="1" s="1"/>
  <c r="L43" i="1"/>
  <c r="M43" i="1" s="1"/>
  <c r="H122" i="1"/>
  <c r="I122" i="1" s="1"/>
  <c r="I5" i="1"/>
  <c r="G4" i="1"/>
  <c r="F123" i="1"/>
  <c r="G123" i="1" s="1"/>
  <c r="I4" i="1"/>
  <c r="H123" i="1"/>
  <c r="I123" i="1" s="1"/>
  <c r="D123" i="1"/>
  <c r="J123" i="1"/>
  <c r="K123" i="1" s="1"/>
  <c r="G121" i="1"/>
  <c r="F122" i="1"/>
  <c r="G122" i="1" s="1"/>
  <c r="J122" i="1"/>
  <c r="K122" i="1" s="1"/>
  <c r="D121" i="1"/>
  <c r="E121" i="1" s="1"/>
  <c r="E124" i="1" s="1"/>
  <c r="J121" i="1"/>
  <c r="K121" i="1" s="1"/>
  <c r="K7" i="1"/>
  <c r="K8" i="1" s="1"/>
  <c r="K9" i="1" s="1"/>
  <c r="K16" i="15" l="1"/>
  <c r="N16" i="15"/>
  <c r="M16" i="15"/>
  <c r="O16" i="15"/>
  <c r="L16" i="15"/>
  <c r="S138" i="1"/>
  <c r="E22" i="15" s="1"/>
  <c r="E38" i="15" s="1"/>
  <c r="D38" i="15"/>
  <c r="Q7" i="4"/>
  <c r="T39" i="4"/>
  <c r="T41" i="4" s="1"/>
  <c r="U7" i="4"/>
  <c r="X39" i="4"/>
  <c r="X41" i="4" s="1"/>
  <c r="R7" i="4"/>
  <c r="U39" i="4"/>
  <c r="U41" i="4" s="1"/>
  <c r="S7" i="4"/>
  <c r="V39" i="4"/>
  <c r="V41" i="4" s="1"/>
  <c r="T7" i="4"/>
  <c r="W39" i="4"/>
  <c r="W41" i="4" s="1"/>
  <c r="G85" i="1"/>
  <c r="G86" i="1" s="1"/>
  <c r="G87" i="1" s="1"/>
  <c r="R89" i="1" s="1"/>
  <c r="R92" i="1" s="1"/>
  <c r="R109" i="1" s="1"/>
  <c r="T4" i="1"/>
  <c r="I46" i="1"/>
  <c r="I47" i="1" s="1"/>
  <c r="I48" i="1" s="1"/>
  <c r="S47" i="1" s="1"/>
  <c r="K46" i="1"/>
  <c r="K47" i="1" s="1"/>
  <c r="K48" i="1" s="1"/>
  <c r="T47" i="1" s="1"/>
  <c r="L44" i="1"/>
  <c r="M44" i="1" s="1"/>
  <c r="E44" i="1"/>
  <c r="E46" i="1" s="1"/>
  <c r="E47" i="1" s="1"/>
  <c r="E48" i="1" s="1"/>
  <c r="Q47" i="1" s="1"/>
  <c r="Q50" i="1" s="1"/>
  <c r="Q67" i="1" s="1"/>
  <c r="G7" i="1"/>
  <c r="L45" i="1"/>
  <c r="M45" i="1" s="1"/>
  <c r="K85" i="1"/>
  <c r="K86" i="1" s="1"/>
  <c r="K87" i="1" s="1"/>
  <c r="T89" i="1" s="1"/>
  <c r="M6" i="1"/>
  <c r="M7" i="1" s="1"/>
  <c r="M8" i="1" s="1"/>
  <c r="M9" i="1" s="1"/>
  <c r="M85" i="1"/>
  <c r="M86" i="1" s="1"/>
  <c r="M87" i="1" s="1"/>
  <c r="U89" i="1" s="1"/>
  <c r="L121" i="1"/>
  <c r="M121" i="1" s="1"/>
  <c r="I7" i="1"/>
  <c r="I8" i="1" s="1"/>
  <c r="I9" i="1" s="1"/>
  <c r="I85" i="1"/>
  <c r="I86" i="1" s="1"/>
  <c r="I87" i="1" s="1"/>
  <c r="S89" i="1" s="1"/>
  <c r="E85" i="1"/>
  <c r="E86" i="1" s="1"/>
  <c r="E87" i="1" s="1"/>
  <c r="Q89" i="1" s="1"/>
  <c r="Q92" i="1" s="1"/>
  <c r="Q109" i="1" s="1"/>
  <c r="G46" i="1"/>
  <c r="G47" i="1" s="1"/>
  <c r="G48" i="1" s="1"/>
  <c r="R47" i="1" s="1"/>
  <c r="R50" i="1" s="1"/>
  <c r="R67" i="1" s="1"/>
  <c r="K124" i="1"/>
  <c r="K125" i="1" s="1"/>
  <c r="K126" i="1" s="1"/>
  <c r="F4" i="15" s="1"/>
  <c r="I124" i="1"/>
  <c r="I125" i="1" s="1"/>
  <c r="I126" i="1" s="1"/>
  <c r="E4" i="15" s="1"/>
  <c r="G124" i="1"/>
  <c r="G125" i="1" s="1"/>
  <c r="G126" i="1" s="1"/>
  <c r="D4" i="15" s="1"/>
  <c r="E125" i="1"/>
  <c r="D126" i="1" s="1"/>
  <c r="C4" i="15" s="1"/>
  <c r="C55" i="15" l="1"/>
  <c r="E16" i="13" s="1"/>
  <c r="D55" i="15"/>
  <c r="F16" i="13" s="1"/>
  <c r="E55" i="15"/>
  <c r="G16" i="13" s="1"/>
  <c r="P16" i="15"/>
  <c r="F55" i="15"/>
  <c r="H16" i="13" s="1"/>
  <c r="T138" i="1"/>
  <c r="F22" i="15" s="1"/>
  <c r="F38" i="15" s="1"/>
  <c r="G30" i="15"/>
  <c r="F30" i="15"/>
  <c r="E30" i="15"/>
  <c r="D30" i="15"/>
  <c r="C30" i="15"/>
  <c r="S131" i="1"/>
  <c r="T131" i="1"/>
  <c r="Q131" i="1"/>
  <c r="Q134" i="1" s="1"/>
  <c r="C21" i="15" s="1"/>
  <c r="C37" i="15" s="1"/>
  <c r="U138" i="1"/>
  <c r="G22" i="15" s="1"/>
  <c r="G38" i="15" s="1"/>
  <c r="H38" i="15" s="1"/>
  <c r="K6" i="15" s="1"/>
  <c r="S92" i="1"/>
  <c r="S109" i="1" s="1"/>
  <c r="T92" i="1"/>
  <c r="S50" i="1"/>
  <c r="R131" i="1"/>
  <c r="R134" i="1" s="1"/>
  <c r="D21" i="15" s="1"/>
  <c r="D58" i="15" s="1"/>
  <c r="F4" i="13" s="1"/>
  <c r="S4" i="1"/>
  <c r="U4" i="1"/>
  <c r="M46" i="1"/>
  <c r="M47" i="1" s="1"/>
  <c r="M48" i="1" s="1"/>
  <c r="U47" i="1" s="1"/>
  <c r="G8" i="1"/>
  <c r="G9" i="1" s="1"/>
  <c r="L122" i="1"/>
  <c r="M122" i="1" s="1"/>
  <c r="L123" i="1"/>
  <c r="M123" i="1" s="1"/>
  <c r="S6" i="2"/>
  <c r="E5" i="2"/>
  <c r="G5" i="2" s="1"/>
  <c r="I5" i="2" s="1"/>
  <c r="K5" i="2" s="1"/>
  <c r="M5" i="2" s="1"/>
  <c r="O5" i="2" s="1"/>
  <c r="E4" i="2"/>
  <c r="G4" i="2" s="1"/>
  <c r="K14" i="15" l="1"/>
  <c r="N14" i="15"/>
  <c r="L14" i="15"/>
  <c r="M14" i="15"/>
  <c r="O14" i="15"/>
  <c r="G9" i="13"/>
  <c r="E46" i="15"/>
  <c r="I9" i="13"/>
  <c r="G46" i="15"/>
  <c r="H22" i="15"/>
  <c r="C58" i="15"/>
  <c r="E4" i="13" s="1"/>
  <c r="F9" i="13"/>
  <c r="D46" i="15"/>
  <c r="C52" i="15"/>
  <c r="H9" i="13"/>
  <c r="F46" i="15"/>
  <c r="D37" i="15"/>
  <c r="D52" i="15" s="1"/>
  <c r="H30" i="15"/>
  <c r="E9" i="13"/>
  <c r="C46" i="15"/>
  <c r="Q151" i="1"/>
  <c r="I4" i="2"/>
  <c r="G9" i="2"/>
  <c r="R151" i="1"/>
  <c r="S134" i="1"/>
  <c r="E21" i="15" s="1"/>
  <c r="S67" i="1"/>
  <c r="T50" i="1"/>
  <c r="U92" i="1"/>
  <c r="U109" i="1" s="1"/>
  <c r="T109" i="1"/>
  <c r="R4" i="1"/>
  <c r="R7" i="1" s="1"/>
  <c r="M124" i="1"/>
  <c r="M125" i="1" s="1"/>
  <c r="M126" i="1" s="1"/>
  <c r="G4" i="15" s="1"/>
  <c r="E9" i="2"/>
  <c r="E10" i="2"/>
  <c r="P14" i="15" l="1"/>
  <c r="H46" i="15"/>
  <c r="E58" i="15"/>
  <c r="G4" i="13" s="1"/>
  <c r="E37" i="15"/>
  <c r="E52" i="15" s="1"/>
  <c r="G55" i="15"/>
  <c r="I16" i="13" s="1"/>
  <c r="H4" i="15"/>
  <c r="H55" i="15" s="1"/>
  <c r="E11" i="2"/>
  <c r="U131" i="1"/>
  <c r="G10" i="2"/>
  <c r="G11" i="2" s="1"/>
  <c r="K4" i="2"/>
  <c r="I9" i="2"/>
  <c r="R24" i="1"/>
  <c r="S7" i="1"/>
  <c r="U50" i="1"/>
  <c r="U67" i="1" s="1"/>
  <c r="T67" i="1"/>
  <c r="S151" i="1"/>
  <c r="T134" i="1"/>
  <c r="F21" i="15" s="1"/>
  <c r="E5" i="1"/>
  <c r="E6" i="1"/>
  <c r="F58" i="15" l="1"/>
  <c r="H4" i="13" s="1"/>
  <c r="F37" i="15"/>
  <c r="F52" i="15" s="1"/>
  <c r="C9" i="15"/>
  <c r="B9" i="15"/>
  <c r="V10" i="2"/>
  <c r="V11" i="2" s="1"/>
  <c r="U10" i="2"/>
  <c r="U11" i="2" s="1"/>
  <c r="T10" i="2"/>
  <c r="T11" i="2" s="1"/>
  <c r="S10" i="2"/>
  <c r="S11" i="2" s="1"/>
  <c r="W10" i="2"/>
  <c r="W11" i="2" s="1"/>
  <c r="I10" i="2"/>
  <c r="I11" i="2" s="1"/>
  <c r="M4" i="2"/>
  <c r="K9" i="2"/>
  <c r="T151" i="1"/>
  <c r="U134" i="1"/>
  <c r="G21" i="15" s="1"/>
  <c r="T7" i="1"/>
  <c r="S24" i="1"/>
  <c r="E7" i="1"/>
  <c r="G58" i="15" l="1"/>
  <c r="I4" i="13" s="1"/>
  <c r="G37" i="15"/>
  <c r="H21" i="15"/>
  <c r="H58" i="15" s="1"/>
  <c r="D17" i="13"/>
  <c r="B42" i="15"/>
  <c r="M9" i="2"/>
  <c r="M10" i="2" s="1"/>
  <c r="M11" i="2" s="1"/>
  <c r="O4" i="2"/>
  <c r="O9" i="2" s="1"/>
  <c r="E17" i="13"/>
  <c r="D9" i="15"/>
  <c r="C26" i="15"/>
  <c r="D26" i="15"/>
  <c r="F5" i="13" s="1"/>
  <c r="E26" i="15"/>
  <c r="G5" i="13" s="1"/>
  <c r="G26" i="15"/>
  <c r="I5" i="13" s="1"/>
  <c r="F26" i="15"/>
  <c r="H5" i="13" s="1"/>
  <c r="U151" i="1"/>
  <c r="K10" i="2"/>
  <c r="K11" i="2" s="1"/>
  <c r="T24" i="1"/>
  <c r="U7" i="1"/>
  <c r="U24" i="1" s="1"/>
  <c r="E8" i="1"/>
  <c r="E9" i="1" s="1"/>
  <c r="Q4" i="1" s="1"/>
  <c r="E5" i="13" l="1"/>
  <c r="H26" i="15"/>
  <c r="F17" i="13"/>
  <c r="D42" i="15"/>
  <c r="C42" i="15"/>
  <c r="G52" i="15"/>
  <c r="H37" i="15"/>
  <c r="O10" i="2"/>
  <c r="O11" i="2" s="1"/>
  <c r="G9" i="15" s="1"/>
  <c r="F9" i="15"/>
  <c r="E9" i="15"/>
  <c r="J6" i="9"/>
  <c r="K6" i="9" s="1"/>
  <c r="K8" i="9" s="1"/>
  <c r="K9" i="9" s="1"/>
  <c r="E6" i="9"/>
  <c r="H6" i="9"/>
  <c r="F6" i="9" s="1"/>
  <c r="G6" i="9" s="1"/>
  <c r="G8" i="9" s="1"/>
  <c r="I17" i="13" l="1"/>
  <c r="G42" i="15"/>
  <c r="H52" i="15"/>
  <c r="K5" i="15"/>
  <c r="G17" i="13"/>
  <c r="E42" i="15"/>
  <c r="H9" i="15"/>
  <c r="F42" i="15"/>
  <c r="H17" i="13"/>
  <c r="E8" i="9"/>
  <c r="O6" i="9"/>
  <c r="O8" i="9" s="1"/>
  <c r="O9" i="9" s="1"/>
  <c r="O10" i="9" s="1"/>
  <c r="O17" i="9" s="1"/>
  <c r="G11" i="15" s="1"/>
  <c r="G15" i="15" s="1"/>
  <c r="F15" i="15"/>
  <c r="G9" i="9"/>
  <c r="G10" i="9" s="1"/>
  <c r="G17" i="9" s="1"/>
  <c r="C11" i="15" s="1"/>
  <c r="E9" i="9"/>
  <c r="E10" i="9" s="1"/>
  <c r="E17" i="9" s="1"/>
  <c r="B11" i="15" s="1"/>
  <c r="B15" i="15" s="1"/>
  <c r="B48" i="15" s="1"/>
  <c r="K10" i="9"/>
  <c r="K17" i="9" s="1"/>
  <c r="E11" i="15" s="1"/>
  <c r="I6" i="9"/>
  <c r="I8" i="9" s="1"/>
  <c r="H42" i="15" l="1"/>
  <c r="N13" i="15"/>
  <c r="N17" i="15" s="1"/>
  <c r="H24" i="13" s="1"/>
  <c r="L13" i="15"/>
  <c r="K13" i="15"/>
  <c r="K17" i="15" s="1"/>
  <c r="E24" i="13" s="1"/>
  <c r="M13" i="15"/>
  <c r="M17" i="15" s="1"/>
  <c r="G24" i="13" s="1"/>
  <c r="O13" i="15"/>
  <c r="O17" i="15" s="1"/>
  <c r="I24" i="13" s="1"/>
  <c r="G19" i="13"/>
  <c r="E15" i="15"/>
  <c r="E19" i="13"/>
  <c r="C15" i="15"/>
  <c r="B44" i="15"/>
  <c r="D19" i="13"/>
  <c r="D23" i="13" s="1"/>
  <c r="D29" i="13" s="1"/>
  <c r="I19" i="13"/>
  <c r="T4" i="9"/>
  <c r="T6" i="9" s="1"/>
  <c r="I9" i="9"/>
  <c r="I10" i="9" s="1"/>
  <c r="I17" i="9" s="1"/>
  <c r="D11" i="15" s="1"/>
  <c r="U4" i="9" l="1"/>
  <c r="U6" i="9" s="1"/>
  <c r="D28" i="15" s="1"/>
  <c r="F7" i="13" s="1"/>
  <c r="L17" i="15"/>
  <c r="F24" i="13" s="1"/>
  <c r="P13" i="15"/>
  <c r="F19" i="13"/>
  <c r="D15" i="15"/>
  <c r="D31" i="13"/>
  <c r="D30" i="13"/>
  <c r="H11" i="15"/>
  <c r="C28" i="15"/>
  <c r="E23" i="13"/>
  <c r="F23" i="13"/>
  <c r="V4" i="9" l="1"/>
  <c r="V6" i="9" s="1"/>
  <c r="E28" i="15" s="1"/>
  <c r="E7" i="13"/>
  <c r="C44" i="15"/>
  <c r="D44" i="15"/>
  <c r="D32" i="15"/>
  <c r="C32" i="15"/>
  <c r="W4" i="9"/>
  <c r="I23" i="13"/>
  <c r="G23" i="13"/>
  <c r="H23" i="13"/>
  <c r="G7" i="13" l="1"/>
  <c r="E44" i="15"/>
  <c r="C48" i="15"/>
  <c r="C3" i="14"/>
  <c r="D48" i="15"/>
  <c r="D3" i="14"/>
  <c r="E32" i="15"/>
  <c r="W6" i="9"/>
  <c r="X4" i="9"/>
  <c r="X6" i="9" s="1"/>
  <c r="E48" i="15" l="1"/>
  <c r="E3" i="14"/>
  <c r="F28" i="15"/>
  <c r="G28" i="15"/>
  <c r="I7" i="13" l="1"/>
  <c r="G44" i="15"/>
  <c r="H7" i="13"/>
  <c r="F44" i="15"/>
  <c r="H28" i="15"/>
  <c r="G32" i="15"/>
  <c r="F32" i="15"/>
  <c r="H44" i="15" l="1"/>
  <c r="L36" i="15" s="1"/>
  <c r="L37" i="15" s="1"/>
  <c r="L38" i="15" s="1"/>
  <c r="L39" i="15" s="1"/>
  <c r="L41" i="15" s="1"/>
  <c r="F48" i="15"/>
  <c r="F3" i="14"/>
  <c r="G48" i="15"/>
  <c r="G3" i="14"/>
  <c r="L43" i="15"/>
  <c r="H3" i="14"/>
  <c r="K21" i="15" l="1"/>
  <c r="K23" i="15" s="1"/>
  <c r="L44" i="15"/>
  <c r="L45" i="15" s="1"/>
  <c r="L46" i="15" s="1"/>
  <c r="L48" i="15" s="1"/>
  <c r="M27" i="15" l="1"/>
  <c r="K27" i="15"/>
  <c r="C2" i="14" s="1"/>
  <c r="N27" i="15"/>
  <c r="H26" i="13" s="1"/>
  <c r="H28" i="13" s="1"/>
  <c r="O27" i="15"/>
  <c r="I26" i="13" s="1"/>
  <c r="I28" i="13" s="1"/>
  <c r="L27" i="15"/>
  <c r="F26" i="13"/>
  <c r="F28" i="13" s="1"/>
  <c r="D2" i="14"/>
  <c r="D4" i="14" s="1"/>
  <c r="D6" i="14" s="1"/>
  <c r="D7" i="14" s="1"/>
  <c r="F12" i="13" s="1"/>
  <c r="F13" i="13" s="1"/>
  <c r="F2" i="14"/>
  <c r="F4" i="14" s="1"/>
  <c r="F6" i="14" s="1"/>
  <c r="F7" i="14" s="1"/>
  <c r="H12" i="13" s="1"/>
  <c r="H13" i="13" s="1"/>
  <c r="G2" i="14"/>
  <c r="G4" i="14" s="1"/>
  <c r="G6" i="14" s="1"/>
  <c r="G7" i="14" s="1"/>
  <c r="I12" i="13" s="1"/>
  <c r="I13" i="13" s="1"/>
  <c r="G26" i="13"/>
  <c r="G28" i="13" s="1"/>
  <c r="E2" i="14"/>
  <c r="E4" i="14" s="1"/>
  <c r="E6" i="14" s="1"/>
  <c r="E7" i="14" s="1"/>
  <c r="G12" i="13" s="1"/>
  <c r="G13" i="13" s="1"/>
  <c r="G29" i="13" s="1"/>
  <c r="G31" i="13" s="1"/>
  <c r="F29" i="13" l="1"/>
  <c r="F31" i="13" s="1"/>
  <c r="I29" i="13"/>
  <c r="I31" i="13" s="1"/>
  <c r="C4" i="14"/>
  <c r="C6" i="14" s="1"/>
  <c r="C7" i="14" s="1"/>
  <c r="H2" i="14"/>
  <c r="E26" i="13"/>
  <c r="E28" i="13" s="1"/>
  <c r="E8" i="14"/>
  <c r="G8" i="14"/>
  <c r="H29" i="13"/>
  <c r="H31" i="13" s="1"/>
  <c r="P27" i="15"/>
  <c r="D8" i="14"/>
  <c r="F8" i="14"/>
  <c r="H4" i="14"/>
  <c r="E12" i="13"/>
  <c r="E13" i="13" s="1"/>
  <c r="E29" i="13" s="1"/>
  <c r="H7" i="14"/>
  <c r="C8" i="14"/>
  <c r="H6" i="14"/>
  <c r="H8" i="14" l="1"/>
  <c r="E31" i="13"/>
  <c r="J31" i="13" s="1"/>
  <c r="J32" i="13" s="1"/>
  <c r="C36" i="13"/>
  <c r="E30" i="13"/>
  <c r="C35" i="13"/>
  <c r="F30" i="13" l="1"/>
  <c r="G30" i="13" s="1"/>
  <c r="H30" i="13" s="1"/>
  <c r="I30" i="13" s="1"/>
</calcChain>
</file>

<file path=xl/sharedStrings.xml><?xml version="1.0" encoding="utf-8"?>
<sst xmlns="http://schemas.openxmlformats.org/spreadsheetml/2006/main" count="1477" uniqueCount="226">
  <si>
    <t>CAPEX(si hay)</t>
  </si>
  <si>
    <t>OPEX (si hay)</t>
  </si>
  <si>
    <t>Year0</t>
  </si>
  <si>
    <t>Year1</t>
  </si>
  <si>
    <t>Year2</t>
  </si>
  <si>
    <t>Year3</t>
  </si>
  <si>
    <t>Year4</t>
  </si>
  <si>
    <t>Year5</t>
  </si>
  <si>
    <t>System description</t>
  </si>
  <si>
    <t>Component</t>
  </si>
  <si>
    <t>Price/unit</t>
  </si>
  <si>
    <t>Nº of units</t>
  </si>
  <si>
    <t>Cost</t>
  </si>
  <si>
    <t>Clearwater</t>
  </si>
  <si>
    <t>Price/year 1</t>
  </si>
  <si>
    <t>Price/year 2</t>
  </si>
  <si>
    <t>Price/year 3</t>
  </si>
  <si>
    <t>Price/year 4</t>
  </si>
  <si>
    <t>Price/year 5</t>
  </si>
  <si>
    <t>Network management</t>
  </si>
  <si>
    <t>Router</t>
  </si>
  <si>
    <t>Cost in 
Euros</t>
  </si>
  <si>
    <t>MIB</t>
  </si>
  <si>
    <t>IBM Server</t>
  </si>
  <si>
    <t>AWS maintenance</t>
  </si>
  <si>
    <t>Maintenance offered by AWS is calculated as 10% of the price of the plan https://aws.amazon.com/es/premiumsupport/pricing/</t>
  </si>
  <si>
    <t xml:space="preserve">Total Adquisition </t>
  </si>
  <si>
    <t>HW maintenance</t>
  </si>
  <si>
    <t>Total Installation (12% of purchase)</t>
  </si>
  <si>
    <t>TOTAL</t>
  </si>
  <si>
    <t>TOTAL cost/year</t>
  </si>
  <si>
    <t>CAPEX (si hay)</t>
  </si>
  <si>
    <t>%</t>
  </si>
  <si>
    <t>VALENCIA</t>
  </si>
  <si>
    <t xml:space="preserve">Year2 </t>
  </si>
  <si>
    <t xml:space="preserve">Year3 </t>
  </si>
  <si>
    <t>total to install</t>
  </si>
  <si>
    <t>IoT smart waste</t>
  </si>
  <si>
    <t>Ultrasonic Sensor</t>
  </si>
  <si>
    <t>Maintenance (3%)</t>
  </si>
  <si>
    <t>NFC card</t>
  </si>
  <si>
    <t>Container with nfc lock</t>
  </si>
  <si>
    <t>IoT smart parking</t>
  </si>
  <si>
    <t>Smart parking sensor</t>
  </si>
  <si>
    <t>IoT smart traffic lights</t>
  </si>
  <si>
    <t>IoT smart street lights</t>
  </si>
  <si>
    <t>Smart traffic lights sensor</t>
  </si>
  <si>
    <t>LoRaWAN</t>
  </si>
  <si>
    <t>Gateway maintenance (3%)</t>
  </si>
  <si>
    <t>Server</t>
  </si>
  <si>
    <t>PIR sensor</t>
  </si>
  <si>
    <t>Installation</t>
  </si>
  <si>
    <t>Price/unit/year</t>
  </si>
  <si>
    <t>LoRaWan system</t>
  </si>
  <si>
    <t>Gateway</t>
  </si>
  <si>
    <t>CASTELLON</t>
  </si>
  <si>
    <t>-</t>
  </si>
  <si>
    <t>LED</t>
  </si>
  <si>
    <t xml:space="preserve"> total to install </t>
  </si>
  <si>
    <t>ALICANTE</t>
  </si>
  <si>
    <t>€/mes</t>
  </si>
  <si>
    <t>mes</t>
  </si>
  <si>
    <t>€/year</t>
  </si>
  <si>
    <t>SERVER</t>
  </si>
  <si>
    <t>https://www.loriot.io/professional-public-server.html</t>
  </si>
  <si>
    <t>GATEWAY</t>
  </si>
  <si>
    <t>https://itprice.com/cisco/ixm-lpwa-800-16-k9.html</t>
  </si>
  <si>
    <t>2500 $ /year</t>
  </si>
  <si>
    <t>smart waste sensors</t>
  </si>
  <si>
    <t>https://www.maxbotix.com/Ultrasonic_Sensors/MB1000.htm?parts=MaxSonar</t>
  </si>
  <si>
    <t>19,5 $</t>
  </si>
  <si>
    <t>nfc cards</t>
  </si>
  <si>
    <t>https://www.shopnfc.com/en/9-pvc-nfc-cards</t>
  </si>
  <si>
    <t>containers with nfc lock</t>
  </si>
  <si>
    <t>https://ent.cat/wp-content/uploads/2019/03/Identificaci%C3%B3n-de-los-usuarios-en-la-recogida-de-residuos-municipales.pdf</t>
  </si>
  <si>
    <t>IMS components</t>
  </si>
  <si>
    <t>HSS9820</t>
  </si>
  <si>
    <t>Cost in dollars</t>
  </si>
  <si>
    <t>EBS</t>
  </si>
  <si>
    <t>UMG9800</t>
  </si>
  <si>
    <t>EC2 instances</t>
  </si>
  <si>
    <t>SG7000</t>
  </si>
  <si>
    <t>Total Clearwater</t>
  </si>
  <si>
    <t>SOFTX3000</t>
  </si>
  <si>
    <t>MRS6000</t>
  </si>
  <si>
    <t>CAPEX</t>
  </si>
  <si>
    <t>OPEX</t>
  </si>
  <si>
    <t>Network infraestructure</t>
  </si>
  <si>
    <t>Optic fiber (Km)</t>
  </si>
  <si>
    <t>CISCO OADM CWDM MUX 4 Add/Drop Module</t>
  </si>
  <si>
    <t xml:space="preserve">CISCO NCS 5001 </t>
  </si>
  <si>
    <t>Electric power</t>
  </si>
  <si>
    <t>*Prices</t>
  </si>
  <si>
    <t>Cisco NCS 5001</t>
  </si>
  <si>
    <t>https://www.pcnation.com/web/details/8Q8579/cisco-ncs-5001-routing-system-ncs-5001</t>
  </si>
  <si>
    <t>CISCO OADM</t>
  </si>
  <si>
    <t>https://www.zones.com/site/product/index.html?id=106389681</t>
  </si>
  <si>
    <t>REVISAR ESTAS (HECHAS POR BEA)</t>
  </si>
  <si>
    <t>Fiber</t>
  </si>
  <si>
    <t>Coherent with CORE NETWORK</t>
  </si>
  <si>
    <t>NG -PON2</t>
  </si>
  <si>
    <t>ONU(modem)</t>
  </si>
  <si>
    <t>Maintenace</t>
  </si>
  <si>
    <t>Multiplexer</t>
  </si>
  <si>
    <t>Fiber Rent</t>
  </si>
  <si>
    <t xml:space="preserve">Card OLT </t>
  </si>
  <si>
    <t>Total</t>
  </si>
  <si>
    <t>Cabine OLT</t>
  </si>
  <si>
    <t>G.FAST</t>
  </si>
  <si>
    <t>DPU</t>
  </si>
  <si>
    <t>Modem + SFP modul tp-link</t>
  </si>
  <si>
    <t>Total (both technologies)</t>
  </si>
  <si>
    <t xml:space="preserve">   </t>
  </si>
  <si>
    <t>20% units each year</t>
  </si>
  <si>
    <t>TOTAL UNITS</t>
  </si>
  <si>
    <t>FIBER COST ESTIMATION</t>
  </si>
  <si>
    <t>Movistar share</t>
  </si>
  <si>
    <t>L in all valencia</t>
  </si>
  <si>
    <t>Length fiber (km)</t>
  </si>
  <si>
    <t>Fiber price/km*year</t>
  </si>
  <si>
    <t>Total Price/Year</t>
  </si>
  <si>
    <t xml:space="preserve">eNodeB Huawei DBS3900 </t>
  </si>
  <si>
    <t>Maintenance</t>
  </si>
  <si>
    <t>Optic fiber km (main)*</t>
  </si>
  <si>
    <t>Dark fiber renting (redundant)***</t>
  </si>
  <si>
    <t>CISCO NCS 4016 **</t>
  </si>
  <si>
    <t>Infraestructure placement and maintainance</t>
  </si>
  <si>
    <t>*Optic fiber</t>
  </si>
  <si>
    <t>** CISCO NCS 4016</t>
  </si>
  <si>
    <t>*** Dark Fiber</t>
  </si>
  <si>
    <t>Cost/Year 1</t>
  </si>
  <si>
    <t>Cost/Year 2</t>
  </si>
  <si>
    <t>Cost/Year 3</t>
  </si>
  <si>
    <t>Cost/Year 4</t>
  </si>
  <si>
    <t>Cost/Year 5</t>
  </si>
  <si>
    <t>Cost/Year 6</t>
  </si>
  <si>
    <t>Satellite MHz (KA-SAT)</t>
  </si>
  <si>
    <t>MHz rented</t>
  </si>
  <si>
    <t>Service</t>
  </si>
  <si>
    <t>Year 0</t>
  </si>
  <si>
    <t>Year 1</t>
  </si>
  <si>
    <t>Year 2</t>
  </si>
  <si>
    <t>Year 3</t>
  </si>
  <si>
    <t>Year 4</t>
  </si>
  <si>
    <t>Year 5</t>
  </si>
  <si>
    <t>TOTAL/System</t>
  </si>
  <si>
    <t>Benefit</t>
  </si>
  <si>
    <t>Network Management</t>
  </si>
  <si>
    <t>IoT Smart waste</t>
  </si>
  <si>
    <t>Total Fee (coste*1,5)</t>
  </si>
  <si>
    <t>IoT Smart parking</t>
  </si>
  <si>
    <t>IoT Smart traffic</t>
  </si>
  <si>
    <t>IoT Smart street lights</t>
  </si>
  <si>
    <t>IoT LoRa system</t>
  </si>
  <si>
    <t>IMS</t>
  </si>
  <si>
    <t>Edge NW</t>
  </si>
  <si>
    <t>Fixed NW</t>
  </si>
  <si>
    <t>Mobile NW</t>
  </si>
  <si>
    <t>Year 1 fee</t>
  </si>
  <si>
    <t>Year 2 fee</t>
  </si>
  <si>
    <t>Year 3 fee</t>
  </si>
  <si>
    <t>Year 4 fee</t>
  </si>
  <si>
    <t>Year 5 fee</t>
  </si>
  <si>
    <t>Core NW</t>
  </si>
  <si>
    <t>Satellite</t>
  </si>
  <si>
    <t>TOTAL/year</t>
  </si>
  <si>
    <t>Total income iot</t>
  </si>
  <si>
    <t>5P</t>
  </si>
  <si>
    <t>ESTIMATION OF THE PRICES FOR THE PUBLIC (EXPERIMENTAL)</t>
  </si>
  <si>
    <t>TOTAL EXPENSES (capex+opex)</t>
  </si>
  <si>
    <t>UPGRADE TO NG-PON2</t>
  </si>
  <si>
    <t>Total cost for Movistar</t>
  </si>
  <si>
    <t>Earnings of movistar</t>
  </si>
  <si>
    <t>Yearly earnings</t>
  </si>
  <si>
    <t>Monthly earnings</t>
  </si>
  <si>
    <t>Number of users</t>
  </si>
  <si>
    <t>Price/user</t>
  </si>
  <si>
    <t>per month</t>
  </si>
  <si>
    <t>UPGRADE TO G-FAST</t>
  </si>
  <si>
    <t>USE OF SATELLITE</t>
  </si>
  <si>
    <t>Cost/user</t>
  </si>
  <si>
    <t>TOTAL EXPENSES IoT (capex+opex)</t>
  </si>
  <si>
    <t xml:space="preserve">IoT </t>
  </si>
  <si>
    <t>TOTAL CAPEX IoT</t>
  </si>
  <si>
    <t>TOTAL OPEX IoT</t>
  </si>
  <si>
    <t>Expenditures</t>
  </si>
  <si>
    <t>Amortization</t>
  </si>
  <si>
    <t>Taxes</t>
  </si>
  <si>
    <t>Total expenses</t>
  </si>
  <si>
    <t>Initial investement</t>
  </si>
  <si>
    <t>Total investments</t>
  </si>
  <si>
    <t>Incomes</t>
  </si>
  <si>
    <t>5P package</t>
  </si>
  <si>
    <t>Total incomes</t>
  </si>
  <si>
    <t>Cash flow</t>
  </si>
  <si>
    <t>Acc. Cash flow</t>
  </si>
  <si>
    <t>Discounted cash flow</t>
  </si>
  <si>
    <t>NPV</t>
  </si>
  <si>
    <t>Discount rate</t>
  </si>
  <si>
    <t>IRR</t>
  </si>
  <si>
    <r>
      <t xml:space="preserve">DCF:  attempts to figure out the value of an investment today, based on projections of how much money it will generate in the future. </t>
    </r>
    <r>
      <rPr>
        <b/>
        <sz val="12"/>
        <color theme="1"/>
        <rFont val="Calibri"/>
        <family val="2"/>
        <scheme val="minor"/>
      </rPr>
      <t>La suma de cada DCF menos la initial intestment nos da el NPV</t>
    </r>
  </si>
  <si>
    <r>
      <t xml:space="preserve">NPV: is the difference between the present value of cash inflows and the present value of cash outflows over a period of time. Used to analyze  the profitability of a projected investment or project. </t>
    </r>
    <r>
      <rPr>
        <b/>
        <sz val="12"/>
        <color theme="1"/>
        <rFont val="Calibri"/>
        <family val="2"/>
        <scheme val="minor"/>
      </rPr>
      <t xml:space="preserve">Should be positive </t>
    </r>
  </si>
  <si>
    <r>
      <t>IRR: is the rate of growth a project is expected to generate; is calculated by the condition that the discount rate is set such that the NPV = 0 for a project. I h</t>
    </r>
    <r>
      <rPr>
        <b/>
        <sz val="12"/>
        <color theme="1"/>
        <rFont val="Calibri"/>
        <family val="2"/>
        <scheme val="minor"/>
      </rPr>
      <t>as to be higher than the discont rate</t>
    </r>
  </si>
  <si>
    <t>Concept</t>
  </si>
  <si>
    <t>INCOME</t>
  </si>
  <si>
    <t>EBITDA</t>
  </si>
  <si>
    <t>AMORTIZATION</t>
  </si>
  <si>
    <t>EBT</t>
  </si>
  <si>
    <t>TAX</t>
  </si>
  <si>
    <t>NET PROFIT</t>
  </si>
  <si>
    <t>AMORTIZATION OF THE DEVICES BOUGHT IN THE PROJECT</t>
  </si>
  <si>
    <t>Constant</t>
  </si>
  <si>
    <t>Variable</t>
  </si>
  <si>
    <t>Device</t>
  </si>
  <si>
    <t>Life (years)</t>
  </si>
  <si>
    <t>Price</t>
  </si>
  <si>
    <t>Depreciation/year</t>
  </si>
  <si>
    <t>Server (NM)</t>
  </si>
  <si>
    <t>Router (NM)</t>
  </si>
  <si>
    <t>OADM</t>
  </si>
  <si>
    <t>Switch</t>
  </si>
  <si>
    <t>units/year</t>
  </si>
  <si>
    <t>new depreciation/year</t>
  </si>
  <si>
    <t>Router (CoreN)</t>
  </si>
  <si>
    <t>The green ones are variable, i.e they are bought along the 5 years of the project, and thus are given a different calculation.</t>
  </si>
  <si>
    <t>Investment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</si>
</sst>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6" formatCode="#,##0\ &quot;€&quot;;[Red]\-#,##0\ &quot;€&quot;"/>
    <numFmt numFmtId="8" formatCode="#,##0.00\ &quot;€&quot;;[Red]\-#,##0.00\ &quot;€&quot;"/>
    <numFmt numFmtId="44" formatCode="_-* #,##0.00\ &quot;€&quot;_-;\-* #,##0.00\ &quot;€&quot;_-;_-* &quot;-&quot;??\ &quot;€&quot;_-;_-@_-"/>
    <numFmt numFmtId="43" formatCode="_-* #,##0.00_-;\-* #,##0.00_-;_-* &quot;-&quot;??_-;_-@_-"/>
    <numFmt numFmtId="164" formatCode="_-&quot;£&quot;* #,##0.00_-;\-&quot;£&quot;* #,##0.00_-;_-&quot;£&quot;* &quot;-&quot;??_-;_-@_-"/>
    <numFmt numFmtId="165" formatCode="[$$-409]#,##0.00"/>
    <numFmt numFmtId="166" formatCode="#,##0.00\ &quot;€&quot;"/>
    <numFmt numFmtId="167" formatCode="_-[$€-2]\ * #,##0.00_-;\-[$€-2]\ * #,##0.00_-;_-[$€-2]\ * &quot;-&quot;??_-;_-@_-"/>
    <numFmt numFmtId="168" formatCode="_-* #,##0.00\ [$€-C0A]_-;\-* #,##0.00\ [$€-C0A]_-;_-* &quot;-&quot;??\ [$€-C0A]_-;_-@_-"/>
    <numFmt numFmtId="169" formatCode="[$€-2]\ #,##0;[Red]\-[$€-2]\ #,##0"/>
  </numFmts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Times New Roman"/>
      <family val="1"/>
    </font>
    <font>
      <sz val="8"/>
      <name val="Calibri"/>
      <family val="2"/>
      <scheme val="minor"/>
    </font>
    <font>
      <sz val="12"/>
      <name val="Calibri"/>
      <family val="2"/>
      <scheme val="minor"/>
    </font>
    <font>
      <sz val="9"/>
      <color theme="1"/>
      <name val="Calibri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CE4D6"/>
        <bgColor rgb="FF000000"/>
      </patternFill>
    </fill>
    <fill>
      <patternFill patternType="solid">
        <fgColor rgb="FFA9D08E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8CBAD"/>
        <bgColor rgb="FF000000"/>
      </patternFill>
    </fill>
    <fill>
      <patternFill patternType="solid">
        <fgColor rgb="FFC6E0B4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24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2" fillId="17" borderId="0"/>
    <xf numFmtId="0" fontId="8" fillId="16" borderId="0"/>
    <xf numFmtId="164" fontId="2" fillId="0" borderId="0" applyFont="0" applyFill="0" applyBorder="0" applyAlignment="0" applyProtection="0"/>
  </cellStyleXfs>
  <cellXfs count="159">
    <xf numFmtId="0" fontId="0" fillId="0" borderId="0" xfId="0"/>
    <xf numFmtId="0" fontId="0" fillId="4" borderId="0" xfId="0" applyFont="1" applyFill="1"/>
    <xf numFmtId="0" fontId="1" fillId="0" borderId="0" xfId="0" applyFont="1"/>
    <xf numFmtId="0" fontId="1" fillId="6" borderId="0" xfId="0" applyFont="1" applyFill="1"/>
    <xf numFmtId="0" fontId="0" fillId="6" borderId="0" xfId="0" applyFill="1"/>
    <xf numFmtId="0" fontId="0" fillId="4" borderId="0" xfId="0" applyFill="1"/>
    <xf numFmtId="165" fontId="0" fillId="0" borderId="0" xfId="0" applyNumberFormat="1"/>
    <xf numFmtId="165" fontId="0" fillId="6" borderId="0" xfId="0" applyNumberFormat="1" applyFill="1"/>
    <xf numFmtId="166" fontId="0" fillId="0" borderId="0" xfId="0" applyNumberFormat="1"/>
    <xf numFmtId="166" fontId="0" fillId="6" borderId="0" xfId="0" applyNumberFormat="1" applyFill="1"/>
    <xf numFmtId="0" fontId="0" fillId="0" borderId="0" xfId="0" applyFill="1"/>
    <xf numFmtId="0" fontId="0" fillId="0" borderId="0" xfId="0" applyFill="1" applyAlignment="1">
      <alignment vertical="center" wrapText="1"/>
    </xf>
    <xf numFmtId="43" fontId="1" fillId="0" borderId="0" xfId="1" applyFont="1"/>
    <xf numFmtId="43" fontId="0" fillId="0" borderId="0" xfId="1" applyFont="1"/>
    <xf numFmtId="43" fontId="0" fillId="13" borderId="0" xfId="1" applyFont="1" applyFill="1"/>
    <xf numFmtId="43" fontId="0" fillId="4" borderId="0" xfId="1" applyFont="1" applyFill="1"/>
    <xf numFmtId="43" fontId="1" fillId="6" borderId="0" xfId="1" applyFont="1" applyFill="1"/>
    <xf numFmtId="43" fontId="0" fillId="6" borderId="0" xfId="1" applyFont="1" applyFill="1"/>
    <xf numFmtId="43" fontId="0" fillId="7" borderId="0" xfId="1" applyFont="1" applyFill="1"/>
    <xf numFmtId="43" fontId="3" fillId="0" borderId="0" xfId="1" applyFont="1"/>
    <xf numFmtId="43" fontId="3" fillId="9" borderId="0" xfId="1" applyFont="1" applyFill="1"/>
    <xf numFmtId="43" fontId="4" fillId="11" borderId="0" xfId="1" applyFont="1" applyFill="1"/>
    <xf numFmtId="43" fontId="3" fillId="11" borderId="0" xfId="1" applyFont="1" applyFill="1"/>
    <xf numFmtId="43" fontId="3" fillId="13" borderId="0" xfId="1" applyFont="1" applyFill="1"/>
    <xf numFmtId="43" fontId="3" fillId="0" borderId="0" xfId="0" applyNumberFormat="1" applyFont="1"/>
    <xf numFmtId="9" fontId="0" fillId="0" borderId="0" xfId="1" applyNumberFormat="1" applyFont="1"/>
    <xf numFmtId="9" fontId="3" fillId="0" borderId="0" xfId="0" applyNumberFormat="1" applyFont="1"/>
    <xf numFmtId="0" fontId="1" fillId="13" borderId="0" xfId="0" applyFont="1" applyFill="1"/>
    <xf numFmtId="2" fontId="0" fillId="0" borderId="0" xfId="1" applyNumberFormat="1" applyFont="1"/>
    <xf numFmtId="2" fontId="0" fillId="6" borderId="0" xfId="1" applyNumberFormat="1" applyFont="1" applyFill="1"/>
    <xf numFmtId="2" fontId="3" fillId="0" borderId="0" xfId="1" applyNumberFormat="1" applyFont="1"/>
    <xf numFmtId="2" fontId="3" fillId="11" borderId="0" xfId="1" applyNumberFormat="1" applyFont="1" applyFill="1"/>
    <xf numFmtId="6" fontId="0" fillId="0" borderId="0" xfId="0" applyNumberFormat="1"/>
    <xf numFmtId="0" fontId="0" fillId="0" borderId="0" xfId="0" applyFont="1"/>
    <xf numFmtId="0" fontId="5" fillId="0" borderId="0" xfId="2"/>
    <xf numFmtId="0" fontId="6" fillId="0" borderId="0" xfId="0" applyFont="1"/>
    <xf numFmtId="0" fontId="1" fillId="0" borderId="0" xfId="0" applyFont="1" applyBorder="1"/>
    <xf numFmtId="2" fontId="0" fillId="7" borderId="0" xfId="1" applyNumberFormat="1" applyFont="1" applyFill="1"/>
    <xf numFmtId="43" fontId="0" fillId="0" borderId="0" xfId="1" applyFont="1" applyAlignment="1">
      <alignment wrapText="1"/>
    </xf>
    <xf numFmtId="0" fontId="5" fillId="0" borderId="0" xfId="2" applyAlignment="1">
      <alignment wrapText="1"/>
    </xf>
    <xf numFmtId="8" fontId="0" fillId="0" borderId="0" xfId="1" applyNumberFormat="1" applyFont="1"/>
    <xf numFmtId="0" fontId="0" fillId="0" borderId="0" xfId="0" applyBorder="1"/>
    <xf numFmtId="0" fontId="0" fillId="7" borderId="0" xfId="0" applyFill="1"/>
    <xf numFmtId="166" fontId="0" fillId="7" borderId="0" xfId="0" applyNumberFormat="1" applyFill="1"/>
    <xf numFmtId="0" fontId="0" fillId="0" borderId="0" xfId="0" applyFont="1" applyBorder="1"/>
    <xf numFmtId="0" fontId="0" fillId="0" borderId="0" xfId="0" applyFont="1" applyFill="1" applyBorder="1"/>
    <xf numFmtId="0" fontId="0" fillId="5" borderId="0" xfId="0" applyFont="1" applyFill="1" applyBorder="1" applyAlignment="1"/>
    <xf numFmtId="0" fontId="0" fillId="4" borderId="0" xfId="0" applyFont="1" applyFill="1" applyBorder="1"/>
    <xf numFmtId="167" fontId="0" fillId="0" borderId="0" xfId="0" applyNumberFormat="1" applyFont="1" applyBorder="1"/>
    <xf numFmtId="1" fontId="0" fillId="0" borderId="0" xfId="0" applyNumberFormat="1" applyFont="1" applyBorder="1"/>
    <xf numFmtId="0" fontId="0" fillId="0" borderId="0" xfId="0" applyFont="1" applyBorder="1" applyAlignment="1">
      <alignment vertical="center"/>
    </xf>
    <xf numFmtId="166" fontId="0" fillId="0" borderId="0" xfId="0" applyNumberFormat="1" applyFont="1" applyFill="1" applyBorder="1"/>
    <xf numFmtId="166" fontId="0" fillId="0" borderId="0" xfId="0" applyNumberFormat="1" applyFont="1" applyFill="1" applyBorder="1" applyAlignment="1">
      <alignment horizontal="center" vertical="top"/>
    </xf>
    <xf numFmtId="1" fontId="0" fillId="0" borderId="0" xfId="0" applyNumberFormat="1" applyFont="1" applyFill="1" applyBorder="1"/>
    <xf numFmtId="0" fontId="0" fillId="14" borderId="0" xfId="0" applyFont="1" applyFill="1" applyBorder="1" applyAlignment="1"/>
    <xf numFmtId="166" fontId="0" fillId="0" borderId="0" xfId="0" applyNumberFormat="1" applyFont="1" applyFill="1" applyBorder="1" applyAlignment="1"/>
    <xf numFmtId="166" fontId="0" fillId="0" borderId="0" xfId="0" applyNumberFormat="1" applyFont="1" applyFill="1" applyBorder="1" applyAlignment="1">
      <alignment horizontal="center"/>
    </xf>
    <xf numFmtId="0" fontId="0" fillId="14" borderId="0" xfId="0" applyFont="1" applyFill="1" applyBorder="1"/>
    <xf numFmtId="167" fontId="0" fillId="14" borderId="0" xfId="0" applyNumberFormat="1" applyFont="1" applyFill="1" applyBorder="1"/>
    <xf numFmtId="0" fontId="0" fillId="6" borderId="0" xfId="0" applyFont="1" applyFill="1" applyBorder="1" applyAlignment="1"/>
    <xf numFmtId="166" fontId="0" fillId="6" borderId="0" xfId="0" applyNumberFormat="1" applyFont="1" applyFill="1" applyBorder="1" applyAlignment="1"/>
    <xf numFmtId="166" fontId="0" fillId="6" borderId="0" xfId="0" applyNumberFormat="1" applyFont="1" applyFill="1" applyBorder="1" applyAlignment="1">
      <alignment horizontal="center"/>
    </xf>
    <xf numFmtId="168" fontId="0" fillId="15" borderId="0" xfId="0" applyNumberFormat="1" applyFont="1" applyFill="1" applyBorder="1"/>
    <xf numFmtId="0" fontId="0" fillId="15" borderId="0" xfId="0" applyFont="1" applyFill="1" applyBorder="1"/>
    <xf numFmtId="167" fontId="0" fillId="15" borderId="0" xfId="0" applyNumberFormat="1" applyFont="1" applyFill="1" applyBorder="1"/>
    <xf numFmtId="1" fontId="0" fillId="15" borderId="0" xfId="0" applyNumberFormat="1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14" borderId="0" xfId="0" applyFont="1" applyFill="1" applyBorder="1" applyAlignment="1">
      <alignment vertical="center"/>
    </xf>
    <xf numFmtId="168" fontId="0" fillId="14" borderId="0" xfId="0" applyNumberFormat="1" applyFont="1" applyFill="1" applyBorder="1"/>
    <xf numFmtId="1" fontId="0" fillId="14" borderId="0" xfId="0" applyNumberFormat="1" applyFont="1" applyFill="1" applyBorder="1" applyAlignment="1">
      <alignment horizontal="center"/>
    </xf>
    <xf numFmtId="168" fontId="0" fillId="7" borderId="0" xfId="0" applyNumberFormat="1" applyFont="1" applyFill="1" applyBorder="1"/>
    <xf numFmtId="0" fontId="0" fillId="7" borderId="0" xfId="0" applyFont="1" applyFill="1" applyBorder="1"/>
    <xf numFmtId="167" fontId="0" fillId="7" borderId="0" xfId="0" applyNumberFormat="1" applyFont="1" applyFill="1" applyBorder="1"/>
    <xf numFmtId="43" fontId="3" fillId="11" borderId="0" xfId="1" applyFont="1" applyFill="1" applyAlignment="1"/>
    <xf numFmtId="0" fontId="0" fillId="6" borderId="0" xfId="0" applyFill="1" applyAlignment="1"/>
    <xf numFmtId="2" fontId="3" fillId="11" borderId="0" xfId="1" applyNumberFormat="1" applyFont="1" applyFill="1" applyAlignment="1"/>
    <xf numFmtId="0" fontId="0" fillId="0" borderId="0" xfId="0" applyNumberFormat="1"/>
    <xf numFmtId="44" fontId="0" fillId="7" borderId="0" xfId="0" applyNumberFormat="1" applyFill="1"/>
    <xf numFmtId="0" fontId="0" fillId="3" borderId="0" xfId="0" applyFill="1"/>
    <xf numFmtId="0" fontId="3" fillId="3" borderId="0" xfId="0" applyFont="1" applyFill="1"/>
    <xf numFmtId="44" fontId="0" fillId="0" borderId="0" xfId="0" applyNumberFormat="1"/>
    <xf numFmtId="44" fontId="3" fillId="0" borderId="0" xfId="0" applyNumberFormat="1" applyFont="1"/>
    <xf numFmtId="0" fontId="1" fillId="13" borderId="0" xfId="0" applyFont="1" applyFill="1" applyAlignment="1">
      <alignment wrapText="1"/>
    </xf>
    <xf numFmtId="0" fontId="2" fillId="17" borderId="0" xfId="3"/>
    <xf numFmtId="0" fontId="0" fillId="19" borderId="0" xfId="0" applyFill="1"/>
    <xf numFmtId="44" fontId="2" fillId="17" borderId="0" xfId="3" applyNumberFormat="1"/>
    <xf numFmtId="0" fontId="8" fillId="16" borderId="0" xfId="4"/>
    <xf numFmtId="0" fontId="0" fillId="20" borderId="0" xfId="0" applyFill="1"/>
    <xf numFmtId="2" fontId="0" fillId="0" borderId="0" xfId="0" applyNumberFormat="1"/>
    <xf numFmtId="44" fontId="8" fillId="16" borderId="0" xfId="4" applyNumberFormat="1"/>
    <xf numFmtId="0" fontId="0" fillId="2" borderId="0" xfId="0" applyFill="1"/>
    <xf numFmtId="0" fontId="2" fillId="18" borderId="0" xfId="3" applyFill="1"/>
    <xf numFmtId="44" fontId="2" fillId="18" borderId="0" xfId="3" applyNumberFormat="1" applyFill="1"/>
    <xf numFmtId="44" fontId="0" fillId="6" borderId="0" xfId="0" applyNumberFormat="1" applyFill="1"/>
    <xf numFmtId="44" fontId="8" fillId="19" borderId="0" xfId="4" applyNumberFormat="1" applyFill="1"/>
    <xf numFmtId="0" fontId="0" fillId="13" borderId="0" xfId="0" applyFill="1"/>
    <xf numFmtId="44" fontId="0" fillId="13" borderId="0" xfId="0" applyNumberFormat="1" applyFill="1"/>
    <xf numFmtId="167" fontId="0" fillId="0" borderId="0" xfId="5" applyNumberFormat="1" applyFont="1"/>
    <xf numFmtId="0" fontId="0" fillId="21" borderId="1" xfId="0" applyFill="1" applyBorder="1"/>
    <xf numFmtId="0" fontId="0" fillId="3" borderId="1" xfId="0" applyFill="1" applyBorder="1"/>
    <xf numFmtId="167" fontId="0" fillId="0" borderId="0" xfId="0" applyNumberFormat="1" applyFont="1" applyFill="1" applyBorder="1"/>
    <xf numFmtId="167" fontId="0" fillId="3" borderId="1" xfId="5" applyNumberFormat="1" applyFont="1" applyFill="1" applyBorder="1"/>
    <xf numFmtId="167" fontId="0" fillId="3" borderId="1" xfId="0" applyNumberFormat="1" applyFill="1" applyBorder="1"/>
    <xf numFmtId="0" fontId="0" fillId="22" borderId="1" xfId="0" applyFill="1" applyBorder="1"/>
    <xf numFmtId="167" fontId="0" fillId="3" borderId="1" xfId="0" applyNumberFormat="1" applyFont="1" applyFill="1" applyBorder="1"/>
    <xf numFmtId="0" fontId="0" fillId="3" borderId="1" xfId="0" applyFont="1" applyFill="1" applyBorder="1"/>
    <xf numFmtId="0" fontId="0" fillId="4" borderId="1" xfId="0" applyFill="1" applyBorder="1"/>
    <xf numFmtId="0" fontId="0" fillId="23" borderId="2" xfId="0" applyFill="1" applyBorder="1"/>
    <xf numFmtId="0" fontId="0" fillId="22" borderId="3" xfId="0" applyFill="1" applyBorder="1"/>
    <xf numFmtId="167" fontId="0" fillId="24" borderId="1" xfId="0" applyNumberFormat="1" applyFill="1" applyBorder="1"/>
    <xf numFmtId="167" fontId="0" fillId="25" borderId="1" xfId="5" applyNumberFormat="1" applyFont="1" applyFill="1" applyBorder="1"/>
    <xf numFmtId="167" fontId="0" fillId="25" borderId="1" xfId="0" applyNumberFormat="1" applyFill="1" applyBorder="1"/>
    <xf numFmtId="0" fontId="0" fillId="25" borderId="1" xfId="0" applyFill="1" applyBorder="1"/>
    <xf numFmtId="0" fontId="0" fillId="25" borderId="1" xfId="0" applyFont="1" applyFill="1" applyBorder="1"/>
    <xf numFmtId="167" fontId="0" fillId="25" borderId="1" xfId="0" applyNumberFormat="1" applyFont="1" applyFill="1" applyBorder="1"/>
    <xf numFmtId="44" fontId="0" fillId="0" borderId="0" xfId="0" applyNumberFormat="1" applyFill="1"/>
    <xf numFmtId="0" fontId="3" fillId="0" borderId="0" xfId="0" applyFont="1" applyFill="1"/>
    <xf numFmtId="0" fontId="1" fillId="0" borderId="0" xfId="0" applyFont="1" applyFill="1"/>
    <xf numFmtId="0" fontId="0" fillId="26" borderId="0" xfId="0" applyFill="1"/>
    <xf numFmtId="8" fontId="0" fillId="0" borderId="0" xfId="0" applyNumberFormat="1"/>
    <xf numFmtId="9" fontId="0" fillId="0" borderId="0" xfId="0" applyNumberFormat="1"/>
    <xf numFmtId="0" fontId="0" fillId="13" borderId="0" xfId="0" applyFill="1" applyAlignment="1">
      <alignment horizontal="center" vertical="center"/>
    </xf>
    <xf numFmtId="0" fontId="0" fillId="27" borderId="0" xfId="0" applyFill="1"/>
    <xf numFmtId="169" fontId="9" fillId="0" borderId="0" xfId="0" applyNumberFormat="1" applyFont="1"/>
    <xf numFmtId="167" fontId="0" fillId="26" borderId="0" xfId="0" applyNumberFormat="1" applyFill="1" applyAlignment="1"/>
    <xf numFmtId="0" fontId="0" fillId="26" borderId="0" xfId="0" applyFill="1" applyAlignment="1"/>
    <xf numFmtId="0" fontId="0" fillId="13" borderId="0" xfId="0" applyFill="1" applyAlignment="1"/>
    <xf numFmtId="167" fontId="0" fillId="26" borderId="0" xfId="5" applyNumberFormat="1" applyFont="1" applyFill="1" applyAlignment="1"/>
    <xf numFmtId="0" fontId="1" fillId="26" borderId="4" xfId="0" applyFont="1" applyFill="1" applyBorder="1"/>
    <xf numFmtId="167" fontId="1" fillId="26" borderId="5" xfId="0" applyNumberFormat="1" applyFont="1" applyFill="1" applyBorder="1" applyAlignment="1"/>
    <xf numFmtId="167" fontId="1" fillId="26" borderId="5" xfId="5" applyNumberFormat="1" applyFont="1" applyFill="1" applyBorder="1"/>
    <xf numFmtId="0" fontId="0" fillId="13" borderId="0" xfId="0" applyFill="1" applyAlignment="1">
      <alignment horizontal="left" vertical="center"/>
    </xf>
    <xf numFmtId="0" fontId="1" fillId="26" borderId="6" xfId="0" applyFont="1" applyFill="1" applyBorder="1"/>
    <xf numFmtId="0" fontId="0" fillId="6" borderId="4" xfId="0" applyFill="1" applyBorder="1"/>
    <xf numFmtId="166" fontId="0" fillId="6" borderId="6" xfId="0" applyNumberFormat="1" applyFill="1" applyBorder="1"/>
    <xf numFmtId="167" fontId="0" fillId="0" borderId="0" xfId="5" applyNumberFormat="1" applyFont="1" applyFill="1"/>
    <xf numFmtId="167" fontId="3" fillId="0" borderId="0" xfId="5" applyNumberFormat="1" applyFont="1" applyFill="1"/>
    <xf numFmtId="167" fontId="0" fillId="7" borderId="0" xfId="5" applyNumberFormat="1" applyFont="1" applyFill="1"/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5" borderId="0" xfId="0" applyFill="1" applyAlignment="1">
      <alignment horizontal="center"/>
    </xf>
    <xf numFmtId="43" fontId="0" fillId="2" borderId="0" xfId="1" applyFont="1" applyFill="1" applyAlignment="1">
      <alignment horizontal="center" vertical="center" wrapText="1"/>
    </xf>
    <xf numFmtId="43" fontId="0" fillId="5" borderId="0" xfId="1" applyFont="1" applyFill="1" applyAlignment="1">
      <alignment horizontal="center"/>
    </xf>
    <xf numFmtId="43" fontId="3" fillId="8" borderId="0" xfId="1" applyFont="1" applyFill="1" applyAlignment="1">
      <alignment horizontal="center"/>
    </xf>
    <xf numFmtId="43" fontId="0" fillId="3" borderId="0" xfId="1" applyFont="1" applyFill="1" applyAlignment="1">
      <alignment horizontal="center" vertical="center"/>
    </xf>
    <xf numFmtId="43" fontId="0" fillId="3" borderId="0" xfId="1" applyFont="1" applyFill="1" applyAlignment="1">
      <alignment horizontal="center" vertical="center" wrapText="1"/>
    </xf>
    <xf numFmtId="43" fontId="3" fillId="10" borderId="0" xfId="1" applyFont="1" applyFill="1" applyAlignment="1">
      <alignment horizontal="center" vertical="center"/>
    </xf>
    <xf numFmtId="43" fontId="3" fillId="12" borderId="0" xfId="1" applyFont="1" applyFill="1" applyAlignment="1">
      <alignment horizontal="center" vertical="center" wrapText="1"/>
    </xf>
    <xf numFmtId="43" fontId="3" fillId="10" borderId="0" xfId="1" applyFont="1" applyFill="1" applyAlignment="1">
      <alignment horizontal="center" vertical="center" wrapText="1"/>
    </xf>
    <xf numFmtId="2" fontId="3" fillId="11" borderId="0" xfId="1" applyNumberFormat="1" applyFont="1" applyFill="1" applyAlignment="1">
      <alignment horizontal="center"/>
    </xf>
    <xf numFmtId="0" fontId="0" fillId="3" borderId="0" xfId="0" applyFill="1" applyAlignment="1">
      <alignment horizontal="center" vertical="center"/>
    </xf>
    <xf numFmtId="0" fontId="1" fillId="7" borderId="0" xfId="0" applyFont="1" applyFill="1" applyBorder="1" applyAlignment="1">
      <alignment horizontal="left"/>
    </xf>
    <xf numFmtId="0" fontId="1" fillId="15" borderId="0" xfId="0" applyFont="1" applyFill="1" applyBorder="1" applyAlignment="1">
      <alignment horizontal="left"/>
    </xf>
    <xf numFmtId="0" fontId="0" fillId="3" borderId="0" xfId="0" applyFont="1" applyFill="1" applyBorder="1" applyAlignment="1">
      <alignment horizontal="center" vertical="center"/>
    </xf>
    <xf numFmtId="0" fontId="0" fillId="14" borderId="0" xfId="0" applyFont="1" applyFill="1" applyBorder="1" applyAlignment="1">
      <alignment horizontal="center"/>
    </xf>
    <xf numFmtId="0" fontId="0" fillId="2" borderId="0" xfId="0" applyFont="1" applyFill="1" applyBorder="1" applyAlignment="1">
      <alignment horizontal="center" vertical="center" wrapText="1"/>
    </xf>
    <xf numFmtId="0" fontId="0" fillId="5" borderId="0" xfId="0" applyFont="1" applyFill="1" applyBorder="1" applyAlignment="1">
      <alignment horizontal="center"/>
    </xf>
    <xf numFmtId="0" fontId="0" fillId="0" borderId="0" xfId="0" applyAlignment="1">
      <alignment horizontal="center" vertical="center"/>
    </xf>
  </cellXfs>
  <cellStyles count="6">
    <cellStyle name="Estilo 1" xfId="4" xr:uid="{E01CE8DF-E25F-C947-800F-93C9577072D3}"/>
    <cellStyle name="Expenses" xfId="3" xr:uid="{82900D1B-A893-8940-9787-887145103C46}"/>
    <cellStyle name="Hipervínculo" xfId="2" builtinId="8"/>
    <cellStyle name="Millares" xfId="1" builtinId="3"/>
    <cellStyle name="Moneda" xfId="5" builtinId="4"/>
    <cellStyle name="Normal" xfId="0" builtinId="0"/>
  </cellStyles>
  <dxfs count="0"/>
  <tableStyles count="0" defaultTableStyle="TableStyleMedium2" defaultPivotStyle="PivotStyleLight16"/>
  <colors>
    <mruColors>
      <color rgb="FFFF2400"/>
      <color rgb="FFFC76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Cash flow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cashflow!$D$29:$I$29</c:f>
              <c:numCache>
                <c:formatCode>_("€"* #,##0.00_);_("€"* \(#,##0.00\);_("€"* "-"??_);_(@_)</c:formatCode>
                <c:ptCount val="6"/>
                <c:pt idx="0">
                  <c:v>-8847439.8544000015</c:v>
                </c:pt>
                <c:pt idx="1">
                  <c:v>1954650.6783012096</c:v>
                </c:pt>
                <c:pt idx="2">
                  <c:v>4569435.2634352148</c:v>
                </c:pt>
                <c:pt idx="3">
                  <c:v>3977340.6828592122</c:v>
                </c:pt>
                <c:pt idx="4">
                  <c:v>3379829.1998832077</c:v>
                </c:pt>
                <c:pt idx="5">
                  <c:v>14029852.56050121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FF-FB43-B31C-6329DAB44F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33780224"/>
        <c:axId val="496507968"/>
        <c:axId val="0"/>
      </c:bar3DChart>
      <c:catAx>
        <c:axId val="5337802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96507968"/>
        <c:crosses val="autoZero"/>
        <c:auto val="1"/>
        <c:lblAlgn val="ctr"/>
        <c:lblOffset val="100"/>
        <c:noMultiLvlLbl val="0"/>
      </c:catAx>
      <c:valAx>
        <c:axId val="49650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€&quot;* #,##0.00_);_(&quot;€&quot;* \(#,##0.00\);_(&quot;€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33780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Accumulated cash flow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cashflow!$D$2:$I$2</c:f>
              <c:strCache>
                <c:ptCount val="6"/>
                <c:pt idx="0">
                  <c:v>Year 0</c:v>
                </c:pt>
                <c:pt idx="1">
                  <c:v>Year 1</c:v>
                </c:pt>
                <c:pt idx="2">
                  <c:v>Year 2</c:v>
                </c:pt>
                <c:pt idx="3">
                  <c:v>Year 3</c:v>
                </c:pt>
                <c:pt idx="4">
                  <c:v>Year 4</c:v>
                </c:pt>
                <c:pt idx="5">
                  <c:v>Year 5</c:v>
                </c:pt>
              </c:strCache>
            </c:strRef>
          </c:cat>
          <c:val>
            <c:numRef>
              <c:f>cashflow!$D$30:$I$30</c:f>
              <c:numCache>
                <c:formatCode>_("€"* #,##0.00_);_("€"* \(#,##0.00\);_("€"* "-"??_);_(@_)</c:formatCode>
                <c:ptCount val="6"/>
                <c:pt idx="0">
                  <c:v>-8847439.8544000015</c:v>
                </c:pt>
                <c:pt idx="1">
                  <c:v>-6892789.1760987919</c:v>
                </c:pt>
                <c:pt idx="2">
                  <c:v>-2323353.9126635771</c:v>
                </c:pt>
                <c:pt idx="3">
                  <c:v>1653986.770195635</c:v>
                </c:pt>
                <c:pt idx="4">
                  <c:v>5033815.9700788427</c:v>
                </c:pt>
                <c:pt idx="5">
                  <c:v>19063668.530580051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E1-114E-802E-C4F8D935BF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6124976"/>
        <c:axId val="529767776"/>
      </c:barChart>
      <c:catAx>
        <c:axId val="516124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29767776"/>
        <c:crosses val="autoZero"/>
        <c:auto val="1"/>
        <c:lblAlgn val="ctr"/>
        <c:lblOffset val="100"/>
        <c:noMultiLvlLbl val="0"/>
      </c:catAx>
      <c:valAx>
        <c:axId val="52976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€&quot;* #,##0.00_);_(&quot;€&quot;* \(#,##0.00\);_(&quot;€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16124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Net profit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Netprofit!$B$8:$G$8</c:f>
              <c:numCache>
                <c:formatCode>_-[$€-2]\ * #,##0.00_-;\-[$€-2]\ * #,##0.00_-;_-[$€-2]\ * "-"??_-;_-@_-</c:formatCode>
                <c:ptCount val="6"/>
                <c:pt idx="0">
                  <c:v>0</c:v>
                </c:pt>
                <c:pt idx="1">
                  <c:v>10463591.452301212</c:v>
                </c:pt>
                <c:pt idx="2">
                  <c:v>29372625.605435211</c:v>
                </c:pt>
                <c:pt idx="3">
                  <c:v>28833954.12245921</c:v>
                </c:pt>
                <c:pt idx="4">
                  <c:v>28295282.63948321</c:v>
                </c:pt>
                <c:pt idx="5">
                  <c:v>46852680.792101212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2B-B941-8473-F7C88135258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511992368"/>
        <c:axId val="532728128"/>
      </c:barChart>
      <c:catAx>
        <c:axId val="5119923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32728128"/>
        <c:crosses val="autoZero"/>
        <c:auto val="1"/>
        <c:lblAlgn val="ctr"/>
        <c:lblOffset val="100"/>
        <c:noMultiLvlLbl val="0"/>
      </c:catAx>
      <c:valAx>
        <c:axId val="532728128"/>
        <c:scaling>
          <c:orientation val="minMax"/>
        </c:scaling>
        <c:delete val="1"/>
        <c:axPos val="l"/>
        <c:numFmt formatCode="_-[$€-2]\ * #,##0.00_-;\-[$€-2]\ * #,##0.00_-;_-[$€-2]\ * &quot;-&quot;??_-;_-@_-" sourceLinked="1"/>
        <c:majorTickMark val="none"/>
        <c:minorTickMark val="none"/>
        <c:tickLblPos val="nextTo"/>
        <c:crossAx val="51199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Net</a:t>
            </a:r>
            <a:r>
              <a:rPr lang="es-ES_tradnl" baseline="0"/>
              <a:t> profit</a:t>
            </a:r>
            <a:endParaRPr lang="es-ES_trad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Netprofit!$B$1:$G$1</c:f>
              <c:strCache>
                <c:ptCount val="6"/>
                <c:pt idx="0">
                  <c:v>Year 0</c:v>
                </c:pt>
                <c:pt idx="1">
                  <c:v>Year 1</c:v>
                </c:pt>
                <c:pt idx="2">
                  <c:v>Year 2</c:v>
                </c:pt>
                <c:pt idx="3">
                  <c:v>Year 3</c:v>
                </c:pt>
                <c:pt idx="4">
                  <c:v>Year 4</c:v>
                </c:pt>
                <c:pt idx="5">
                  <c:v>Year 5</c:v>
                </c:pt>
              </c:strCache>
            </c:strRef>
          </c:cat>
          <c:val>
            <c:numRef>
              <c:f>Netprofit!$B$8:$G$8</c:f>
              <c:numCache>
                <c:formatCode>_-[$€-2]\ * #,##0.00_-;\-[$€-2]\ * #,##0.00_-;_-[$€-2]\ * "-"??_-;_-@_-</c:formatCode>
                <c:ptCount val="6"/>
                <c:pt idx="0">
                  <c:v>0</c:v>
                </c:pt>
                <c:pt idx="1">
                  <c:v>10463591.452301212</c:v>
                </c:pt>
                <c:pt idx="2">
                  <c:v>29372625.605435211</c:v>
                </c:pt>
                <c:pt idx="3">
                  <c:v>28833954.12245921</c:v>
                </c:pt>
                <c:pt idx="4">
                  <c:v>28295282.63948321</c:v>
                </c:pt>
                <c:pt idx="5">
                  <c:v>46852680.792101212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AA-CB47-9123-82E8299376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3243328"/>
        <c:axId val="565067568"/>
      </c:lineChart>
      <c:catAx>
        <c:axId val="553243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65067568"/>
        <c:crosses val="autoZero"/>
        <c:auto val="1"/>
        <c:lblAlgn val="ctr"/>
        <c:lblOffset val="100"/>
        <c:noMultiLvlLbl val="0"/>
      </c:catAx>
      <c:valAx>
        <c:axId val="56506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€-2]\ * #,##0.00_-;\-[$€-2]\ * #,##0.00_-;_-[$€-2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53243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98246</xdr:colOff>
      <xdr:row>30</xdr:row>
      <xdr:rowOff>36183</xdr:rowOff>
    </xdr:from>
    <xdr:to>
      <xdr:col>18</xdr:col>
      <xdr:colOff>476849</xdr:colOff>
      <xdr:row>43</xdr:row>
      <xdr:rowOff>131552</xdr:rowOff>
    </xdr:to>
    <xdr:graphicFrame macro="">
      <xdr:nvGraphicFramePr>
        <xdr:cNvPr id="16" name="Gráfico 2">
          <a:extLst>
            <a:ext uri="{FF2B5EF4-FFF2-40B4-BE49-F238E27FC236}">
              <a16:creationId xmlns:a16="http://schemas.microsoft.com/office/drawing/2014/main" id="{2E068474-3571-604D-810E-1087E4A76C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740834</xdr:colOff>
      <xdr:row>5</xdr:row>
      <xdr:rowOff>95956</xdr:rowOff>
    </xdr:from>
    <xdr:to>
      <xdr:col>13</xdr:col>
      <xdr:colOff>21167</xdr:colOff>
      <xdr:row>19</xdr:row>
      <xdr:rowOff>73378</xdr:rowOff>
    </xdr:to>
    <xdr:graphicFrame macro="">
      <xdr:nvGraphicFramePr>
        <xdr:cNvPr id="87" name="Gráfico 4">
          <a:extLst>
            <a:ext uri="{FF2B5EF4-FFF2-40B4-BE49-F238E27FC236}">
              <a16:creationId xmlns:a16="http://schemas.microsoft.com/office/drawing/2014/main" id="{83583C9B-0D1C-F440-8FB6-C55EB19B92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165100</xdr:colOff>
      <xdr:row>19</xdr:row>
      <xdr:rowOff>127000</xdr:rowOff>
    </xdr:from>
    <xdr:to>
      <xdr:col>7</xdr:col>
      <xdr:colOff>1193800</xdr:colOff>
      <xdr:row>33</xdr:row>
      <xdr:rowOff>25400</xdr:rowOff>
    </xdr:to>
    <xdr:graphicFrame macro="">
      <xdr:nvGraphicFramePr>
        <xdr:cNvPr id="22" name="Gráfico 2">
          <a:extLst>
            <a:ext uri="{FF2B5EF4-FFF2-40B4-BE49-F238E27FC236}">
              <a16:creationId xmlns:a16="http://schemas.microsoft.com/office/drawing/2014/main" id="{E7751163-AFAB-694B-AF4A-6D86998614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768350</xdr:colOff>
      <xdr:row>14</xdr:row>
      <xdr:rowOff>165100</xdr:rowOff>
    </xdr:from>
    <xdr:to>
      <xdr:col>3</xdr:col>
      <xdr:colOff>1035050</xdr:colOff>
      <xdr:row>28</xdr:row>
      <xdr:rowOff>63500</xdr:rowOff>
    </xdr:to>
    <xdr:graphicFrame macro="">
      <xdr:nvGraphicFramePr>
        <xdr:cNvPr id="40" name="Gráfico 3">
          <a:extLst>
            <a:ext uri="{FF2B5EF4-FFF2-40B4-BE49-F238E27FC236}">
              <a16:creationId xmlns:a16="http://schemas.microsoft.com/office/drawing/2014/main" id="{B088C8E3-0652-0B43-85C3-163BB6AC8C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hopnfc.com/en/9-pvc-nfc-cards" TargetMode="External"/><Relationship Id="rId2" Type="http://schemas.openxmlformats.org/officeDocument/2006/relationships/hyperlink" Target="https://www.maxbotix.com/Ultrasonic_Sensors/MB1000.htm?parts=MaxSonar" TargetMode="External"/><Relationship Id="rId1" Type="http://schemas.openxmlformats.org/officeDocument/2006/relationships/hyperlink" Target="https://itprice.com/cisco/ixm-lpwa-800-16-k9.html" TargetMode="External"/><Relationship Id="rId4" Type="http://schemas.openxmlformats.org/officeDocument/2006/relationships/hyperlink" Target="https://ent.cat/wp-content/uploads/2019/03/Identificaci%C3%B3n-de-los-usuarios-en-la-recogida-de-residuos-municipales.pdf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zones.com/site/product/index.html?id=106389681" TargetMode="External"/><Relationship Id="rId1" Type="http://schemas.openxmlformats.org/officeDocument/2006/relationships/hyperlink" Target="https://www.pcnation.com/web/details/8Q8579/cisco-ncs-5001-routing-system-ncs-5001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libaba.com/product-detail/1-km-price-24-core-single_62211057804.html?spm=a2700.7724857.normalList.7.4a902947Cd3XVh&amp;s=p&amp;fullFirstScreen=true" TargetMode="External"/><Relationship Id="rId2" Type="http://schemas.openxmlformats.org/officeDocument/2006/relationships/hyperlink" Target="https://itprice.com/cisco/ncs4016-sa-ac.html" TargetMode="External"/><Relationship Id="rId1" Type="http://schemas.openxmlformats.org/officeDocument/2006/relationships/hyperlink" Target="http://www.siol.com/price_list/Price_list_SiOL_PG_ang.pdf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CC7CA-5417-469F-919C-6E9B31B64331}">
  <dimension ref="A1:X9"/>
  <sheetViews>
    <sheetView workbookViewId="0">
      <selection activeCell="O1" sqref="O1:O1048576"/>
    </sheetView>
  </sheetViews>
  <sheetFormatPr baseColWidth="10" defaultColWidth="11" defaultRowHeight="16" x14ac:dyDescent="0.2"/>
  <cols>
    <col min="1" max="1" width="16.83203125" bestFit="1" customWidth="1"/>
    <col min="2" max="4" width="9"/>
    <col min="5" max="5" width="10.33203125" customWidth="1"/>
    <col min="6" max="7" width="9"/>
    <col min="8" max="8" width="11" customWidth="1"/>
    <col min="9" max="9" width="14" bestFit="1" customWidth="1"/>
    <col min="10" max="15" width="9"/>
    <col min="16" max="16" width="16.5" bestFit="1" customWidth="1"/>
    <col min="17" max="17" width="11.33203125" bestFit="1" customWidth="1"/>
    <col min="18" max="21" width="11.5" bestFit="1" customWidth="1"/>
  </cols>
  <sheetData>
    <row r="1" spans="1:24" x14ac:dyDescent="0.2">
      <c r="A1" s="2" t="s">
        <v>0</v>
      </c>
      <c r="Q1" s="2" t="s">
        <v>1</v>
      </c>
    </row>
    <row r="2" spans="1:24" x14ac:dyDescent="0.2">
      <c r="D2" s="141" t="s">
        <v>2</v>
      </c>
      <c r="E2" s="141"/>
      <c r="F2" s="141" t="s">
        <v>3</v>
      </c>
      <c r="G2" s="141"/>
      <c r="H2" s="141" t="s">
        <v>4</v>
      </c>
      <c r="I2" s="141"/>
      <c r="J2" s="141" t="s">
        <v>5</v>
      </c>
      <c r="K2" s="141"/>
      <c r="L2" s="141" t="s">
        <v>6</v>
      </c>
      <c r="M2" s="141"/>
      <c r="N2" s="141" t="s">
        <v>7</v>
      </c>
      <c r="O2" s="141"/>
    </row>
    <row r="3" spans="1:24" x14ac:dyDescent="0.2">
      <c r="A3" s="1" t="s">
        <v>8</v>
      </c>
      <c r="B3" s="1" t="s">
        <v>9</v>
      </c>
      <c r="C3" s="1" t="s">
        <v>10</v>
      </c>
      <c r="D3" s="1" t="s">
        <v>11</v>
      </c>
      <c r="E3" s="1" t="s">
        <v>12</v>
      </c>
      <c r="F3" s="1" t="s">
        <v>11</v>
      </c>
      <c r="G3" s="1" t="s">
        <v>12</v>
      </c>
      <c r="H3" s="1" t="s">
        <v>11</v>
      </c>
      <c r="I3" s="1" t="s">
        <v>12</v>
      </c>
      <c r="J3" s="1" t="s">
        <v>11</v>
      </c>
      <c r="K3" s="1" t="s">
        <v>12</v>
      </c>
      <c r="L3" s="1" t="s">
        <v>11</v>
      </c>
      <c r="M3" s="1" t="s">
        <v>12</v>
      </c>
      <c r="N3" s="1" t="s">
        <v>11</v>
      </c>
      <c r="O3" s="1" t="s">
        <v>12</v>
      </c>
      <c r="Q3" s="5" t="s">
        <v>13</v>
      </c>
      <c r="R3" s="5"/>
      <c r="S3" s="5" t="s">
        <v>14</v>
      </c>
      <c r="T3" s="5" t="s">
        <v>15</v>
      </c>
      <c r="U3" s="5" t="s">
        <v>16</v>
      </c>
      <c r="V3" s="5" t="s">
        <v>17</v>
      </c>
      <c r="W3" s="5" t="s">
        <v>18</v>
      </c>
    </row>
    <row r="4" spans="1:24" x14ac:dyDescent="0.2">
      <c r="A4" s="139" t="s">
        <v>19</v>
      </c>
      <c r="B4" t="s">
        <v>20</v>
      </c>
      <c r="C4">
        <v>349.34</v>
      </c>
      <c r="D4">
        <v>1</v>
      </c>
      <c r="E4">
        <f>C4*D4</f>
        <v>349.34</v>
      </c>
      <c r="F4">
        <v>0</v>
      </c>
      <c r="H4">
        <v>0</v>
      </c>
      <c r="J4">
        <v>0</v>
      </c>
      <c r="L4">
        <v>0</v>
      </c>
      <c r="N4">
        <v>0</v>
      </c>
      <c r="Q4" s="140" t="s">
        <v>21</v>
      </c>
      <c r="R4" t="s">
        <v>22</v>
      </c>
      <c r="S4" s="8">
        <v>459.35</v>
      </c>
      <c r="T4" s="8">
        <v>459.35</v>
      </c>
      <c r="U4" s="8">
        <v>459.35</v>
      </c>
      <c r="V4" s="8">
        <v>459.35</v>
      </c>
      <c r="W4" s="8">
        <v>459.35</v>
      </c>
    </row>
    <row r="5" spans="1:24" x14ac:dyDescent="0.2">
      <c r="A5" s="139"/>
      <c r="B5" t="s">
        <v>23</v>
      </c>
      <c r="C5">
        <v>410.53</v>
      </c>
      <c r="D5">
        <v>1</v>
      </c>
      <c r="E5">
        <f t="shared" ref="E5" si="0">C5*D5</f>
        <v>410.53</v>
      </c>
      <c r="F5">
        <v>0</v>
      </c>
      <c r="H5">
        <v>0</v>
      </c>
      <c r="J5">
        <v>0</v>
      </c>
      <c r="L5">
        <v>0</v>
      </c>
      <c r="N5">
        <v>0</v>
      </c>
      <c r="Q5" s="140"/>
      <c r="R5" t="s">
        <v>24</v>
      </c>
      <c r="S5" s="8">
        <f>0.1*(S4)</f>
        <v>45.935000000000002</v>
      </c>
      <c r="T5" s="8">
        <f>0.1*(T4)</f>
        <v>45.935000000000002</v>
      </c>
      <c r="U5" s="8">
        <f>0.1*(U4)</f>
        <v>45.935000000000002</v>
      </c>
      <c r="V5" s="8">
        <f>0.1*(V4)</f>
        <v>45.935000000000002</v>
      </c>
      <c r="W5" s="8">
        <f>0.1*(W4)</f>
        <v>45.935000000000002</v>
      </c>
      <c r="X5" t="s">
        <v>25</v>
      </c>
    </row>
    <row r="6" spans="1:24" x14ac:dyDescent="0.2">
      <c r="A6" s="139"/>
      <c r="B6" s="3" t="s">
        <v>26</v>
      </c>
      <c r="C6" s="4"/>
      <c r="D6" s="4"/>
      <c r="E6" s="4">
        <f>SUM(E4:E5)</f>
        <v>759.86999999999989</v>
      </c>
      <c r="F6" s="4">
        <f t="shared" ref="F6:M6" si="1">SUM(F4:F5)</f>
        <v>0</v>
      </c>
      <c r="G6" s="4">
        <f t="shared" si="1"/>
        <v>0</v>
      </c>
      <c r="H6" s="4">
        <f t="shared" si="1"/>
        <v>0</v>
      </c>
      <c r="I6" s="4">
        <f t="shared" si="1"/>
        <v>0</v>
      </c>
      <c r="J6" s="4">
        <f t="shared" si="1"/>
        <v>0</v>
      </c>
      <c r="K6" s="4">
        <f t="shared" si="1"/>
        <v>0</v>
      </c>
      <c r="L6" s="4">
        <f t="shared" si="1"/>
        <v>0</v>
      </c>
      <c r="M6" s="4">
        <f t="shared" si="1"/>
        <v>0</v>
      </c>
      <c r="N6" s="4">
        <f t="shared" ref="N6:O6" si="2">SUM(N4:N5)</f>
        <v>0</v>
      </c>
      <c r="O6" s="4">
        <f t="shared" si="2"/>
        <v>0</v>
      </c>
      <c r="Q6" s="140"/>
      <c r="R6" t="s">
        <v>27</v>
      </c>
      <c r="S6" s="8">
        <f xml:space="preserve"> S5 + 0.03*($C5+$C4)</f>
        <v>68.731099999999998</v>
      </c>
      <c r="T6" s="8">
        <f xml:space="preserve"> T5 + 0.03*($C5+$C4)</f>
        <v>68.731099999999998</v>
      </c>
      <c r="U6" s="8">
        <f xml:space="preserve"> U5 + 0.03*($C5+$C4)</f>
        <v>68.731099999999998</v>
      </c>
      <c r="V6" s="8">
        <f xml:space="preserve"> V5 + 0.03*($C5+$C4)</f>
        <v>68.731099999999998</v>
      </c>
      <c r="W6" s="8">
        <f xml:space="preserve"> W5 + 0.03*($C5+$C4)</f>
        <v>68.731099999999998</v>
      </c>
    </row>
    <row r="7" spans="1:24" x14ac:dyDescent="0.2">
      <c r="A7" s="139"/>
      <c r="B7" s="3" t="s">
        <v>28</v>
      </c>
      <c r="C7" s="4"/>
      <c r="D7" s="4"/>
      <c r="E7" s="4">
        <f>E6*0.12</f>
        <v>91.184399999999982</v>
      </c>
      <c r="F7" s="4">
        <f t="shared" ref="F7:M7" si="3">F6*0.12</f>
        <v>0</v>
      </c>
      <c r="G7" s="4">
        <f t="shared" si="3"/>
        <v>0</v>
      </c>
      <c r="H7" s="4">
        <f t="shared" si="3"/>
        <v>0</v>
      </c>
      <c r="I7" s="4">
        <f t="shared" si="3"/>
        <v>0</v>
      </c>
      <c r="J7" s="4">
        <f t="shared" si="3"/>
        <v>0</v>
      </c>
      <c r="K7" s="4">
        <f t="shared" si="3"/>
        <v>0</v>
      </c>
      <c r="L7" s="4">
        <f t="shared" si="3"/>
        <v>0</v>
      </c>
      <c r="M7" s="4">
        <f t="shared" si="3"/>
        <v>0</v>
      </c>
      <c r="N7" s="4">
        <f t="shared" ref="N7:O7" si="4">N6*0.12</f>
        <v>0</v>
      </c>
      <c r="O7" s="4">
        <f t="shared" si="4"/>
        <v>0</v>
      </c>
      <c r="Q7" s="11"/>
      <c r="R7" s="4" t="s">
        <v>29</v>
      </c>
      <c r="S7" s="9">
        <f>SUM(S4:S6)</f>
        <v>574.01610000000005</v>
      </c>
      <c r="T7" s="9">
        <f>SUM(T4:T6)</f>
        <v>574.01610000000005</v>
      </c>
      <c r="U7" s="9">
        <f>SUM(U4:U6)</f>
        <v>574.01610000000005</v>
      </c>
      <c r="V7" s="9">
        <f>SUM(V4:V6)</f>
        <v>574.01610000000005</v>
      </c>
      <c r="W7" s="9">
        <f>SUM(W4:W6)</f>
        <v>574.01610000000005</v>
      </c>
    </row>
    <row r="8" spans="1:24" x14ac:dyDescent="0.2">
      <c r="A8" s="139"/>
      <c r="B8" s="3" t="s">
        <v>30</v>
      </c>
      <c r="C8" s="4"/>
      <c r="D8" s="4"/>
      <c r="E8" s="74">
        <f>E6+E7</f>
        <v>851.05439999999987</v>
      </c>
      <c r="F8" s="74">
        <f t="shared" ref="F8:M8" si="5">F6+F7</f>
        <v>0</v>
      </c>
      <c r="G8" s="74">
        <f t="shared" si="5"/>
        <v>0</v>
      </c>
      <c r="H8" s="74">
        <f t="shared" si="5"/>
        <v>0</v>
      </c>
      <c r="I8" s="74">
        <f t="shared" si="5"/>
        <v>0</v>
      </c>
      <c r="J8" s="74">
        <f t="shared" si="5"/>
        <v>0</v>
      </c>
      <c r="K8" s="74">
        <f t="shared" si="5"/>
        <v>0</v>
      </c>
      <c r="L8" s="74">
        <f t="shared" si="5"/>
        <v>0</v>
      </c>
      <c r="M8" s="74">
        <f t="shared" si="5"/>
        <v>0</v>
      </c>
      <c r="N8" s="74">
        <f t="shared" ref="N8:O8" si="6">N6+N7</f>
        <v>0</v>
      </c>
      <c r="O8" s="74">
        <f t="shared" si="6"/>
        <v>0</v>
      </c>
      <c r="Q8" s="10"/>
      <c r="R8" s="10"/>
    </row>
    <row r="9" spans="1:24" x14ac:dyDescent="0.2">
      <c r="A9" s="139"/>
      <c r="P9" s="10"/>
      <c r="Q9" s="10"/>
    </row>
  </sheetData>
  <mergeCells count="8">
    <mergeCell ref="A4:A9"/>
    <mergeCell ref="Q4:Q6"/>
    <mergeCell ref="D2:E2"/>
    <mergeCell ref="F2:G2"/>
    <mergeCell ref="H2:I2"/>
    <mergeCell ref="J2:K2"/>
    <mergeCell ref="L2:M2"/>
    <mergeCell ref="N2:O2"/>
  </mergeCells>
  <phoneticPr fontId="7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D04F3D-6FF8-8A4B-885C-6E89F6A39D61}">
  <dimension ref="B2:J88"/>
  <sheetViews>
    <sheetView tabSelected="1" zoomScale="106" workbookViewId="0">
      <selection activeCell="B2" sqref="B2:I31"/>
    </sheetView>
  </sheetViews>
  <sheetFormatPr baseColWidth="10" defaultColWidth="11" defaultRowHeight="16" x14ac:dyDescent="0.2"/>
  <cols>
    <col min="1" max="1" width="19.83203125" bestFit="1" customWidth="1"/>
    <col min="2" max="2" width="15.5" bestFit="1" customWidth="1"/>
    <col min="3" max="3" width="19.83203125" bestFit="1" customWidth="1"/>
    <col min="4" max="4" width="18" customWidth="1"/>
    <col min="5" max="5" width="17" customWidth="1"/>
    <col min="6" max="6" width="16.33203125" bestFit="1" customWidth="1"/>
    <col min="7" max="7" width="16.83203125" customWidth="1"/>
    <col min="8" max="8" width="16.5" customWidth="1"/>
    <col min="9" max="10" width="17.5" customWidth="1"/>
    <col min="12" max="12" width="18.33203125" customWidth="1"/>
    <col min="13" max="14" width="22.6640625" customWidth="1"/>
    <col min="15" max="15" width="14.83203125" customWidth="1"/>
    <col min="16" max="16" width="14.6640625" bestFit="1" customWidth="1"/>
    <col min="17" max="17" width="14.33203125" customWidth="1"/>
  </cols>
  <sheetData>
    <row r="2" spans="2:9" x14ac:dyDescent="0.2">
      <c r="C2" s="87" t="s">
        <v>138</v>
      </c>
      <c r="D2" s="87" t="s">
        <v>139</v>
      </c>
      <c r="E2" s="87" t="s">
        <v>140</v>
      </c>
      <c r="F2" s="87" t="s">
        <v>141</v>
      </c>
      <c r="G2" s="87" t="s">
        <v>142</v>
      </c>
      <c r="H2" s="87" t="s">
        <v>143</v>
      </c>
      <c r="I2" s="87" t="s">
        <v>144</v>
      </c>
    </row>
    <row r="3" spans="2:9" x14ac:dyDescent="0.2">
      <c r="B3" s="158" t="s">
        <v>185</v>
      </c>
      <c r="C3" s="83" t="s">
        <v>147</v>
      </c>
      <c r="D3" s="85">
        <f>'EXP-INCOM (2)'!B20</f>
        <v>0</v>
      </c>
      <c r="E3" s="85">
        <f>'EXP-INCOM (2)'!C20</f>
        <v>574.01610000000005</v>
      </c>
      <c r="F3" s="85">
        <f>'EXP-INCOM (2)'!D20</f>
        <v>574.01610000000005</v>
      </c>
      <c r="G3" s="85">
        <f>'EXP-INCOM (2)'!E20</f>
        <v>574.01610000000005</v>
      </c>
      <c r="H3" s="85">
        <f>'EXP-INCOM (2)'!F20</f>
        <v>574.01610000000005</v>
      </c>
      <c r="I3" s="85">
        <f>'EXP-INCOM (2)'!G20</f>
        <v>574.01610000000005</v>
      </c>
    </row>
    <row r="4" spans="2:9" x14ac:dyDescent="0.2">
      <c r="B4" s="158"/>
      <c r="C4" s="83" t="s">
        <v>182</v>
      </c>
      <c r="D4" s="85">
        <f>'EXP-INCOM (2)'!B58</f>
        <v>0</v>
      </c>
      <c r="E4" s="85">
        <f>'EXP-INCOM (2)'!C58</f>
        <v>0</v>
      </c>
      <c r="F4" s="85">
        <f>'EXP-INCOM (2)'!D58</f>
        <v>504995.08704000007</v>
      </c>
      <c r="G4" s="85">
        <f>'EXP-INCOM (2)'!E58</f>
        <v>991760.46700800012</v>
      </c>
      <c r="H4" s="85">
        <f>'EXP-INCOM (2)'!F58</f>
        <v>1478525.8469760001</v>
      </c>
      <c r="I4" s="85">
        <f>'EXP-INCOM (2)'!G58</f>
        <v>2452436.1347040003</v>
      </c>
    </row>
    <row r="5" spans="2:9" x14ac:dyDescent="0.2">
      <c r="B5" s="158"/>
      <c r="C5" s="83" t="s">
        <v>154</v>
      </c>
      <c r="D5" s="85">
        <f>'EXP-INCOM (2)'!B26</f>
        <v>0</v>
      </c>
      <c r="E5" s="85">
        <f>'EXP-INCOM (2)'!C26</f>
        <v>538677.77777777764</v>
      </c>
      <c r="F5" s="85">
        <f>'EXP-INCOM (2)'!D26</f>
        <v>538677.77777777764</v>
      </c>
      <c r="G5" s="85">
        <f>'EXP-INCOM (2)'!E26</f>
        <v>538677.77777777764</v>
      </c>
      <c r="H5" s="85">
        <f>'EXP-INCOM (2)'!F26</f>
        <v>538677.77777777764</v>
      </c>
      <c r="I5" s="85">
        <f>'EXP-INCOM (2)'!G26</f>
        <v>538677.77777777764</v>
      </c>
    </row>
    <row r="6" spans="2:9" x14ac:dyDescent="0.2">
      <c r="B6" s="158"/>
      <c r="C6" s="83" t="s">
        <v>155</v>
      </c>
      <c r="D6" s="85">
        <f>'EXP-INCOM (2)'!B27</f>
        <v>0</v>
      </c>
      <c r="E6" s="85">
        <f>'EXP-INCOM (2)'!C27</f>
        <v>4548.2280000000001</v>
      </c>
      <c r="F6" s="85">
        <f>'EXP-INCOM (2)'!D27</f>
        <v>4548.2280000000001</v>
      </c>
      <c r="G6" s="85">
        <f>'EXP-INCOM (2)'!E27</f>
        <v>4548.2280000000001</v>
      </c>
      <c r="H6" s="85">
        <f>'EXP-INCOM (2)'!F27</f>
        <v>4548.2280000000001</v>
      </c>
      <c r="I6" s="85">
        <f>'EXP-INCOM (2)'!G27</f>
        <v>4548.2280000000001</v>
      </c>
    </row>
    <row r="7" spans="2:9" x14ac:dyDescent="0.2">
      <c r="B7" s="158"/>
      <c r="C7" s="83" t="s">
        <v>156</v>
      </c>
      <c r="D7" s="85">
        <f>'EXP-INCOM (2)'!B28</f>
        <v>0</v>
      </c>
      <c r="E7" s="85">
        <f>'EXP-INCOM (2)'!C28</f>
        <v>251823.26400000002</v>
      </c>
      <c r="F7" s="85">
        <f>'EXP-INCOM (2)'!D28</f>
        <v>503646.52800000005</v>
      </c>
      <c r="G7" s="85">
        <f>'EXP-INCOM (2)'!E28</f>
        <v>755469.79200000013</v>
      </c>
      <c r="H7" s="85">
        <f>'EXP-INCOM (2)'!F28</f>
        <v>1007293.0560000001</v>
      </c>
      <c r="I7" s="85">
        <f>'EXP-INCOM (2)'!G28</f>
        <v>1259049.1200000001</v>
      </c>
    </row>
    <row r="8" spans="2:9" x14ac:dyDescent="0.2">
      <c r="B8" s="158"/>
      <c r="C8" s="83" t="s">
        <v>157</v>
      </c>
      <c r="D8" s="85">
        <f>'EXP-INCOM (2)'!B29</f>
        <v>0</v>
      </c>
      <c r="E8" s="85">
        <f>'EXP-INCOM (2)'!C29</f>
        <v>0</v>
      </c>
      <c r="F8" s="85">
        <f>'EXP-INCOM (2)'!D29</f>
        <v>0</v>
      </c>
      <c r="G8" s="85">
        <f>'EXP-INCOM (2)'!E29</f>
        <v>0</v>
      </c>
      <c r="H8" s="85">
        <f>'EXP-INCOM (2)'!F29</f>
        <v>0</v>
      </c>
      <c r="I8" s="85">
        <f>'EXP-INCOM (2)'!G29</f>
        <v>0</v>
      </c>
    </row>
    <row r="9" spans="2:9" x14ac:dyDescent="0.2">
      <c r="B9" s="158"/>
      <c r="C9" s="83" t="s">
        <v>163</v>
      </c>
      <c r="D9" s="85">
        <f>'EXP-INCOM (2)'!B30</f>
        <v>0</v>
      </c>
      <c r="E9" s="85">
        <f>'EXP-INCOM (2)'!C30</f>
        <v>22921.828000000001</v>
      </c>
      <c r="F9" s="85">
        <f>'EXP-INCOM (2)'!D30</f>
        <v>22921.828000000001</v>
      </c>
      <c r="G9" s="85">
        <f>'EXP-INCOM (2)'!E30</f>
        <v>22921.828000000001</v>
      </c>
      <c r="H9" s="85">
        <f>'EXP-INCOM (2)'!F30</f>
        <v>22921.828000000001</v>
      </c>
      <c r="I9" s="85">
        <f>'EXP-INCOM (2)'!G30</f>
        <v>22921.828000000001</v>
      </c>
    </row>
    <row r="10" spans="2:9" x14ac:dyDescent="0.2">
      <c r="B10" s="158"/>
      <c r="C10" s="83" t="s">
        <v>164</v>
      </c>
      <c r="D10" s="85">
        <f>'EXP-INCOM (2)'!B31</f>
        <v>0</v>
      </c>
      <c r="E10" s="85">
        <f>'EXP-INCOM (2)'!C31</f>
        <v>35625.160190606199</v>
      </c>
      <c r="F10" s="85">
        <f>'EXP-INCOM (2)'!D31</f>
        <v>35625.160190606199</v>
      </c>
      <c r="G10" s="85">
        <f>'EXP-INCOM (2)'!E31</f>
        <v>35625.160190606199</v>
      </c>
      <c r="H10" s="85">
        <f>'EXP-INCOM (2)'!F31</f>
        <v>35625.160190606199</v>
      </c>
      <c r="I10" s="85">
        <f>'EXP-INCOM (2)'!G31</f>
        <v>35625.160190606199</v>
      </c>
    </row>
    <row r="11" spans="2:9" x14ac:dyDescent="0.2">
      <c r="B11" s="158"/>
      <c r="C11" s="83" t="s">
        <v>186</v>
      </c>
      <c r="D11" s="85">
        <v>0</v>
      </c>
      <c r="E11" s="85">
        <f>Netprofit!C13</f>
        <v>114831.974</v>
      </c>
      <c r="F11" s="85">
        <f>Netprofit!D13</f>
        <v>175911.97399999999</v>
      </c>
      <c r="G11" s="85">
        <f>Netprofit!E13</f>
        <v>236991.97399999999</v>
      </c>
      <c r="H11" s="85">
        <f>Netprofit!F13</f>
        <v>298071.97399999999</v>
      </c>
      <c r="I11" s="85">
        <f>Netprofit!G13</f>
        <v>359151.97399999999</v>
      </c>
    </row>
    <row r="12" spans="2:9" x14ac:dyDescent="0.2">
      <c r="B12" s="158"/>
      <c r="C12" s="83" t="s">
        <v>187</v>
      </c>
      <c r="D12" s="85">
        <v>0</v>
      </c>
      <c r="E12" s="85">
        <f>Netprofit!C7</f>
        <v>3449586.4927670704</v>
      </c>
      <c r="F12" s="85">
        <f>Netprofit!D7</f>
        <v>9732237.8771450706</v>
      </c>
      <c r="G12" s="85">
        <f>Netprofit!E7</f>
        <v>9532320.7161530703</v>
      </c>
      <c r="H12" s="85">
        <f>Netprofit!F7</f>
        <v>9332403.5551610701</v>
      </c>
      <c r="I12" s="85">
        <f>Netprofit!G7</f>
        <v>15497842.939367071</v>
      </c>
    </row>
    <row r="13" spans="2:9" x14ac:dyDescent="0.2">
      <c r="B13" s="158"/>
      <c r="C13" s="91" t="s">
        <v>188</v>
      </c>
      <c r="D13" s="92">
        <f>SUM(D3:D12)</f>
        <v>0</v>
      </c>
      <c r="E13" s="92">
        <f>SUM(E3:E12)</f>
        <v>4418588.7408354543</v>
      </c>
      <c r="F13" s="92">
        <f t="shared" ref="F13:I13" si="0">SUM(F3:F12)</f>
        <v>11519138.476253454</v>
      </c>
      <c r="G13" s="92">
        <f>SUM(G3:G12)</f>
        <v>12118889.959229454</v>
      </c>
      <c r="H13" s="92">
        <f t="shared" si="0"/>
        <v>12718641.442205453</v>
      </c>
      <c r="I13" s="92">
        <f t="shared" si="0"/>
        <v>20170827.178139456</v>
      </c>
    </row>
    <row r="14" spans="2:9" x14ac:dyDescent="0.2">
      <c r="B14" s="158" t="s">
        <v>225</v>
      </c>
      <c r="C14" s="83" t="s">
        <v>189</v>
      </c>
      <c r="D14" s="85"/>
      <c r="E14" s="85"/>
      <c r="F14" s="85"/>
      <c r="G14" s="85"/>
      <c r="H14" s="85"/>
      <c r="I14" s="85"/>
    </row>
    <row r="15" spans="2:9" x14ac:dyDescent="0.2">
      <c r="B15" s="158"/>
      <c r="C15" s="83" t="s">
        <v>147</v>
      </c>
      <c r="D15" s="85">
        <f>'EXP-INCOM (2)'!B3</f>
        <v>851.05439999999987</v>
      </c>
      <c r="E15" s="85">
        <f>'EXP-INCOM (2)'!C3</f>
        <v>0</v>
      </c>
      <c r="F15" s="85">
        <f>'EXP-INCOM (2)'!D3</f>
        <v>0</v>
      </c>
      <c r="G15" s="85">
        <f>'EXP-INCOM (2)'!E3</f>
        <v>0</v>
      </c>
      <c r="H15" s="85">
        <f>'EXP-INCOM (2)'!F3</f>
        <v>0</v>
      </c>
      <c r="I15" s="85">
        <f>'EXP-INCOM (2)'!G3</f>
        <v>0</v>
      </c>
    </row>
    <row r="16" spans="2:9" x14ac:dyDescent="0.2">
      <c r="B16" s="158"/>
      <c r="C16" s="83" t="s">
        <v>182</v>
      </c>
      <c r="D16" s="85">
        <f>'EXP-INCOM (2)'!B55</f>
        <v>0</v>
      </c>
      <c r="E16" s="85">
        <f>'EXP-INCOM (2)'!C55</f>
        <v>0</v>
      </c>
      <c r="F16" s="85">
        <f>'EXP-INCOM (2)'!D55</f>
        <v>16233169.568000002</v>
      </c>
      <c r="G16" s="85">
        <f>'EXP-INCOM (2)'!E55</f>
        <v>16225512.665600002</v>
      </c>
      <c r="H16" s="85">
        <f>'EXP-INCOM (2)'!F55</f>
        <v>16225512.665600002</v>
      </c>
      <c r="I16" s="85">
        <f>'EXP-INCOM (2)'!G55</f>
        <v>32463676.257600002</v>
      </c>
    </row>
    <row r="17" spans="2:10" x14ac:dyDescent="0.2">
      <c r="B17" s="158"/>
      <c r="C17" s="83" t="s">
        <v>154</v>
      </c>
      <c r="D17" s="85">
        <f>'EXP-INCOM (2)'!B9</f>
        <v>134400</v>
      </c>
      <c r="E17" s="85">
        <f>'EXP-INCOM (2)'!C9</f>
        <v>0</v>
      </c>
      <c r="F17" s="85">
        <f>'EXP-INCOM (2)'!D9</f>
        <v>0</v>
      </c>
      <c r="G17" s="85">
        <f>'EXP-INCOM (2)'!E9</f>
        <v>0</v>
      </c>
      <c r="H17" s="85">
        <f>'EXP-INCOM (2)'!F9</f>
        <v>0</v>
      </c>
      <c r="I17" s="85">
        <f>'EXP-INCOM (2)'!G9</f>
        <v>0</v>
      </c>
    </row>
    <row r="18" spans="2:10" x14ac:dyDescent="0.2">
      <c r="B18" s="158"/>
      <c r="C18" s="83" t="s">
        <v>155</v>
      </c>
      <c r="D18" s="85">
        <f>'EXP-INCOM (2)'!B10</f>
        <v>116480</v>
      </c>
      <c r="E18" s="85">
        <f>'EXP-INCOM (2)'!C10</f>
        <v>0</v>
      </c>
      <c r="F18" s="85">
        <f>'EXP-INCOM (2)'!D10</f>
        <v>0</v>
      </c>
      <c r="G18" s="85">
        <f>'EXP-INCOM (2)'!E10</f>
        <v>0</v>
      </c>
      <c r="H18" s="85">
        <f>'EXP-INCOM (2)'!F10</f>
        <v>0</v>
      </c>
      <c r="I18" s="85">
        <f>'EXP-INCOM (2)'!G10</f>
        <v>0</v>
      </c>
    </row>
    <row r="19" spans="2:10" x14ac:dyDescent="0.2">
      <c r="B19" s="158"/>
      <c r="C19" s="83" t="s">
        <v>156</v>
      </c>
      <c r="D19" s="85">
        <f>'EXP-INCOM (2)'!B11</f>
        <v>8394108.8000000007</v>
      </c>
      <c r="E19" s="85">
        <f>'EXP-INCOM (2)'!C11</f>
        <v>8394108.8000000007</v>
      </c>
      <c r="F19" s="85">
        <f>'EXP-INCOM (2)'!D11</f>
        <v>8394108.8000000007</v>
      </c>
      <c r="G19" s="85">
        <f>'EXP-INCOM (2)'!E11</f>
        <v>8394108.8000000007</v>
      </c>
      <c r="H19" s="85">
        <f>'EXP-INCOM (2)'!F11</f>
        <v>8391868.8000000007</v>
      </c>
      <c r="I19" s="85">
        <f>'EXP-INCOM (2)'!G11</f>
        <v>0</v>
      </c>
    </row>
    <row r="20" spans="2:10" x14ac:dyDescent="0.2">
      <c r="B20" s="158"/>
      <c r="C20" s="83" t="s">
        <v>157</v>
      </c>
      <c r="D20" s="85">
        <f>'EXP-INCOM (2)'!B12</f>
        <v>0</v>
      </c>
      <c r="E20" s="85">
        <f>'EXP-INCOM (2)'!C12</f>
        <v>0</v>
      </c>
      <c r="F20" s="85">
        <f>'EXP-INCOM (2)'!D12</f>
        <v>0</v>
      </c>
      <c r="G20" s="85">
        <f>'EXP-INCOM (2)'!E12</f>
        <v>0</v>
      </c>
      <c r="H20" s="85">
        <f>'EXP-INCOM (2)'!F12</f>
        <v>0</v>
      </c>
      <c r="I20" s="85">
        <f>'EXP-INCOM (2)'!G12</f>
        <v>0</v>
      </c>
    </row>
    <row r="21" spans="2:10" x14ac:dyDescent="0.2">
      <c r="B21" s="158"/>
      <c r="C21" s="83" t="s">
        <v>163</v>
      </c>
      <c r="D21" s="85">
        <f>'EXP-INCOM (2)'!B13</f>
        <v>201600</v>
      </c>
      <c r="E21" s="85">
        <f>'EXP-INCOM (2)'!C13</f>
        <v>0</v>
      </c>
      <c r="F21" s="85">
        <f>'EXP-INCOM (2)'!D13</f>
        <v>0</v>
      </c>
      <c r="G21" s="85">
        <f>'EXP-INCOM (2)'!E13</f>
        <v>0</v>
      </c>
      <c r="H21" s="85">
        <f>'EXP-INCOM (2)'!F13</f>
        <v>0</v>
      </c>
      <c r="I21" s="85">
        <f>'EXP-INCOM (2)'!G13</f>
        <v>0</v>
      </c>
    </row>
    <row r="22" spans="2:10" x14ac:dyDescent="0.2">
      <c r="B22" s="158"/>
      <c r="C22" s="83" t="s">
        <v>164</v>
      </c>
      <c r="D22" s="85">
        <f>'EXP-INCOM (2)'!B14</f>
        <v>0</v>
      </c>
      <c r="E22" s="85">
        <f>'EXP-INCOM (2)'!C14</f>
        <v>0</v>
      </c>
      <c r="F22" s="85">
        <f>'EXP-INCOM (2)'!D14</f>
        <v>0</v>
      </c>
      <c r="G22" s="85">
        <f>'EXP-INCOM (2)'!E14</f>
        <v>0</v>
      </c>
      <c r="H22" s="85">
        <f>'EXP-INCOM (2)'!F14</f>
        <v>0</v>
      </c>
      <c r="I22" s="85">
        <f>'EXP-INCOM (2)'!G14</f>
        <v>0</v>
      </c>
    </row>
    <row r="23" spans="2:10" x14ac:dyDescent="0.2">
      <c r="B23" s="158"/>
      <c r="C23" s="91" t="s">
        <v>190</v>
      </c>
      <c r="D23" s="92">
        <f>SUM(D14:D22)</f>
        <v>8847439.8544000015</v>
      </c>
      <c r="E23" s="92">
        <f t="shared" ref="E23:I23" si="1">SUM(E14:E22)</f>
        <v>8394108.8000000007</v>
      </c>
      <c r="F23" s="92">
        <f t="shared" si="1"/>
        <v>24627278.368000001</v>
      </c>
      <c r="G23" s="92">
        <f t="shared" si="1"/>
        <v>24619621.465600003</v>
      </c>
      <c r="H23" s="92">
        <f t="shared" si="1"/>
        <v>24617381.465600003</v>
      </c>
      <c r="I23" s="92">
        <f t="shared" si="1"/>
        <v>32463676.257600002</v>
      </c>
    </row>
    <row r="24" spans="2:10" x14ac:dyDescent="0.2">
      <c r="B24" s="158" t="s">
        <v>191</v>
      </c>
      <c r="C24" s="86" t="s">
        <v>182</v>
      </c>
      <c r="D24" s="89">
        <v>0</v>
      </c>
      <c r="E24" s="89">
        <f>'EXP-INCOM (2)'!K17</f>
        <v>0</v>
      </c>
      <c r="F24" s="89">
        <f>'EXP-INCOM (2)'!L17</f>
        <v>25948503.888552003</v>
      </c>
      <c r="G24" s="89">
        <f>'EXP-INCOM (2)'!M17</f>
        <v>25948503.888552003</v>
      </c>
      <c r="H24" s="89">
        <f>'EXP-INCOM (2)'!N17</f>
        <v>25948503.888552003</v>
      </c>
      <c r="I24" s="89">
        <f>'EXP-INCOM (2)'!O17</f>
        <v>51897007.777104005</v>
      </c>
    </row>
    <row r="25" spans="2:10" x14ac:dyDescent="0.2">
      <c r="B25" s="158"/>
      <c r="C25" s="86" t="s">
        <v>164</v>
      </c>
      <c r="D25" s="89">
        <v>0</v>
      </c>
      <c r="E25" s="89">
        <f>'EXP-INCOM (2)'!K28</f>
        <v>57590.400000000001</v>
      </c>
      <c r="F25" s="89">
        <f>'EXP-INCOM (2)'!L28</f>
        <v>57590.400000000001</v>
      </c>
      <c r="G25" s="89">
        <f>'EXP-INCOM (2)'!M28</f>
        <v>57590.400000000001</v>
      </c>
      <c r="H25" s="89">
        <f>'EXP-INCOM (2)'!N28</f>
        <v>57590.400000000001</v>
      </c>
      <c r="I25" s="89">
        <f>'EXP-INCOM (2)'!O28</f>
        <v>57590.400000000001</v>
      </c>
    </row>
    <row r="26" spans="2:10" x14ac:dyDescent="0.2">
      <c r="B26" s="158"/>
      <c r="C26" s="86" t="s">
        <v>192</v>
      </c>
      <c r="D26" s="89">
        <f>SUM(D24)</f>
        <v>0</v>
      </c>
      <c r="E26" s="89">
        <f>'EXP-INCOM (2)'!K27</f>
        <v>14709757.819136664</v>
      </c>
      <c r="F26" s="89">
        <f>'EXP-INCOM (2)'!L27</f>
        <v>14709757.819136664</v>
      </c>
      <c r="G26" s="89">
        <f>'EXP-INCOM (2)'!M27</f>
        <v>14709757.819136664</v>
      </c>
      <c r="H26" s="89">
        <f>'EXP-INCOM (2)'!N27</f>
        <v>14709757.819136664</v>
      </c>
      <c r="I26" s="89">
        <f>'EXP-INCOM (2)'!O27</f>
        <v>14709757.819136664</v>
      </c>
    </row>
    <row r="27" spans="2:10" x14ac:dyDescent="0.2">
      <c r="B27" s="158"/>
      <c r="C27" s="86" t="s">
        <v>189</v>
      </c>
      <c r="D27" s="89">
        <v>0</v>
      </c>
      <c r="E27" s="89"/>
      <c r="F27" s="89"/>
      <c r="G27" s="89"/>
      <c r="H27" s="89"/>
      <c r="I27" s="89"/>
    </row>
    <row r="28" spans="2:10" x14ac:dyDescent="0.2">
      <c r="B28" s="158"/>
      <c r="C28" s="84" t="s">
        <v>193</v>
      </c>
      <c r="D28" s="94">
        <f>SUM(D24:D27)</f>
        <v>0</v>
      </c>
      <c r="E28" s="94">
        <f>SUM(E24:E26)</f>
        <v>14767348.219136665</v>
      </c>
      <c r="F28" s="94">
        <f>SUM(F24:F26)</f>
        <v>40715852.107688665</v>
      </c>
      <c r="G28" s="94">
        <f>SUM(G24:G26)</f>
        <v>40715852.107688665</v>
      </c>
      <c r="H28" s="94">
        <f>SUM(H24:H26)</f>
        <v>40715852.107688665</v>
      </c>
      <c r="I28" s="94">
        <f>SUM(I24:I26)</f>
        <v>66664355.996240668</v>
      </c>
    </row>
    <row r="29" spans="2:10" x14ac:dyDescent="0.2">
      <c r="B29" s="95" t="s">
        <v>194</v>
      </c>
      <c r="C29" s="95"/>
      <c r="D29" s="96">
        <f t="shared" ref="D29:I29" si="2">D28-(D13+D23)</f>
        <v>-8847439.8544000015</v>
      </c>
      <c r="E29" s="96">
        <f t="shared" si="2"/>
        <v>1954650.6783012096</v>
      </c>
      <c r="F29" s="96">
        <f t="shared" si="2"/>
        <v>4569435.2634352148</v>
      </c>
      <c r="G29" s="96">
        <f t="shared" si="2"/>
        <v>3977340.6828592122</v>
      </c>
      <c r="H29" s="96">
        <f t="shared" si="2"/>
        <v>3379829.1998832077</v>
      </c>
      <c r="I29" s="96">
        <f t="shared" si="2"/>
        <v>14029852.56050121</v>
      </c>
    </row>
    <row r="30" spans="2:10" x14ac:dyDescent="0.2">
      <c r="B30" s="95" t="s">
        <v>195</v>
      </c>
      <c r="C30" s="95"/>
      <c r="D30" s="96">
        <f>D29</f>
        <v>-8847439.8544000015</v>
      </c>
      <c r="E30" s="96">
        <f>D30+E29</f>
        <v>-6892789.1760987919</v>
      </c>
      <c r="F30" s="96">
        <f t="shared" ref="F30:I30" si="3">E30+F29</f>
        <v>-2323353.9126635771</v>
      </c>
      <c r="G30" s="96">
        <f t="shared" si="3"/>
        <v>1653986.770195635</v>
      </c>
      <c r="H30" s="96">
        <f t="shared" si="3"/>
        <v>5033815.9700788427</v>
      </c>
      <c r="I30" s="96">
        <f t="shared" si="3"/>
        <v>19063668.530580051</v>
      </c>
    </row>
    <row r="31" spans="2:10" x14ac:dyDescent="0.2">
      <c r="B31" s="95" t="s">
        <v>196</v>
      </c>
      <c r="C31" s="95"/>
      <c r="D31" s="96">
        <f>D29/(1+C34)^0</f>
        <v>-8847439.8544000015</v>
      </c>
      <c r="E31" s="96">
        <f>E29/(1+C34)^1</f>
        <v>1776955.1620920086</v>
      </c>
      <c r="F31" s="96">
        <f>F29/(1+C34)^2</f>
        <v>3776392.7796985242</v>
      </c>
      <c r="G31" s="96">
        <f>G29/(1+C34)^3</f>
        <v>2988234.9232601132</v>
      </c>
      <c r="H31" s="96">
        <f>H29/(1+C34)^4</f>
        <v>2308468.8203559914</v>
      </c>
      <c r="I31" s="96">
        <f>I29/(1+C34)^5</f>
        <v>8711434.6141912844</v>
      </c>
      <c r="J31" s="80">
        <f>SUM(E31:I31)</f>
        <v>19561486.299597919</v>
      </c>
    </row>
    <row r="32" spans="2:10" x14ac:dyDescent="0.2">
      <c r="I32" t="s">
        <v>197</v>
      </c>
      <c r="J32" s="80">
        <f>J31-D23</f>
        <v>10714046.445197918</v>
      </c>
    </row>
    <row r="34" spans="2:3" x14ac:dyDescent="0.2">
      <c r="B34" t="s">
        <v>198</v>
      </c>
      <c r="C34">
        <v>0.1</v>
      </c>
    </row>
    <row r="35" spans="2:3" x14ac:dyDescent="0.2">
      <c r="B35" t="s">
        <v>197</v>
      </c>
      <c r="C35" s="80">
        <f>NPV(0.1,E29,F29,G29,H29,I29)+D29</f>
        <v>10714046.445197918</v>
      </c>
    </row>
    <row r="36" spans="2:3" x14ac:dyDescent="0.2">
      <c r="B36" t="s">
        <v>199</v>
      </c>
      <c r="C36" s="120">
        <f>IRR(D29:I29)</f>
        <v>0.39070230932157113</v>
      </c>
    </row>
    <row r="40" spans="2:3" x14ac:dyDescent="0.2">
      <c r="B40" t="s">
        <v>200</v>
      </c>
    </row>
    <row r="41" spans="2:3" x14ac:dyDescent="0.2">
      <c r="B41" t="s">
        <v>201</v>
      </c>
    </row>
    <row r="42" spans="2:3" x14ac:dyDescent="0.2">
      <c r="B42" t="s">
        <v>202</v>
      </c>
    </row>
    <row r="44" spans="2:3" x14ac:dyDescent="0.2">
      <c r="C44" s="119"/>
    </row>
    <row r="45" spans="2:3" x14ac:dyDescent="0.2">
      <c r="C45" s="119"/>
    </row>
    <row r="58" spans="3:3" x14ac:dyDescent="0.2">
      <c r="C58" s="123"/>
    </row>
    <row r="60" spans="3:3" x14ac:dyDescent="0.2">
      <c r="C60" s="123"/>
    </row>
    <row r="62" spans="3:3" x14ac:dyDescent="0.2">
      <c r="C62" s="123"/>
    </row>
    <row r="64" spans="3:3" x14ac:dyDescent="0.2">
      <c r="C64" s="123"/>
    </row>
    <row r="66" spans="3:3" x14ac:dyDescent="0.2">
      <c r="C66" s="123"/>
    </row>
    <row r="68" spans="3:3" x14ac:dyDescent="0.2">
      <c r="C68" s="123"/>
    </row>
    <row r="70" spans="3:3" x14ac:dyDescent="0.2">
      <c r="C70" s="123"/>
    </row>
    <row r="72" spans="3:3" x14ac:dyDescent="0.2">
      <c r="C72" s="123"/>
    </row>
    <row r="74" spans="3:3" x14ac:dyDescent="0.2">
      <c r="C74" s="123"/>
    </row>
    <row r="76" spans="3:3" x14ac:dyDescent="0.2">
      <c r="C76" s="123"/>
    </row>
    <row r="78" spans="3:3" x14ac:dyDescent="0.2">
      <c r="C78" s="123"/>
    </row>
    <row r="80" spans="3:3" x14ac:dyDescent="0.2">
      <c r="C80" s="123"/>
    </row>
    <row r="82" spans="3:3" x14ac:dyDescent="0.2">
      <c r="C82" s="123"/>
    </row>
    <row r="84" spans="3:3" x14ac:dyDescent="0.2">
      <c r="C84" s="123"/>
    </row>
    <row r="86" spans="3:3" x14ac:dyDescent="0.2">
      <c r="C86" s="123"/>
    </row>
    <row r="88" spans="3:3" x14ac:dyDescent="0.2">
      <c r="C88" s="123"/>
    </row>
  </sheetData>
  <mergeCells count="3">
    <mergeCell ref="B3:B13"/>
    <mergeCell ref="B14:B23"/>
    <mergeCell ref="B24:B28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2DDCA-8692-4405-BB88-BCE2A9DDC38D}">
  <dimension ref="A1:N23"/>
  <sheetViews>
    <sheetView topLeftCell="A9" workbookViewId="0">
      <selection activeCell="B15" sqref="B15"/>
    </sheetView>
  </sheetViews>
  <sheetFormatPr baseColWidth="10" defaultColWidth="8.83203125" defaultRowHeight="16" x14ac:dyDescent="0.2"/>
  <cols>
    <col min="1" max="2" width="20.5" customWidth="1"/>
    <col min="3" max="7" width="15.5" customWidth="1"/>
    <col min="8" max="8" width="16.5" bestFit="1" customWidth="1"/>
    <col min="9" max="9" width="15.83203125" customWidth="1"/>
    <col min="10" max="10" width="10.5" customWidth="1"/>
    <col min="11" max="11" width="13" bestFit="1" customWidth="1"/>
    <col min="12" max="12" width="17.5" customWidth="1"/>
    <col min="13" max="13" width="9.83203125" customWidth="1"/>
    <col min="14" max="14" width="19.5" customWidth="1"/>
  </cols>
  <sheetData>
    <row r="1" spans="1:14" x14ac:dyDescent="0.2">
      <c r="A1" s="98" t="s">
        <v>203</v>
      </c>
      <c r="B1" s="98" t="s">
        <v>139</v>
      </c>
      <c r="C1" s="98" t="s">
        <v>140</v>
      </c>
      <c r="D1" s="98" t="s">
        <v>141</v>
      </c>
      <c r="E1" s="98" t="s">
        <v>142</v>
      </c>
      <c r="F1" s="98" t="s">
        <v>143</v>
      </c>
      <c r="G1" s="98" t="s">
        <v>144</v>
      </c>
      <c r="H1" s="107" t="s">
        <v>29</v>
      </c>
    </row>
    <row r="2" spans="1:14" x14ac:dyDescent="0.2">
      <c r="A2" s="98" t="s">
        <v>204</v>
      </c>
      <c r="B2" s="101">
        <v>0</v>
      </c>
      <c r="C2" s="101">
        <f>'EXP-INCOM (2)'!K17+'EXP-INCOM (2)'!K27+'EXP-INCOM (2)'!K28</f>
        <v>14767348.219136665</v>
      </c>
      <c r="D2" s="101">
        <f>'EXP-INCOM (2)'!L17+'EXP-INCOM (2)'!L27+'EXP-INCOM (2)'!L28</f>
        <v>40715852.107688665</v>
      </c>
      <c r="E2" s="101">
        <f>'EXP-INCOM (2)'!M17+'EXP-INCOM (2)'!M27+'EXP-INCOM (2)'!M28</f>
        <v>40715852.107688665</v>
      </c>
      <c r="F2" s="101">
        <f>'EXP-INCOM (2)'!N17+'EXP-INCOM (2)'!N27+'EXP-INCOM (2)'!N28</f>
        <v>40715852.107688665</v>
      </c>
      <c r="G2" s="101">
        <f>'EXP-INCOM (2)'!O17+'EXP-INCOM (2)'!O27+'EXP-INCOM (2)'!O28</f>
        <v>66664355.996240668</v>
      </c>
      <c r="H2" s="109">
        <f>SUM(C2:G2)</f>
        <v>203579260.53844333</v>
      </c>
    </row>
    <row r="3" spans="1:14" x14ac:dyDescent="0.2">
      <c r="A3" s="98" t="s">
        <v>86</v>
      </c>
      <c r="B3" s="101">
        <f>'EXP-INCOM (2)'!B32</f>
        <v>0</v>
      </c>
      <c r="C3" s="101">
        <f>'EXP-INCOM (2)'!C32</f>
        <v>854170.27406838397</v>
      </c>
      <c r="D3" s="101">
        <f>'EXP-INCOM (2)'!D32</f>
        <v>1610988.6251083841</v>
      </c>
      <c r="E3" s="101">
        <f>'EXP-INCOM (2)'!E32</f>
        <v>2349577.2690763841</v>
      </c>
      <c r="F3" s="101">
        <f>'EXP-INCOM (2)'!F32</f>
        <v>3088165.9130443837</v>
      </c>
      <c r="G3" s="101">
        <f>'EXP-INCOM (2)'!G32</f>
        <v>4313832.2647723844</v>
      </c>
      <c r="H3" s="109">
        <f t="shared" ref="H3:H8" si="0">SUM(C3:G3)</f>
        <v>12216734.346069921</v>
      </c>
      <c r="I3" s="53"/>
      <c r="J3" s="100"/>
    </row>
    <row r="4" spans="1:14" x14ac:dyDescent="0.2">
      <c r="A4" s="98" t="s">
        <v>205</v>
      </c>
      <c r="B4" s="102">
        <f>B2-B3</f>
        <v>0</v>
      </c>
      <c r="C4" s="102">
        <f>C2-C3</f>
        <v>13913177.945068281</v>
      </c>
      <c r="D4" s="102">
        <f t="shared" ref="D4:G4" si="1">D2-D3</f>
        <v>39104863.482580282</v>
      </c>
      <c r="E4" s="102">
        <f t="shared" si="1"/>
        <v>38366274.838612281</v>
      </c>
      <c r="F4" s="102">
        <f t="shared" si="1"/>
        <v>37627686.19464428</v>
      </c>
      <c r="G4" s="102">
        <f t="shared" si="1"/>
        <v>62350523.731468283</v>
      </c>
      <c r="H4" s="109">
        <f t="shared" si="0"/>
        <v>191362526.19237339</v>
      </c>
      <c r="I4" s="53"/>
      <c r="J4" s="100"/>
    </row>
    <row r="5" spans="1:14" x14ac:dyDescent="0.2">
      <c r="A5" s="98" t="s">
        <v>206</v>
      </c>
      <c r="B5" s="102">
        <f>B13</f>
        <v>0</v>
      </c>
      <c r="C5" s="102">
        <f>C13</f>
        <v>114831.974</v>
      </c>
      <c r="D5" s="102">
        <f t="shared" ref="D5:G5" si="2">D13</f>
        <v>175911.97399999999</v>
      </c>
      <c r="E5" s="102">
        <f t="shared" si="2"/>
        <v>236991.97399999999</v>
      </c>
      <c r="F5" s="102">
        <f t="shared" si="2"/>
        <v>298071.97399999999</v>
      </c>
      <c r="G5" s="102">
        <f t="shared" si="2"/>
        <v>359151.97399999999</v>
      </c>
      <c r="H5" s="109">
        <f t="shared" si="0"/>
        <v>1184959.8699999999</v>
      </c>
      <c r="I5" s="53"/>
      <c r="J5" s="100"/>
    </row>
    <row r="6" spans="1:14" x14ac:dyDescent="0.2">
      <c r="A6" s="98" t="s">
        <v>207</v>
      </c>
      <c r="B6" s="102">
        <f>B4-B5</f>
        <v>0</v>
      </c>
      <c r="C6" s="102">
        <f>C4-C5</f>
        <v>13798345.971068282</v>
      </c>
      <c r="D6" s="102">
        <f t="shared" ref="D6:G6" si="3">D4-D5</f>
        <v>38928951.508580282</v>
      </c>
      <c r="E6" s="102">
        <f t="shared" si="3"/>
        <v>38129282.864612281</v>
      </c>
      <c r="F6" s="102">
        <f t="shared" si="3"/>
        <v>37329614.22064428</v>
      </c>
      <c r="G6" s="102">
        <f t="shared" si="3"/>
        <v>61991371.757468283</v>
      </c>
      <c r="H6" s="109">
        <f t="shared" si="0"/>
        <v>190177566.32237339</v>
      </c>
      <c r="I6" s="53"/>
      <c r="J6" s="100"/>
    </row>
    <row r="7" spans="1:14" x14ac:dyDescent="0.2">
      <c r="A7" s="98" t="s">
        <v>208</v>
      </c>
      <c r="B7" s="102">
        <f t="shared" ref="B7:G7" si="4">B6*0.25</f>
        <v>0</v>
      </c>
      <c r="C7" s="102">
        <f t="shared" si="4"/>
        <v>3449586.4927670704</v>
      </c>
      <c r="D7" s="102">
        <f t="shared" si="4"/>
        <v>9732237.8771450706</v>
      </c>
      <c r="E7" s="102">
        <f t="shared" si="4"/>
        <v>9532320.7161530703</v>
      </c>
      <c r="F7" s="102">
        <f t="shared" si="4"/>
        <v>9332403.5551610701</v>
      </c>
      <c r="G7" s="102">
        <f t="shared" si="4"/>
        <v>15497842.939367071</v>
      </c>
      <c r="H7" s="109">
        <f t="shared" si="0"/>
        <v>47544391.580593348</v>
      </c>
      <c r="I7" s="10"/>
      <c r="J7" s="10"/>
    </row>
    <row r="8" spans="1:14" x14ac:dyDescent="0.2">
      <c r="A8" s="98" t="s">
        <v>209</v>
      </c>
      <c r="B8" s="102">
        <f>B6-B7+B5</f>
        <v>0</v>
      </c>
      <c r="C8" s="102">
        <f>C6-C7+C5</f>
        <v>10463591.452301212</v>
      </c>
      <c r="D8" s="102">
        <f t="shared" ref="D8:G8" si="5">D6-D7+D5</f>
        <v>29372625.605435211</v>
      </c>
      <c r="E8" s="102">
        <f t="shared" si="5"/>
        <v>28833954.12245921</v>
      </c>
      <c r="F8" s="102">
        <f t="shared" si="5"/>
        <v>28295282.63948321</v>
      </c>
      <c r="G8" s="102">
        <f t="shared" si="5"/>
        <v>46852680.792101212</v>
      </c>
      <c r="H8" s="109">
        <f t="shared" si="0"/>
        <v>143818134.61178005</v>
      </c>
    </row>
    <row r="10" spans="1:14" x14ac:dyDescent="0.2">
      <c r="A10" s="103" t="s">
        <v>186</v>
      </c>
      <c r="B10" s="103" t="s">
        <v>139</v>
      </c>
      <c r="C10" s="103" t="s">
        <v>140</v>
      </c>
      <c r="D10" s="103" t="s">
        <v>141</v>
      </c>
      <c r="E10" s="103" t="s">
        <v>142</v>
      </c>
      <c r="F10" s="103" t="s">
        <v>143</v>
      </c>
      <c r="G10" s="103" t="s">
        <v>144</v>
      </c>
      <c r="I10" s="108" t="s">
        <v>210</v>
      </c>
      <c r="J10" s="103"/>
      <c r="K10" s="103"/>
      <c r="L10" s="103"/>
    </row>
    <row r="11" spans="1:14" x14ac:dyDescent="0.2">
      <c r="A11" s="103" t="s">
        <v>211</v>
      </c>
      <c r="B11" s="110">
        <v>0</v>
      </c>
      <c r="C11" s="110">
        <f>SUM($L13:$L16,$L21)</f>
        <v>53751.974000000002</v>
      </c>
      <c r="D11" s="110">
        <f>SUM($L13:$L16,$L21)</f>
        <v>53751.974000000002</v>
      </c>
      <c r="E11" s="110">
        <f>SUM($L13:$L16,$L21)</f>
        <v>53751.974000000002</v>
      </c>
      <c r="F11" s="110">
        <f>SUM($L13:$L16,$L21)</f>
        <v>53751.974000000002</v>
      </c>
      <c r="G11" s="110">
        <f>SUM($L13:$L16,$L21)</f>
        <v>53751.974000000002</v>
      </c>
    </row>
    <row r="12" spans="1:14" x14ac:dyDescent="0.2">
      <c r="A12" s="103" t="s">
        <v>212</v>
      </c>
      <c r="B12" s="110">
        <v>0</v>
      </c>
      <c r="C12" s="111">
        <f>SUM(N17:N20)</f>
        <v>61080</v>
      </c>
      <c r="D12" s="111">
        <f>C12+SUM($N17:$N20)</f>
        <v>122160</v>
      </c>
      <c r="E12" s="111">
        <f>D12+SUM($N17:$N20)</f>
        <v>183240</v>
      </c>
      <c r="F12" s="111">
        <f>E12+SUM($N17:$N20)</f>
        <v>244320</v>
      </c>
      <c r="G12" s="111">
        <f>F12+SUM($N17:$N20)</f>
        <v>305400</v>
      </c>
      <c r="I12" s="103" t="s">
        <v>213</v>
      </c>
      <c r="J12" s="103" t="s">
        <v>214</v>
      </c>
      <c r="K12" s="103" t="s">
        <v>215</v>
      </c>
      <c r="L12" s="103" t="s">
        <v>216</v>
      </c>
    </row>
    <row r="13" spans="1:14" x14ac:dyDescent="0.2">
      <c r="A13" s="103" t="s">
        <v>106</v>
      </c>
      <c r="B13" s="111">
        <f>SUM(B11:B12)</f>
        <v>0</v>
      </c>
      <c r="C13" s="111">
        <f>SUM(C11:C12)</f>
        <v>114831.974</v>
      </c>
      <c r="D13" s="111">
        <f t="shared" ref="D13:G13" si="6">SUM(D11:D12)</f>
        <v>175911.97399999999</v>
      </c>
      <c r="E13" s="111">
        <f t="shared" si="6"/>
        <v>236991.97399999999</v>
      </c>
      <c r="F13" s="111">
        <f t="shared" si="6"/>
        <v>298071.97399999999</v>
      </c>
      <c r="G13" s="111">
        <f t="shared" si="6"/>
        <v>359151.97399999999</v>
      </c>
      <c r="I13" s="112" t="s">
        <v>217</v>
      </c>
      <c r="J13" s="112">
        <v>5</v>
      </c>
      <c r="K13" s="110">
        <v>349.34</v>
      </c>
      <c r="L13" s="110">
        <f>K13/J13</f>
        <v>69.867999999999995</v>
      </c>
    </row>
    <row r="14" spans="1:14" x14ac:dyDescent="0.2">
      <c r="I14" s="112" t="s">
        <v>218</v>
      </c>
      <c r="J14" s="112">
        <v>5</v>
      </c>
      <c r="K14" s="110">
        <v>410.53</v>
      </c>
      <c r="L14" s="110">
        <f>K14/J14</f>
        <v>82.105999999999995</v>
      </c>
    </row>
    <row r="15" spans="1:14" x14ac:dyDescent="0.2">
      <c r="I15" s="112" t="s">
        <v>219</v>
      </c>
      <c r="J15" s="112">
        <v>25</v>
      </c>
      <c r="K15" s="110">
        <v>20000</v>
      </c>
      <c r="L15" s="110">
        <f t="shared" ref="L15:L21" si="7">K15/J15</f>
        <v>800</v>
      </c>
    </row>
    <row r="16" spans="1:14" x14ac:dyDescent="0.2">
      <c r="I16" s="112" t="s">
        <v>220</v>
      </c>
      <c r="J16" s="112">
        <v>5</v>
      </c>
      <c r="K16" s="110">
        <v>84000</v>
      </c>
      <c r="L16" s="110">
        <f t="shared" si="7"/>
        <v>16800</v>
      </c>
      <c r="M16" s="106" t="s">
        <v>221</v>
      </c>
      <c r="N16" s="106" t="s">
        <v>222</v>
      </c>
    </row>
    <row r="17" spans="9:14" x14ac:dyDescent="0.2">
      <c r="I17" s="99" t="s">
        <v>103</v>
      </c>
      <c r="J17" s="99">
        <v>5</v>
      </c>
      <c r="K17" s="104">
        <v>200</v>
      </c>
      <c r="L17" s="101">
        <f t="shared" si="7"/>
        <v>40</v>
      </c>
      <c r="M17" s="99">
        <v>485</v>
      </c>
      <c r="N17" s="102">
        <f>L17*M17</f>
        <v>19400</v>
      </c>
    </row>
    <row r="18" spans="9:14" x14ac:dyDescent="0.2">
      <c r="I18" s="105" t="s">
        <v>105</v>
      </c>
      <c r="J18" s="99">
        <v>25</v>
      </c>
      <c r="K18" s="104">
        <v>1000</v>
      </c>
      <c r="L18" s="101">
        <f t="shared" si="7"/>
        <v>40</v>
      </c>
      <c r="M18" s="99">
        <v>122</v>
      </c>
      <c r="N18" s="102">
        <f t="shared" ref="N18:N20" si="8">L18*M18</f>
        <v>4880</v>
      </c>
    </row>
    <row r="19" spans="9:14" x14ac:dyDescent="0.2">
      <c r="I19" s="105" t="s">
        <v>107</v>
      </c>
      <c r="J19" s="99">
        <v>25</v>
      </c>
      <c r="K19" s="104">
        <v>5000</v>
      </c>
      <c r="L19" s="101">
        <f t="shared" si="7"/>
        <v>200</v>
      </c>
      <c r="M19" s="99">
        <v>6</v>
      </c>
      <c r="N19" s="102">
        <f t="shared" si="8"/>
        <v>1200</v>
      </c>
    </row>
    <row r="20" spans="9:14" x14ac:dyDescent="0.2">
      <c r="I20" s="105" t="s">
        <v>109</v>
      </c>
      <c r="J20" s="99">
        <v>25</v>
      </c>
      <c r="K20" s="104">
        <v>2500</v>
      </c>
      <c r="L20" s="101">
        <f t="shared" si="7"/>
        <v>100</v>
      </c>
      <c r="M20" s="99">
        <v>356</v>
      </c>
      <c r="N20" s="102">
        <f t="shared" si="8"/>
        <v>35600</v>
      </c>
    </row>
    <row r="21" spans="9:14" x14ac:dyDescent="0.2">
      <c r="I21" s="113" t="s">
        <v>223</v>
      </c>
      <c r="J21" s="112">
        <v>5</v>
      </c>
      <c r="K21" s="114">
        <v>180000</v>
      </c>
      <c r="L21" s="110">
        <f t="shared" si="7"/>
        <v>36000</v>
      </c>
      <c r="M21" s="10"/>
      <c r="N21" s="10"/>
    </row>
    <row r="23" spans="9:14" x14ac:dyDescent="0.2">
      <c r="I23" t="s">
        <v>224</v>
      </c>
    </row>
  </sheetData>
  <phoneticPr fontId="7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D23AD-C826-8249-AAEB-0C4E08E3A8C0}">
  <dimension ref="A1:U165"/>
  <sheetViews>
    <sheetView topLeftCell="A124" workbookViewId="0">
      <selection activeCell="R4" sqref="R4"/>
    </sheetView>
  </sheetViews>
  <sheetFormatPr baseColWidth="10" defaultColWidth="11" defaultRowHeight="16" x14ac:dyDescent="0.2"/>
  <cols>
    <col min="1" max="1" width="20" style="13" bestFit="1" customWidth="1"/>
    <col min="2" max="2" width="32.83203125" style="13" bestFit="1" customWidth="1"/>
    <col min="3" max="3" width="14.83203125" style="13" bestFit="1" customWidth="1"/>
    <col min="4" max="4" width="11" style="13" bestFit="1" customWidth="1"/>
    <col min="5" max="5" width="10.33203125" style="13" customWidth="1"/>
    <col min="6" max="6" width="11.5" style="13" bestFit="1" customWidth="1"/>
    <col min="7" max="9" width="14" style="13" bestFit="1" customWidth="1"/>
    <col min="10" max="10" width="11.5" style="13" bestFit="1" customWidth="1"/>
    <col min="11" max="11" width="14" style="13" bestFit="1" customWidth="1"/>
    <col min="12" max="12" width="11.5" style="13" bestFit="1" customWidth="1"/>
    <col min="13" max="13" width="14" style="13" bestFit="1" customWidth="1"/>
    <col min="14" max="14" width="12.83203125" style="13" bestFit="1" customWidth="1"/>
    <col min="15" max="15" width="18" style="13" bestFit="1" customWidth="1"/>
    <col min="16" max="16" width="24.5" style="13" bestFit="1" customWidth="1"/>
    <col min="17" max="17" width="11.5" style="13" bestFit="1" customWidth="1"/>
    <col min="18" max="19" width="12.5" style="13" bestFit="1" customWidth="1"/>
    <col min="20" max="21" width="13" style="13" bestFit="1" customWidth="1"/>
    <col min="22" max="16384" width="11" style="13"/>
  </cols>
  <sheetData>
    <row r="1" spans="1:21" x14ac:dyDescent="0.2">
      <c r="A1" s="12" t="s">
        <v>31</v>
      </c>
      <c r="D1" s="28">
        <v>0</v>
      </c>
      <c r="E1" s="13" t="s">
        <v>32</v>
      </c>
      <c r="F1" s="13">
        <v>20</v>
      </c>
      <c r="G1" s="13" t="s">
        <v>32</v>
      </c>
      <c r="H1" s="13">
        <v>20</v>
      </c>
      <c r="I1" s="13" t="s">
        <v>32</v>
      </c>
      <c r="J1" s="13">
        <v>20</v>
      </c>
      <c r="K1" s="13" t="s">
        <v>32</v>
      </c>
      <c r="L1" s="13">
        <v>40</v>
      </c>
      <c r="M1" s="13" t="s">
        <v>32</v>
      </c>
      <c r="N1" s="25">
        <v>1</v>
      </c>
      <c r="O1" s="12" t="s">
        <v>1</v>
      </c>
    </row>
    <row r="2" spans="1:21" x14ac:dyDescent="0.2">
      <c r="A2" s="14" t="s">
        <v>33</v>
      </c>
      <c r="D2" s="143" t="s">
        <v>3</v>
      </c>
      <c r="E2" s="143"/>
      <c r="F2" s="143" t="s">
        <v>34</v>
      </c>
      <c r="G2" s="143"/>
      <c r="H2" s="143" t="s">
        <v>35</v>
      </c>
      <c r="I2" s="143"/>
      <c r="J2" s="143" t="s">
        <v>6</v>
      </c>
      <c r="K2" s="143"/>
      <c r="L2" s="143" t="s">
        <v>7</v>
      </c>
      <c r="M2" s="143"/>
      <c r="N2" s="13" t="s">
        <v>36</v>
      </c>
    </row>
    <row r="3" spans="1:21" x14ac:dyDescent="0.2">
      <c r="A3" s="15" t="s">
        <v>8</v>
      </c>
      <c r="B3" s="15" t="s">
        <v>9</v>
      </c>
      <c r="C3" s="15" t="s">
        <v>10</v>
      </c>
      <c r="D3" s="15" t="s">
        <v>11</v>
      </c>
      <c r="E3" s="15" t="s">
        <v>12</v>
      </c>
      <c r="F3" s="15" t="s">
        <v>11</v>
      </c>
      <c r="G3" s="15" t="s">
        <v>12</v>
      </c>
      <c r="H3" s="15" t="s">
        <v>11</v>
      </c>
      <c r="I3" s="15" t="s">
        <v>12</v>
      </c>
      <c r="J3" s="15" t="s">
        <v>11</v>
      </c>
      <c r="K3" s="15" t="s">
        <v>12</v>
      </c>
      <c r="L3" s="15" t="s">
        <v>11</v>
      </c>
      <c r="M3" s="15" t="s">
        <v>12</v>
      </c>
      <c r="O3" s="15" t="s">
        <v>8</v>
      </c>
      <c r="P3" s="15"/>
      <c r="Q3" s="15" t="s">
        <v>14</v>
      </c>
      <c r="R3" s="15" t="s">
        <v>15</v>
      </c>
      <c r="S3" s="15" t="s">
        <v>16</v>
      </c>
      <c r="T3" s="15" t="s">
        <v>17</v>
      </c>
      <c r="U3" s="15" t="s">
        <v>18</v>
      </c>
    </row>
    <row r="4" spans="1:21" ht="16" customHeight="1" x14ac:dyDescent="0.2">
      <c r="A4" s="145" t="s">
        <v>37</v>
      </c>
      <c r="B4" s="13" t="s">
        <v>38</v>
      </c>
      <c r="C4" s="13">
        <v>17.77</v>
      </c>
      <c r="D4" s="28">
        <f>D1*N4</f>
        <v>0</v>
      </c>
      <c r="E4" s="28">
        <f>C4*D4</f>
        <v>0</v>
      </c>
      <c r="F4" s="13">
        <f>ROUNDDOWN(F1/100*N4,0)</f>
        <v>3808</v>
      </c>
      <c r="G4" s="13">
        <f>C4*F4</f>
        <v>67668.160000000003</v>
      </c>
      <c r="H4" s="13">
        <f>ROUNDDOWN(H1/100*N4,0)</f>
        <v>3808</v>
      </c>
      <c r="I4" s="13">
        <f>C4*H4</f>
        <v>67668.160000000003</v>
      </c>
      <c r="J4" s="13">
        <f>ROUNDDOWN(J1/100*N4,0)</f>
        <v>3808</v>
      </c>
      <c r="K4" s="13">
        <f>C4*J4</f>
        <v>67668.160000000003</v>
      </c>
      <c r="L4" s="13">
        <f>N4-SUM(D4,F4,H4,J4)</f>
        <v>7619</v>
      </c>
      <c r="M4" s="13">
        <f>C4*L4</f>
        <v>135389.63</v>
      </c>
      <c r="N4" s="13">
        <v>19043</v>
      </c>
      <c r="O4" s="142" t="s">
        <v>37</v>
      </c>
      <c r="P4" s="13" t="s">
        <v>39</v>
      </c>
      <c r="Q4" s="28">
        <f>0.1*E9</f>
        <v>0</v>
      </c>
      <c r="R4" s="13">
        <f>0.03*G9</f>
        <v>131133.68217599997</v>
      </c>
      <c r="S4" s="13">
        <f>0.03*I9</f>
        <v>131133.68217599997</v>
      </c>
      <c r="T4" s="13">
        <f>0.03*K9</f>
        <v>131133.68217599997</v>
      </c>
      <c r="U4" s="13">
        <f>0.03*M9</f>
        <v>262369.95556799998</v>
      </c>
    </row>
    <row r="5" spans="1:21" x14ac:dyDescent="0.2">
      <c r="A5" s="145"/>
      <c r="B5" s="13" t="s">
        <v>40</v>
      </c>
      <c r="C5" s="13">
        <v>2</v>
      </c>
      <c r="D5" s="28">
        <f>D1*N5</f>
        <v>0</v>
      </c>
      <c r="E5" s="28">
        <f>C5*D5</f>
        <v>0</v>
      </c>
      <c r="F5" s="13">
        <f>ROUNDDOWN(F1/100*N5,0)</f>
        <v>13560</v>
      </c>
      <c r="G5" s="13">
        <f t="shared" ref="G5:G6" si="0">C5*F5</f>
        <v>27120</v>
      </c>
      <c r="H5" s="13">
        <f>ROUNDDOWN(H1/100*N5,0)</f>
        <v>13560</v>
      </c>
      <c r="I5" s="13">
        <f t="shared" ref="I5:I6" si="1">C5*H5</f>
        <v>27120</v>
      </c>
      <c r="J5" s="13">
        <f>ROUNDDOWN(J1/100*N5,0)</f>
        <v>13560</v>
      </c>
      <c r="K5" s="13">
        <f t="shared" ref="K5:K6" si="2">C5*J5</f>
        <v>27120</v>
      </c>
      <c r="L5" s="13">
        <f t="shared" ref="L5:L6" si="3">N5-SUM(D5,F5,H5,J5)</f>
        <v>27120</v>
      </c>
      <c r="M5" s="13">
        <f t="shared" ref="M5:M6" si="4">C5*L5</f>
        <v>54240</v>
      </c>
      <c r="N5" s="13">
        <v>67800</v>
      </c>
      <c r="O5" s="142"/>
    </row>
    <row r="6" spans="1:21" x14ac:dyDescent="0.2">
      <c r="A6" s="145"/>
      <c r="B6" s="13" t="s">
        <v>41</v>
      </c>
      <c r="C6" s="13">
        <v>1000</v>
      </c>
      <c r="D6" s="28">
        <f>D1*N6</f>
        <v>0</v>
      </c>
      <c r="E6" s="28">
        <f t="shared" ref="E6" si="5">C6*D6</f>
        <v>0</v>
      </c>
      <c r="F6" s="13">
        <f>ROUNDDOWN(F1/100*N6,0)</f>
        <v>3808</v>
      </c>
      <c r="G6" s="13">
        <f t="shared" si="0"/>
        <v>3808000</v>
      </c>
      <c r="H6" s="13">
        <f>ROUNDDOWN(H1/100*N6,0)</f>
        <v>3808</v>
      </c>
      <c r="I6" s="13">
        <f t="shared" si="1"/>
        <v>3808000</v>
      </c>
      <c r="J6" s="13">
        <f>ROUNDDOWN(J1/100*N6,0)</f>
        <v>3808</v>
      </c>
      <c r="K6" s="13">
        <f t="shared" si="2"/>
        <v>3808000</v>
      </c>
      <c r="L6" s="13">
        <f t="shared" si="3"/>
        <v>7619</v>
      </c>
      <c r="M6" s="13">
        <f t="shared" si="4"/>
        <v>7619000</v>
      </c>
      <c r="N6" s="13">
        <v>19043</v>
      </c>
      <c r="O6" s="142"/>
    </row>
    <row r="7" spans="1:21" x14ac:dyDescent="0.2">
      <c r="A7" s="145"/>
      <c r="B7" s="16" t="s">
        <v>26</v>
      </c>
      <c r="C7" s="17"/>
      <c r="D7" s="29"/>
      <c r="E7" s="29">
        <f>SUM(E4:E6)</f>
        <v>0</v>
      </c>
      <c r="F7" s="17"/>
      <c r="G7" s="17">
        <f>SUM(G4:G6)</f>
        <v>3902788.16</v>
      </c>
      <c r="H7" s="17"/>
      <c r="I7" s="17">
        <f>SUM(I4:I6)</f>
        <v>3902788.16</v>
      </c>
      <c r="J7" s="17"/>
      <c r="K7" s="17">
        <f>SUM(K4:K6)</f>
        <v>3902788.16</v>
      </c>
      <c r="L7" s="17"/>
      <c r="M7" s="17">
        <f>SUM(M4:M6)</f>
        <v>7808629.6299999999</v>
      </c>
      <c r="O7" s="142"/>
      <c r="P7" s="17" t="s">
        <v>29</v>
      </c>
      <c r="Q7" s="17"/>
      <c r="R7" s="17">
        <f>R4</f>
        <v>131133.68217599997</v>
      </c>
      <c r="S7" s="17">
        <f>S4+R7</f>
        <v>262267.36435199995</v>
      </c>
      <c r="T7" s="17">
        <f>T4+S7</f>
        <v>393401.04652799992</v>
      </c>
      <c r="U7" s="17">
        <f>U4+T7</f>
        <v>655771.00209599989</v>
      </c>
    </row>
    <row r="8" spans="1:21" ht="16" customHeight="1" x14ac:dyDescent="0.2">
      <c r="A8" s="145"/>
      <c r="B8" s="16" t="s">
        <v>28</v>
      </c>
      <c r="C8" s="17"/>
      <c r="D8" s="29"/>
      <c r="E8" s="29">
        <f>E7*0.12</f>
        <v>0</v>
      </c>
      <c r="F8" s="17"/>
      <c r="G8" s="17">
        <f>G7*0.12</f>
        <v>468334.57919999998</v>
      </c>
      <c r="H8" s="17"/>
      <c r="I8" s="17">
        <f>I7*0.12</f>
        <v>468334.57919999998</v>
      </c>
      <c r="J8" s="17"/>
      <c r="K8" s="17">
        <f>K7*0.12</f>
        <v>468334.57919999998</v>
      </c>
      <c r="L8" s="17"/>
      <c r="M8" s="17">
        <f>M7*0.12</f>
        <v>937035.55559999996</v>
      </c>
      <c r="O8" s="142" t="s">
        <v>42</v>
      </c>
      <c r="P8" s="13" t="s">
        <v>39</v>
      </c>
      <c r="Q8" s="28">
        <f>0.03*E17</f>
        <v>0</v>
      </c>
      <c r="R8" s="13">
        <f>0.03*G17</f>
        <v>6350.4</v>
      </c>
      <c r="S8" s="13">
        <f>0.03*I17</f>
        <v>6350.4</v>
      </c>
      <c r="T8" s="13">
        <f>0.03*K17</f>
        <v>6350.4</v>
      </c>
      <c r="U8" s="13">
        <f>0.03*M17</f>
        <v>12700.8</v>
      </c>
    </row>
    <row r="9" spans="1:21" x14ac:dyDescent="0.2">
      <c r="A9" s="145"/>
      <c r="B9" s="16" t="s">
        <v>30</v>
      </c>
      <c r="C9" s="17"/>
      <c r="D9" s="29"/>
      <c r="E9" s="29">
        <f>E7+E8</f>
        <v>0</v>
      </c>
      <c r="F9" s="17"/>
      <c r="G9" s="17">
        <f>G7+G8</f>
        <v>4371122.7391999997</v>
      </c>
      <c r="H9" s="17"/>
      <c r="I9" s="17">
        <f>I7+I8</f>
        <v>4371122.7391999997</v>
      </c>
      <c r="J9" s="17"/>
      <c r="K9" s="17">
        <f>K7+K8</f>
        <v>4371122.7391999997</v>
      </c>
      <c r="L9" s="17"/>
      <c r="M9" s="17">
        <f>M7+M8</f>
        <v>8745665.1855999995</v>
      </c>
      <c r="O9" s="142"/>
    </row>
    <row r="10" spans="1:21" x14ac:dyDescent="0.2">
      <c r="D10" s="143" t="s">
        <v>3</v>
      </c>
      <c r="E10" s="143"/>
      <c r="F10" s="143" t="s">
        <v>4</v>
      </c>
      <c r="G10" s="143"/>
      <c r="H10" s="143" t="s">
        <v>5</v>
      </c>
      <c r="I10" s="143"/>
      <c r="J10" s="143" t="s">
        <v>6</v>
      </c>
      <c r="K10" s="143"/>
      <c r="L10" s="143" t="s">
        <v>7</v>
      </c>
      <c r="M10" s="143"/>
      <c r="O10" s="142"/>
    </row>
    <row r="11" spans="1:21" x14ac:dyDescent="0.2">
      <c r="A11" s="15" t="s">
        <v>8</v>
      </c>
      <c r="B11" s="15" t="s">
        <v>9</v>
      </c>
      <c r="C11" s="15" t="s">
        <v>10</v>
      </c>
      <c r="D11" s="15" t="s">
        <v>11</v>
      </c>
      <c r="E11" s="15" t="s">
        <v>12</v>
      </c>
      <c r="F11" s="15" t="s">
        <v>11</v>
      </c>
      <c r="G11" s="15" t="s">
        <v>12</v>
      </c>
      <c r="H11" s="15" t="s">
        <v>11</v>
      </c>
      <c r="I11" s="15" t="s">
        <v>12</v>
      </c>
      <c r="J11" s="15" t="s">
        <v>11</v>
      </c>
      <c r="K11" s="15" t="s">
        <v>12</v>
      </c>
      <c r="L11" s="15" t="s">
        <v>11</v>
      </c>
      <c r="M11" s="15" t="s">
        <v>12</v>
      </c>
      <c r="O11" s="142"/>
      <c r="P11" s="17" t="s">
        <v>29</v>
      </c>
      <c r="Q11" s="29">
        <f>Q8</f>
        <v>0</v>
      </c>
      <c r="R11" s="17">
        <f>R8+Q11</f>
        <v>6350.4</v>
      </c>
      <c r="S11" s="17">
        <f>S8+R11</f>
        <v>12700.8</v>
      </c>
      <c r="T11" s="17">
        <f>T8+S11</f>
        <v>19051.199999999997</v>
      </c>
      <c r="U11" s="17">
        <f>U8+T11</f>
        <v>31751.999999999996</v>
      </c>
    </row>
    <row r="12" spans="1:21" x14ac:dyDescent="0.2">
      <c r="A12" s="145" t="s">
        <v>42</v>
      </c>
      <c r="B12" s="13" t="s">
        <v>43</v>
      </c>
      <c r="C12" s="13">
        <v>90</v>
      </c>
      <c r="D12" s="28">
        <v>0</v>
      </c>
      <c r="E12" s="28">
        <v>0</v>
      </c>
      <c r="F12" s="13">
        <f>ROUNDDOWN(F1/100*N12,0)</f>
        <v>2100</v>
      </c>
      <c r="G12" s="13">
        <f>C12*F12</f>
        <v>189000</v>
      </c>
      <c r="H12" s="13">
        <f>ROUNDDOWN(H1/100*N12,0)</f>
        <v>2100</v>
      </c>
      <c r="I12" s="13">
        <f>H12*C12</f>
        <v>189000</v>
      </c>
      <c r="J12" s="13">
        <f>ROUNDDOWN(J1/100*N12,0)</f>
        <v>2100</v>
      </c>
      <c r="K12" s="13">
        <f>J12*C12</f>
        <v>189000</v>
      </c>
      <c r="L12" s="13">
        <f>ROUNDDOWN(L1/100*N12,0)</f>
        <v>4200</v>
      </c>
      <c r="M12" s="13">
        <f>L12*C12</f>
        <v>378000</v>
      </c>
      <c r="N12" s="13">
        <v>10500</v>
      </c>
      <c r="O12" s="142" t="s">
        <v>44</v>
      </c>
      <c r="P12" s="13" t="s">
        <v>39</v>
      </c>
      <c r="Q12" s="28">
        <f>0.03*E25</f>
        <v>0</v>
      </c>
      <c r="R12" s="13">
        <f>0.03*G25</f>
        <v>13305.6</v>
      </c>
      <c r="S12" s="13">
        <f>0.03*I25</f>
        <v>13305.6</v>
      </c>
      <c r="T12" s="13">
        <f>0.03*K25</f>
        <v>13305.6</v>
      </c>
      <c r="U12" s="13">
        <f>0.03*M25</f>
        <v>26611.200000000001</v>
      </c>
    </row>
    <row r="13" spans="1:21" x14ac:dyDescent="0.2">
      <c r="A13" s="145"/>
      <c r="O13" s="142"/>
    </row>
    <row r="14" spans="1:21" x14ac:dyDescent="0.2">
      <c r="A14" s="145"/>
      <c r="O14" s="142"/>
    </row>
    <row r="15" spans="1:21" x14ac:dyDescent="0.2">
      <c r="A15" s="145"/>
      <c r="B15" s="16" t="s">
        <v>26</v>
      </c>
      <c r="C15" s="29"/>
      <c r="D15" s="29"/>
      <c r="E15" s="29">
        <f>0</f>
        <v>0</v>
      </c>
      <c r="F15" s="29"/>
      <c r="G15" s="17">
        <f>G12</f>
        <v>189000</v>
      </c>
      <c r="H15" s="17"/>
      <c r="I15" s="17">
        <f>I12</f>
        <v>189000</v>
      </c>
      <c r="J15" s="17"/>
      <c r="K15" s="17">
        <f>K12</f>
        <v>189000</v>
      </c>
      <c r="L15" s="17"/>
      <c r="M15" s="17">
        <f>M12</f>
        <v>378000</v>
      </c>
      <c r="O15" s="142"/>
      <c r="P15" s="17" t="s">
        <v>29</v>
      </c>
      <c r="Q15" s="29">
        <f>Q12</f>
        <v>0</v>
      </c>
      <c r="R15" s="17">
        <f>R12+Q15</f>
        <v>13305.6</v>
      </c>
      <c r="S15" s="17">
        <f>S12+R15</f>
        <v>26611.200000000001</v>
      </c>
      <c r="T15" s="17">
        <f>T12+S15</f>
        <v>39916.800000000003</v>
      </c>
      <c r="U15" s="17">
        <f>U12+T15</f>
        <v>66528</v>
      </c>
    </row>
    <row r="16" spans="1:21" ht="15.75" customHeight="1" x14ac:dyDescent="0.2">
      <c r="A16" s="145"/>
      <c r="B16" s="16" t="s">
        <v>28</v>
      </c>
      <c r="C16" s="29"/>
      <c r="D16" s="29"/>
      <c r="E16" s="29">
        <f>0</f>
        <v>0</v>
      </c>
      <c r="F16" s="29"/>
      <c r="G16" s="17">
        <f>G15*0.12</f>
        <v>22680</v>
      </c>
      <c r="H16" s="17"/>
      <c r="I16" s="17">
        <f>I15*0.12</f>
        <v>22680</v>
      </c>
      <c r="J16" s="17"/>
      <c r="K16" s="17">
        <f>K15*0.12</f>
        <v>22680</v>
      </c>
      <c r="L16" s="17"/>
      <c r="M16" s="17">
        <f>M15*0.12</f>
        <v>45360</v>
      </c>
      <c r="O16" s="142" t="s">
        <v>45</v>
      </c>
      <c r="P16" s="13" t="s">
        <v>39</v>
      </c>
      <c r="Q16" s="28">
        <f>0.03*E29</f>
        <v>0</v>
      </c>
      <c r="R16" s="13">
        <f>0.03*G33</f>
        <v>2936.64</v>
      </c>
      <c r="S16" s="13">
        <f>0.03*I33</f>
        <v>2936.64</v>
      </c>
      <c r="T16" s="13">
        <f>0.03*K33</f>
        <v>2936.64</v>
      </c>
      <c r="U16" s="13">
        <f>0.03*M33</f>
        <v>5873.28</v>
      </c>
    </row>
    <row r="17" spans="1:21" ht="15.75" customHeight="1" x14ac:dyDescent="0.2">
      <c r="A17" s="145"/>
      <c r="B17" s="16" t="s">
        <v>30</v>
      </c>
      <c r="C17" s="29"/>
      <c r="D17" s="29"/>
      <c r="E17" s="29">
        <f>0</f>
        <v>0</v>
      </c>
      <c r="F17" s="29"/>
      <c r="G17" s="17">
        <f>G15+G16</f>
        <v>211680</v>
      </c>
      <c r="H17" s="17"/>
      <c r="I17" s="17">
        <f t="shared" ref="I17:M17" si="6">I15+I16</f>
        <v>211680</v>
      </c>
      <c r="J17" s="17"/>
      <c r="K17" s="17">
        <f t="shared" si="6"/>
        <v>211680</v>
      </c>
      <c r="L17" s="17"/>
      <c r="M17" s="17">
        <f t="shared" si="6"/>
        <v>423360</v>
      </c>
      <c r="O17" s="142"/>
    </row>
    <row r="18" spans="1:21" ht="15.75" customHeight="1" x14ac:dyDescent="0.2">
      <c r="D18" s="143" t="s">
        <v>3</v>
      </c>
      <c r="E18" s="143"/>
      <c r="F18" s="143" t="s">
        <v>4</v>
      </c>
      <c r="G18" s="143"/>
      <c r="H18" s="143" t="s">
        <v>5</v>
      </c>
      <c r="I18" s="143"/>
      <c r="J18" s="143" t="s">
        <v>6</v>
      </c>
      <c r="K18" s="143"/>
      <c r="L18" s="143" t="s">
        <v>7</v>
      </c>
      <c r="M18" s="143"/>
      <c r="O18" s="142"/>
    </row>
    <row r="19" spans="1:21" ht="15.75" customHeight="1" x14ac:dyDescent="0.2">
      <c r="A19" s="15" t="s">
        <v>8</v>
      </c>
      <c r="B19" s="15" t="s">
        <v>9</v>
      </c>
      <c r="C19" s="15" t="s">
        <v>10</v>
      </c>
      <c r="D19" s="15" t="s">
        <v>11</v>
      </c>
      <c r="E19" s="15" t="s">
        <v>12</v>
      </c>
      <c r="F19" s="15" t="s">
        <v>11</v>
      </c>
      <c r="G19" s="15" t="s">
        <v>12</v>
      </c>
      <c r="H19" s="15" t="s">
        <v>11</v>
      </c>
      <c r="I19" s="15" t="s">
        <v>12</v>
      </c>
      <c r="J19" s="15" t="s">
        <v>11</v>
      </c>
      <c r="K19" s="15" t="s">
        <v>12</v>
      </c>
      <c r="L19" s="15" t="s">
        <v>11</v>
      </c>
      <c r="M19" s="15" t="s">
        <v>12</v>
      </c>
      <c r="O19" s="142"/>
      <c r="P19" s="17" t="s">
        <v>29</v>
      </c>
      <c r="Q19" s="29">
        <f>Q16</f>
        <v>0</v>
      </c>
      <c r="R19" s="17">
        <f>R16</f>
        <v>2936.64</v>
      </c>
      <c r="S19" s="17">
        <f>S16+R19</f>
        <v>5873.28</v>
      </c>
      <c r="T19" s="17">
        <f>T16+S19</f>
        <v>8809.92</v>
      </c>
      <c r="U19" s="17">
        <f>U16+T19</f>
        <v>14683.2</v>
      </c>
    </row>
    <row r="20" spans="1:21" x14ac:dyDescent="0.2">
      <c r="A20" s="145" t="s">
        <v>44</v>
      </c>
      <c r="B20" s="13" t="s">
        <v>46</v>
      </c>
      <c r="C20" s="13">
        <v>90</v>
      </c>
      <c r="D20" s="28">
        <v>0</v>
      </c>
      <c r="E20" s="28">
        <v>0</v>
      </c>
      <c r="F20" s="13">
        <f>ROUNDDOWN(F1/100*N20,0)</f>
        <v>4400</v>
      </c>
      <c r="G20" s="13">
        <f>C20*F20</f>
        <v>396000</v>
      </c>
      <c r="H20" s="13">
        <f>ROUNDDOWN(H1/100*N20,0)</f>
        <v>4400</v>
      </c>
      <c r="I20" s="13">
        <f>H20*C20</f>
        <v>396000</v>
      </c>
      <c r="J20" s="13">
        <f>ROUNDDOWN(J1/100*N20,0)</f>
        <v>4400</v>
      </c>
      <c r="K20" s="13">
        <f>J20*C20</f>
        <v>396000</v>
      </c>
      <c r="L20" s="13">
        <f>ROUNDDOWN(L1/100*N20,0)</f>
        <v>8800</v>
      </c>
      <c r="M20" s="13">
        <f>L20*C20</f>
        <v>792000</v>
      </c>
      <c r="N20" s="13">
        <v>22000</v>
      </c>
      <c r="O20" s="142" t="s">
        <v>47</v>
      </c>
      <c r="P20" s="13" t="s">
        <v>48</v>
      </c>
      <c r="Q20" s="28">
        <f>0</f>
        <v>0</v>
      </c>
      <c r="R20" s="13">
        <f>0.03*G39</f>
        <v>76.569023999999999</v>
      </c>
      <c r="S20" s="28">
        <f>0.03*I39</f>
        <v>0</v>
      </c>
      <c r="T20" s="28">
        <f>0.03*K39</f>
        <v>0</v>
      </c>
      <c r="U20" s="28">
        <f>0.03*M39</f>
        <v>0</v>
      </c>
    </row>
    <row r="21" spans="1:21" x14ac:dyDescent="0.2">
      <c r="A21" s="145"/>
      <c r="O21" s="142"/>
      <c r="P21" s="13" t="s">
        <v>49</v>
      </c>
      <c r="R21" s="13">
        <f>$E$159</f>
        <v>6000</v>
      </c>
      <c r="S21" s="13">
        <f>$E$159</f>
        <v>6000</v>
      </c>
      <c r="T21" s="13">
        <f>$E$159</f>
        <v>6000</v>
      </c>
      <c r="U21" s="13">
        <f>$E$159</f>
        <v>6000</v>
      </c>
    </row>
    <row r="22" spans="1:21" x14ac:dyDescent="0.2">
      <c r="A22" s="145"/>
      <c r="O22" s="142"/>
      <c r="S22" s="28"/>
      <c r="T22" s="28"/>
      <c r="U22" s="28"/>
    </row>
    <row r="23" spans="1:21" x14ac:dyDescent="0.2">
      <c r="A23" s="145"/>
      <c r="B23" s="16" t="s">
        <v>26</v>
      </c>
      <c r="C23" s="29"/>
      <c r="D23" s="29"/>
      <c r="E23" s="29">
        <f>0</f>
        <v>0</v>
      </c>
      <c r="F23" s="29"/>
      <c r="G23" s="17">
        <f>G20</f>
        <v>396000</v>
      </c>
      <c r="H23" s="17"/>
      <c r="I23" s="17">
        <f>I20</f>
        <v>396000</v>
      </c>
      <c r="J23" s="17"/>
      <c r="K23" s="17">
        <f>K20</f>
        <v>396000</v>
      </c>
      <c r="L23" s="17"/>
      <c r="M23" s="17">
        <f>M20</f>
        <v>792000</v>
      </c>
      <c r="O23" s="142"/>
      <c r="P23" s="17" t="s">
        <v>29</v>
      </c>
      <c r="Q23" s="29">
        <f>SUM(Q20,Q21)</f>
        <v>0</v>
      </c>
      <c r="R23" s="29">
        <f>SUM(R20,R21)</f>
        <v>6076.5690240000004</v>
      </c>
      <c r="S23" s="29">
        <f>SUM(S20,S21)+R20</f>
        <v>6076.5690240000004</v>
      </c>
      <c r="T23" s="29">
        <f>SUM(T20,T21)+R20</f>
        <v>6076.5690240000004</v>
      </c>
      <c r="U23" s="29">
        <f>SUM(U20,U21)+R20</f>
        <v>6076.5690240000004</v>
      </c>
    </row>
    <row r="24" spans="1:21" x14ac:dyDescent="0.2">
      <c r="A24" s="145"/>
      <c r="B24" s="16" t="s">
        <v>28</v>
      </c>
      <c r="C24" s="29"/>
      <c r="D24" s="29"/>
      <c r="E24" s="29">
        <f>0</f>
        <v>0</v>
      </c>
      <c r="F24" s="29"/>
      <c r="G24" s="17">
        <f>G23*0.12</f>
        <v>47520</v>
      </c>
      <c r="H24" s="17"/>
      <c r="I24" s="17">
        <f t="shared" ref="I24:M24" si="7">I23*0.12</f>
        <v>47520</v>
      </c>
      <c r="J24" s="17"/>
      <c r="K24" s="17">
        <f t="shared" si="7"/>
        <v>47520</v>
      </c>
      <c r="L24" s="17"/>
      <c r="M24" s="17">
        <f t="shared" si="7"/>
        <v>95040</v>
      </c>
      <c r="P24" s="18" t="s">
        <v>29</v>
      </c>
      <c r="Q24" s="37">
        <f>SUM(Q7,Q11,Q15,Q23)</f>
        <v>0</v>
      </c>
      <c r="R24" s="18">
        <f>SUM(R7,R11,R15,R23,R19)</f>
        <v>159802.89119999998</v>
      </c>
      <c r="S24" s="18">
        <f>SUM(S7,S11,S15,S23,S19)</f>
        <v>313529.213376</v>
      </c>
      <c r="T24" s="18">
        <f>SUM(T7,T11,T15,T23,T19)</f>
        <v>467255.53555199993</v>
      </c>
      <c r="U24" s="18">
        <f>SUM(U7,U11,U15,U23,U19)</f>
        <v>774810.77111999982</v>
      </c>
    </row>
    <row r="25" spans="1:21" x14ac:dyDescent="0.2">
      <c r="A25" s="145"/>
      <c r="B25" s="16" t="s">
        <v>30</v>
      </c>
      <c r="C25" s="29"/>
      <c r="D25" s="29"/>
      <c r="E25" s="29">
        <f>0</f>
        <v>0</v>
      </c>
      <c r="F25" s="29"/>
      <c r="G25" s="17">
        <f>G23+G24</f>
        <v>443520</v>
      </c>
      <c r="H25" s="17"/>
      <c r="I25" s="17">
        <f t="shared" ref="I25:M25" si="8">I23+I24</f>
        <v>443520</v>
      </c>
      <c r="J25" s="17"/>
      <c r="K25" s="17">
        <f t="shared" si="8"/>
        <v>443520</v>
      </c>
      <c r="L25" s="17"/>
      <c r="M25" s="17">
        <f t="shared" si="8"/>
        <v>887040</v>
      </c>
    </row>
    <row r="26" spans="1:21" x14ac:dyDescent="0.2">
      <c r="D26" s="143" t="s">
        <v>3</v>
      </c>
      <c r="E26" s="143"/>
      <c r="F26" s="143" t="s">
        <v>4</v>
      </c>
      <c r="G26" s="143"/>
      <c r="H26" s="143" t="s">
        <v>5</v>
      </c>
      <c r="I26" s="143"/>
      <c r="J26" s="143" t="s">
        <v>6</v>
      </c>
      <c r="K26" s="143"/>
      <c r="L26" s="143" t="s">
        <v>7</v>
      </c>
      <c r="M26" s="143"/>
    </row>
    <row r="27" spans="1:21" x14ac:dyDescent="0.2">
      <c r="A27" s="15" t="s">
        <v>8</v>
      </c>
      <c r="B27" s="15" t="s">
        <v>9</v>
      </c>
      <c r="C27" s="15" t="s">
        <v>10</v>
      </c>
      <c r="D27" s="15" t="s">
        <v>11</v>
      </c>
      <c r="E27" s="15" t="s">
        <v>12</v>
      </c>
      <c r="F27" s="15" t="s">
        <v>11</v>
      </c>
      <c r="G27" s="15" t="s">
        <v>12</v>
      </c>
      <c r="H27" s="15" t="s">
        <v>11</v>
      </c>
      <c r="I27" s="15" t="s">
        <v>12</v>
      </c>
      <c r="J27" s="15" t="s">
        <v>11</v>
      </c>
      <c r="K27" s="15" t="s">
        <v>12</v>
      </c>
      <c r="L27" s="15" t="s">
        <v>11</v>
      </c>
      <c r="M27" s="15" t="s">
        <v>12</v>
      </c>
    </row>
    <row r="28" spans="1:21" x14ac:dyDescent="0.2">
      <c r="A28" s="146" t="s">
        <v>45</v>
      </c>
      <c r="B28" s="13" t="s">
        <v>50</v>
      </c>
      <c r="C28" s="13">
        <v>19</v>
      </c>
      <c r="D28" s="28">
        <v>0</v>
      </c>
      <c r="E28" s="28">
        <v>0</v>
      </c>
      <c r="F28" s="13">
        <f>ROUNDDOWN(F1/100*N28,0)</f>
        <v>4600</v>
      </c>
      <c r="G28" s="13">
        <f>C28*F28</f>
        <v>87400</v>
      </c>
      <c r="H28" s="13">
        <f>ROUNDDOWN(H1/100*N28,0)</f>
        <v>4600</v>
      </c>
      <c r="I28" s="13">
        <f>H28*C28</f>
        <v>87400</v>
      </c>
      <c r="J28" s="13">
        <f>ROUNDDOWN(J1/100*N28,0)</f>
        <v>4600</v>
      </c>
      <c r="K28" s="13">
        <f>J28*C28</f>
        <v>87400</v>
      </c>
      <c r="L28" s="13">
        <f>ROUNDDOWN(L1/100*N28,0)</f>
        <v>9200</v>
      </c>
      <c r="M28" s="13">
        <f>L28*C28</f>
        <v>174800</v>
      </c>
      <c r="N28" s="13">
        <v>23000</v>
      </c>
    </row>
    <row r="29" spans="1:21" x14ac:dyDescent="0.2">
      <c r="A29" s="146"/>
    </row>
    <row r="30" spans="1:21" x14ac:dyDescent="0.2">
      <c r="A30" s="146"/>
    </row>
    <row r="31" spans="1:21" x14ac:dyDescent="0.2">
      <c r="A31" s="146"/>
      <c r="B31" s="16" t="s">
        <v>26</v>
      </c>
      <c r="C31" s="17"/>
      <c r="D31" s="17"/>
      <c r="E31" s="17"/>
      <c r="F31" s="17"/>
      <c r="G31" s="17">
        <f>G28</f>
        <v>87400</v>
      </c>
      <c r="H31" s="17"/>
      <c r="I31" s="17">
        <f>I28</f>
        <v>87400</v>
      </c>
      <c r="J31" s="17"/>
      <c r="K31" s="17">
        <f>K28</f>
        <v>87400</v>
      </c>
      <c r="L31" s="17"/>
      <c r="M31" s="17">
        <f>M28</f>
        <v>174800</v>
      </c>
    </row>
    <row r="32" spans="1:21" x14ac:dyDescent="0.2">
      <c r="A32" s="146"/>
      <c r="B32" s="16" t="s">
        <v>51</v>
      </c>
      <c r="C32" s="17"/>
      <c r="D32" s="17"/>
      <c r="E32" s="17"/>
      <c r="F32" s="17"/>
      <c r="G32" s="17">
        <f>0.12*G31</f>
        <v>10488</v>
      </c>
      <c r="H32" s="17"/>
      <c r="I32" s="17">
        <f>0.12*I31</f>
        <v>10488</v>
      </c>
      <c r="J32" s="17"/>
      <c r="K32" s="17">
        <f>0.12*K31</f>
        <v>10488</v>
      </c>
      <c r="L32" s="17"/>
      <c r="M32" s="17">
        <f>0.12*M31</f>
        <v>20976</v>
      </c>
    </row>
    <row r="33" spans="1:21" x14ac:dyDescent="0.2">
      <c r="A33" s="146"/>
      <c r="B33" s="16" t="s">
        <v>30</v>
      </c>
      <c r="C33" s="17"/>
      <c r="D33" s="17"/>
      <c r="E33" s="17"/>
      <c r="F33" s="17"/>
      <c r="G33" s="17">
        <f>G31+G32</f>
        <v>97888</v>
      </c>
      <c r="H33" s="17"/>
      <c r="I33" s="17">
        <f>I31+I32</f>
        <v>97888</v>
      </c>
      <c r="J33" s="17"/>
      <c r="K33" s="17">
        <f>K31+K32</f>
        <v>97888</v>
      </c>
      <c r="L33" s="17"/>
      <c r="M33" s="17">
        <f>M31+M32</f>
        <v>195776</v>
      </c>
    </row>
    <row r="34" spans="1:21" x14ac:dyDescent="0.2">
      <c r="A34" s="19"/>
      <c r="B34" s="19"/>
      <c r="C34" s="19"/>
      <c r="D34" s="144" t="s">
        <v>3</v>
      </c>
      <c r="E34" s="144"/>
      <c r="F34" s="144" t="s">
        <v>4</v>
      </c>
      <c r="G34" s="144"/>
      <c r="H34" s="144" t="s">
        <v>5</v>
      </c>
      <c r="I34" s="144"/>
      <c r="J34" s="144" t="s">
        <v>6</v>
      </c>
      <c r="K34" s="144"/>
      <c r="L34" s="144" t="s">
        <v>7</v>
      </c>
      <c r="M34" s="144"/>
    </row>
    <row r="35" spans="1:21" x14ac:dyDescent="0.2">
      <c r="A35" s="20" t="s">
        <v>8</v>
      </c>
      <c r="B35" s="20" t="s">
        <v>9</v>
      </c>
      <c r="C35" s="20" t="s">
        <v>52</v>
      </c>
      <c r="D35" s="20" t="s">
        <v>11</v>
      </c>
      <c r="E35" s="20" t="s">
        <v>12</v>
      </c>
      <c r="F35" s="20" t="s">
        <v>11</v>
      </c>
      <c r="G35" s="20" t="s">
        <v>12</v>
      </c>
      <c r="H35" s="20" t="s">
        <v>11</v>
      </c>
      <c r="I35" s="20" t="s">
        <v>12</v>
      </c>
      <c r="J35" s="20" t="s">
        <v>11</v>
      </c>
      <c r="K35" s="20" t="s">
        <v>12</v>
      </c>
      <c r="L35" s="20" t="s">
        <v>11</v>
      </c>
      <c r="M35" s="20" t="s">
        <v>12</v>
      </c>
    </row>
    <row r="36" spans="1:21" x14ac:dyDescent="0.2">
      <c r="A36" s="147" t="s">
        <v>53</v>
      </c>
      <c r="B36" s="19" t="s">
        <v>54</v>
      </c>
      <c r="C36" s="19">
        <v>2278.84</v>
      </c>
      <c r="D36" s="30">
        <v>0</v>
      </c>
      <c r="E36" s="30">
        <f>C36*D36</f>
        <v>0</v>
      </c>
      <c r="F36" s="30">
        <v>1</v>
      </c>
      <c r="G36" s="30">
        <f>F36*C36</f>
        <v>2278.84</v>
      </c>
      <c r="H36" s="30">
        <v>0</v>
      </c>
      <c r="I36" s="30">
        <f>H36*C36</f>
        <v>0</v>
      </c>
      <c r="J36" s="30">
        <v>0</v>
      </c>
      <c r="K36" s="30">
        <f>J36*C36</f>
        <v>0</v>
      </c>
      <c r="L36" s="30">
        <v>0</v>
      </c>
      <c r="M36" s="30">
        <f>L36*C36</f>
        <v>0</v>
      </c>
      <c r="N36" s="34"/>
    </row>
    <row r="37" spans="1:21" x14ac:dyDescent="0.2">
      <c r="A37" s="147"/>
      <c r="B37" s="21" t="s">
        <v>26</v>
      </c>
      <c r="C37" s="21"/>
      <c r="D37" s="31"/>
      <c r="E37" s="31">
        <f>E36</f>
        <v>0</v>
      </c>
      <c r="F37" s="31"/>
      <c r="G37" s="31">
        <f>G36</f>
        <v>2278.84</v>
      </c>
      <c r="H37" s="31"/>
      <c r="I37" s="31">
        <f t="shared" ref="I37" si="9">I36</f>
        <v>0</v>
      </c>
      <c r="J37" s="31"/>
      <c r="K37" s="31">
        <f t="shared" ref="K37" si="10">K36</f>
        <v>0</v>
      </c>
      <c r="L37" s="31"/>
      <c r="M37" s="31">
        <f t="shared" ref="M37" si="11">M36</f>
        <v>0</v>
      </c>
    </row>
    <row r="38" spans="1:21" x14ac:dyDescent="0.2">
      <c r="A38" s="147"/>
      <c r="B38" s="21" t="s">
        <v>51</v>
      </c>
      <c r="C38" s="22"/>
      <c r="D38" s="31"/>
      <c r="E38" s="31">
        <f>0.12*E37</f>
        <v>0</v>
      </c>
      <c r="F38" s="31"/>
      <c r="G38" s="31">
        <f>G37*0.12</f>
        <v>273.46080000000001</v>
      </c>
      <c r="H38" s="31"/>
      <c r="I38" s="31">
        <f>I37*0.12</f>
        <v>0</v>
      </c>
      <c r="J38" s="31"/>
      <c r="K38" s="31">
        <f>K37*0.12</f>
        <v>0</v>
      </c>
      <c r="L38" s="31"/>
      <c r="M38" s="31">
        <f>M37*0.12</f>
        <v>0</v>
      </c>
    </row>
    <row r="39" spans="1:21" x14ac:dyDescent="0.2">
      <c r="A39" s="147"/>
      <c r="B39" s="21" t="s">
        <v>30</v>
      </c>
      <c r="C39" s="21"/>
      <c r="D39" s="31"/>
      <c r="E39" s="31">
        <f>SUM(E37,E38)</f>
        <v>0</v>
      </c>
      <c r="F39" s="31"/>
      <c r="G39" s="31">
        <f>G38+G37</f>
        <v>2552.3008</v>
      </c>
      <c r="H39" s="31"/>
      <c r="I39" s="31">
        <f t="shared" ref="I39" si="12">I38+I37</f>
        <v>0</v>
      </c>
      <c r="J39" s="31"/>
      <c r="K39" s="31">
        <f t="shared" ref="K39" si="13">K38+K37</f>
        <v>0</v>
      </c>
      <c r="L39" s="31"/>
      <c r="M39" s="31">
        <f t="shared" ref="M39" si="14">M38+M37</f>
        <v>0</v>
      </c>
    </row>
    <row r="40" spans="1:21" x14ac:dyDescent="0.2">
      <c r="D40" s="13">
        <f>D1</f>
        <v>0</v>
      </c>
      <c r="E40" s="13" t="s">
        <v>32</v>
      </c>
      <c r="F40" s="13">
        <v>20</v>
      </c>
      <c r="G40" s="13" t="s">
        <v>32</v>
      </c>
      <c r="H40" s="13">
        <v>20</v>
      </c>
      <c r="I40" s="13" t="s">
        <v>32</v>
      </c>
      <c r="J40" s="13">
        <v>20</v>
      </c>
      <c r="K40" s="13" t="s">
        <v>32</v>
      </c>
      <c r="L40" s="13">
        <v>40</v>
      </c>
      <c r="M40" s="13" t="s">
        <v>32</v>
      </c>
      <c r="N40" s="25">
        <v>1</v>
      </c>
    </row>
    <row r="41" spans="1:21" x14ac:dyDescent="0.2">
      <c r="A41" s="14" t="s">
        <v>55</v>
      </c>
      <c r="D41" s="143" t="s">
        <v>3</v>
      </c>
      <c r="E41" s="143"/>
      <c r="F41" s="143" t="s">
        <v>4</v>
      </c>
      <c r="G41" s="143"/>
      <c r="H41" s="143" t="s">
        <v>5</v>
      </c>
      <c r="I41" s="143"/>
      <c r="J41" s="143" t="s">
        <v>6</v>
      </c>
      <c r="K41" s="143"/>
      <c r="L41" s="143" t="s">
        <v>7</v>
      </c>
      <c r="M41" s="143"/>
      <c r="N41" s="13" t="s">
        <v>36</v>
      </c>
    </row>
    <row r="42" spans="1:21" x14ac:dyDescent="0.2">
      <c r="A42" s="15" t="s">
        <v>8</v>
      </c>
      <c r="B42" s="15" t="s">
        <v>9</v>
      </c>
      <c r="C42" s="15" t="s">
        <v>10</v>
      </c>
      <c r="D42" s="15" t="s">
        <v>11</v>
      </c>
      <c r="E42" s="15" t="s">
        <v>12</v>
      </c>
      <c r="F42" s="15" t="s">
        <v>11</v>
      </c>
      <c r="G42" s="15" t="s">
        <v>12</v>
      </c>
      <c r="H42" s="15" t="s">
        <v>11</v>
      </c>
      <c r="I42" s="15" t="s">
        <v>12</v>
      </c>
      <c r="J42" s="15" t="s">
        <v>11</v>
      </c>
      <c r="K42" s="15" t="s">
        <v>12</v>
      </c>
      <c r="L42" s="15" t="s">
        <v>11</v>
      </c>
      <c r="M42" s="15" t="s">
        <v>12</v>
      </c>
    </row>
    <row r="43" spans="1:21" x14ac:dyDescent="0.2">
      <c r="A43" s="145" t="s">
        <v>37</v>
      </c>
      <c r="B43" s="13" t="s">
        <v>38</v>
      </c>
      <c r="C43" s="13">
        <f>C4</f>
        <v>17.77</v>
      </c>
      <c r="D43" s="28">
        <f>D40*N43</f>
        <v>0</v>
      </c>
      <c r="E43" s="28">
        <f>C43*D43</f>
        <v>0</v>
      </c>
      <c r="F43" s="13">
        <f>ROUNDDOWN(F40/100*N43,0)</f>
        <v>3041</v>
      </c>
      <c r="G43" s="13">
        <f>C43*F43</f>
        <v>54038.57</v>
      </c>
      <c r="H43" s="13">
        <f>ROUNDDOWN(H40/100*N43,0)</f>
        <v>3041</v>
      </c>
      <c r="I43" s="13">
        <f>C43*H43</f>
        <v>54038.57</v>
      </c>
      <c r="J43" s="13">
        <f>ROUNDDOWN(J40/100*N43,0)</f>
        <v>3041</v>
      </c>
      <c r="K43" s="13">
        <f>C43*J43</f>
        <v>54038.57</v>
      </c>
      <c r="L43" s="13">
        <f>N43-SUM(D43,F43,H43,J43)</f>
        <v>6086</v>
      </c>
      <c r="M43" s="13">
        <f>C43*L43</f>
        <v>108148.22</v>
      </c>
      <c r="N43" s="13">
        <v>15209</v>
      </c>
    </row>
    <row r="44" spans="1:21" x14ac:dyDescent="0.2">
      <c r="A44" s="145"/>
      <c r="B44" s="13" t="s">
        <v>40</v>
      </c>
      <c r="C44" s="13">
        <f>C5</f>
        <v>2</v>
      </c>
      <c r="D44" s="28">
        <f>D40*N44</f>
        <v>0</v>
      </c>
      <c r="E44" s="28">
        <f>C44*D44</f>
        <v>0</v>
      </c>
      <c r="F44" s="13">
        <f>ROUNDDOWN(F40/100*N44,0)</f>
        <v>29239</v>
      </c>
      <c r="G44" s="13">
        <f t="shared" ref="G44:G45" si="15">C44*F44</f>
        <v>58478</v>
      </c>
      <c r="H44" s="13">
        <f>ROUNDDOWN(H40/100*N44,0)</f>
        <v>29239</v>
      </c>
      <c r="I44" s="13">
        <f t="shared" ref="I44:I45" si="16">C44*H44</f>
        <v>58478</v>
      </c>
      <c r="J44" s="13">
        <f>ROUNDDOWN(J40/100*N44,0)</f>
        <v>29239</v>
      </c>
      <c r="K44" s="13">
        <f t="shared" ref="K44:K45" si="17">C44*J44</f>
        <v>58478</v>
      </c>
      <c r="L44" s="13">
        <f t="shared" ref="L44:L45" si="18">N44-SUM(D44,F44,H44,J44)</f>
        <v>58479</v>
      </c>
      <c r="M44" s="13">
        <f t="shared" ref="M44:M45" si="19">C44*L44</f>
        <v>116958</v>
      </c>
      <c r="N44" s="13">
        <v>146196</v>
      </c>
    </row>
    <row r="45" spans="1:21" x14ac:dyDescent="0.2">
      <c r="A45" s="145"/>
      <c r="B45" s="13" t="s">
        <v>41</v>
      </c>
      <c r="C45" s="13">
        <f>C6</f>
        <v>1000</v>
      </c>
      <c r="D45" s="28">
        <f>D40*N45</f>
        <v>0</v>
      </c>
      <c r="E45" s="28">
        <f t="shared" ref="E45" si="20">C45*D45</f>
        <v>0</v>
      </c>
      <c r="F45" s="13">
        <f>ROUNDDOWN(F40/100*N45,0)</f>
        <v>3041</v>
      </c>
      <c r="G45" s="13">
        <f t="shared" si="15"/>
        <v>3041000</v>
      </c>
      <c r="H45" s="13">
        <f>ROUNDDOWN(H40/100*N45,0)</f>
        <v>3041</v>
      </c>
      <c r="I45" s="13">
        <f t="shared" si="16"/>
        <v>3041000</v>
      </c>
      <c r="J45" s="13">
        <f>ROUNDDOWN(J40/100*N45,0)</f>
        <v>3041</v>
      </c>
      <c r="K45" s="13">
        <f t="shared" si="17"/>
        <v>3041000</v>
      </c>
      <c r="L45" s="13">
        <f t="shared" si="18"/>
        <v>6086</v>
      </c>
      <c r="M45" s="13">
        <f t="shared" si="19"/>
        <v>6086000</v>
      </c>
      <c r="N45" s="13">
        <v>15209</v>
      </c>
    </row>
    <row r="46" spans="1:21" x14ac:dyDescent="0.2">
      <c r="A46" s="145"/>
      <c r="B46" s="16" t="s">
        <v>26</v>
      </c>
      <c r="C46" s="17"/>
      <c r="D46" s="29"/>
      <c r="E46" s="29">
        <f>SUM(E43:E45)</f>
        <v>0</v>
      </c>
      <c r="F46" s="17"/>
      <c r="G46" s="17">
        <f>SUM(G43:G45)</f>
        <v>3153516.57</v>
      </c>
      <c r="H46" s="17"/>
      <c r="I46" s="17">
        <f>SUM(I43:I45)</f>
        <v>3153516.57</v>
      </c>
      <c r="J46" s="17"/>
      <c r="K46" s="17">
        <f>SUM(K43:K45)</f>
        <v>3153516.57</v>
      </c>
      <c r="L46" s="17"/>
      <c r="M46" s="17">
        <f>SUM(M43:M45)</f>
        <v>6311106.2199999997</v>
      </c>
      <c r="O46" s="15" t="s">
        <v>8</v>
      </c>
      <c r="P46" s="15"/>
      <c r="Q46" s="15" t="s">
        <v>14</v>
      </c>
      <c r="R46" s="15" t="s">
        <v>15</v>
      </c>
      <c r="S46" s="15" t="s">
        <v>16</v>
      </c>
      <c r="T46" s="15" t="s">
        <v>17</v>
      </c>
      <c r="U46" s="15" t="s">
        <v>18</v>
      </c>
    </row>
    <row r="47" spans="1:21" x14ac:dyDescent="0.2">
      <c r="A47" s="145"/>
      <c r="B47" s="16" t="s">
        <v>28</v>
      </c>
      <c r="C47" s="17"/>
      <c r="D47" s="29"/>
      <c r="E47" s="29">
        <f>E46*0.12</f>
        <v>0</v>
      </c>
      <c r="F47" s="17"/>
      <c r="G47" s="17">
        <f>G46*0.12</f>
        <v>378421.98839999997</v>
      </c>
      <c r="H47" s="17"/>
      <c r="I47" s="17">
        <f>I46*0.12</f>
        <v>378421.98839999997</v>
      </c>
      <c r="J47" s="17"/>
      <c r="K47" s="17">
        <f>K46*0.12</f>
        <v>378421.98839999997</v>
      </c>
      <c r="L47" s="17"/>
      <c r="M47" s="17">
        <f>M46*0.12</f>
        <v>757332.74639999995</v>
      </c>
      <c r="O47" s="142" t="s">
        <v>37</v>
      </c>
      <c r="P47" s="13" t="s">
        <v>39</v>
      </c>
      <c r="Q47" s="28">
        <f>0.1*E48</f>
        <v>0</v>
      </c>
      <c r="R47" s="13">
        <f>0.03*G48</f>
        <v>105958.156752</v>
      </c>
      <c r="S47" s="13">
        <f>0.03*I48</f>
        <v>105958.156752</v>
      </c>
      <c r="T47" s="13">
        <f>0.03*K48</f>
        <v>105958.156752</v>
      </c>
      <c r="U47" s="13">
        <f>0.03*M48</f>
        <v>212053.16899199996</v>
      </c>
    </row>
    <row r="48" spans="1:21" x14ac:dyDescent="0.2">
      <c r="A48" s="145"/>
      <c r="B48" s="16" t="s">
        <v>30</v>
      </c>
      <c r="C48" s="17"/>
      <c r="D48" s="29"/>
      <c r="E48" s="29">
        <f>E46+E47</f>
        <v>0</v>
      </c>
      <c r="F48" s="17"/>
      <c r="G48" s="17">
        <f>G46+G47</f>
        <v>3531938.5584</v>
      </c>
      <c r="H48" s="17"/>
      <c r="I48" s="17">
        <f>I46+I47</f>
        <v>3531938.5584</v>
      </c>
      <c r="J48" s="17"/>
      <c r="K48" s="17">
        <f>K46+K47</f>
        <v>3531938.5584</v>
      </c>
      <c r="L48" s="17"/>
      <c r="M48" s="17">
        <f>M46+M47</f>
        <v>7068438.9663999993</v>
      </c>
      <c r="O48" s="142"/>
      <c r="Q48" s="28"/>
    </row>
    <row r="49" spans="1:21" x14ac:dyDescent="0.2">
      <c r="D49" s="143" t="s">
        <v>3</v>
      </c>
      <c r="E49" s="143"/>
      <c r="F49" s="143" t="s">
        <v>4</v>
      </c>
      <c r="G49" s="143"/>
      <c r="H49" s="143" t="s">
        <v>5</v>
      </c>
      <c r="I49" s="143"/>
      <c r="J49" s="143" t="s">
        <v>6</v>
      </c>
      <c r="K49" s="143"/>
      <c r="L49" s="143" t="s">
        <v>7</v>
      </c>
      <c r="M49" s="143"/>
      <c r="O49" s="142"/>
      <c r="Q49" s="28"/>
    </row>
    <row r="50" spans="1:21" x14ac:dyDescent="0.2">
      <c r="A50" s="15" t="s">
        <v>8</v>
      </c>
      <c r="B50" s="15" t="s">
        <v>9</v>
      </c>
      <c r="C50" s="15" t="s">
        <v>10</v>
      </c>
      <c r="D50" s="15" t="s">
        <v>11</v>
      </c>
      <c r="E50" s="15" t="s">
        <v>12</v>
      </c>
      <c r="F50" s="15" t="s">
        <v>11</v>
      </c>
      <c r="G50" s="15" t="s">
        <v>12</v>
      </c>
      <c r="H50" s="15" t="s">
        <v>11</v>
      </c>
      <c r="I50" s="15" t="s">
        <v>12</v>
      </c>
      <c r="J50" s="15" t="s">
        <v>11</v>
      </c>
      <c r="K50" s="15" t="s">
        <v>12</v>
      </c>
      <c r="L50" s="15" t="s">
        <v>11</v>
      </c>
      <c r="M50" s="15" t="s">
        <v>12</v>
      </c>
      <c r="O50" s="142"/>
      <c r="P50" s="17" t="s">
        <v>29</v>
      </c>
      <c r="Q50" s="29">
        <f>Q47</f>
        <v>0</v>
      </c>
      <c r="R50" s="17">
        <f>R47</f>
        <v>105958.156752</v>
      </c>
      <c r="S50" s="17">
        <f>S47+R50</f>
        <v>211916.31350399999</v>
      </c>
      <c r="T50" s="17">
        <f>T47+S50</f>
        <v>317874.470256</v>
      </c>
      <c r="U50" s="17">
        <f>+T50</f>
        <v>317874.470256</v>
      </c>
    </row>
    <row r="51" spans="1:21" x14ac:dyDescent="0.2">
      <c r="A51" s="145" t="s">
        <v>42</v>
      </c>
      <c r="B51" s="13" t="s">
        <v>43</v>
      </c>
      <c r="C51" s="13">
        <v>90</v>
      </c>
      <c r="D51" s="28">
        <v>0</v>
      </c>
      <c r="E51" s="28">
        <v>0</v>
      </c>
      <c r="F51" s="13">
        <f>ROUNDDOWN(F40/100*N51,0)</f>
        <v>224</v>
      </c>
      <c r="G51" s="13">
        <f>F51*C51</f>
        <v>20160</v>
      </c>
      <c r="H51" s="13">
        <f>ROUNDDOWN(H40/100*N51,0)</f>
        <v>224</v>
      </c>
      <c r="I51" s="13">
        <f>H51*C51</f>
        <v>20160</v>
      </c>
      <c r="J51" s="13">
        <f>ROUNDDOWN(J40/100*N51,0)</f>
        <v>224</v>
      </c>
      <c r="K51" s="13">
        <f>J51*C51</f>
        <v>20160</v>
      </c>
      <c r="L51" s="13">
        <f>ROUNDDOWN(L40/100*N51,0)</f>
        <v>448</v>
      </c>
      <c r="M51" s="13">
        <f>L51*C51</f>
        <v>40320</v>
      </c>
      <c r="N51" s="13">
        <v>1122</v>
      </c>
      <c r="O51" s="142" t="s">
        <v>42</v>
      </c>
      <c r="P51" s="13" t="s">
        <v>39</v>
      </c>
      <c r="Q51" s="28">
        <f>0.03*E56</f>
        <v>0</v>
      </c>
      <c r="R51" s="28">
        <f>0.03*G56</f>
        <v>677.37599999999998</v>
      </c>
      <c r="S51" s="28">
        <f>0.03*I56</f>
        <v>677.37599999999998</v>
      </c>
      <c r="T51" s="28">
        <f>0.03*K56</f>
        <v>677.37599999999998</v>
      </c>
      <c r="U51" s="28">
        <f>0.03*M56</f>
        <v>1354.752</v>
      </c>
    </row>
    <row r="52" spans="1:21" x14ac:dyDescent="0.2">
      <c r="A52" s="145"/>
      <c r="O52" s="142"/>
    </row>
    <row r="53" spans="1:21" x14ac:dyDescent="0.2">
      <c r="A53" s="145"/>
      <c r="O53" s="142"/>
    </row>
    <row r="54" spans="1:21" x14ac:dyDescent="0.2">
      <c r="A54" s="145"/>
      <c r="B54" s="16" t="s">
        <v>26</v>
      </c>
      <c r="C54" s="29"/>
      <c r="D54" s="29"/>
      <c r="E54" s="29">
        <f>E51</f>
        <v>0</v>
      </c>
      <c r="F54" s="29"/>
      <c r="G54" s="17">
        <f t="shared" ref="G54:M54" si="21">G51</f>
        <v>20160</v>
      </c>
      <c r="H54" s="17"/>
      <c r="I54" s="17">
        <f t="shared" si="21"/>
        <v>20160</v>
      </c>
      <c r="J54" s="17"/>
      <c r="K54" s="17">
        <f t="shared" si="21"/>
        <v>20160</v>
      </c>
      <c r="L54" s="17"/>
      <c r="M54" s="17">
        <f t="shared" si="21"/>
        <v>40320</v>
      </c>
      <c r="O54" s="142"/>
      <c r="P54" s="17" t="s">
        <v>29</v>
      </c>
      <c r="Q54" s="29">
        <f>Q51</f>
        <v>0</v>
      </c>
      <c r="R54" s="17">
        <f>R51+Q54</f>
        <v>677.37599999999998</v>
      </c>
      <c r="S54" s="17">
        <f>S51+R54</f>
        <v>1354.752</v>
      </c>
      <c r="T54" s="17">
        <f>T51+S54</f>
        <v>2032.1279999999999</v>
      </c>
      <c r="U54" s="17">
        <f>U51+T54</f>
        <v>3386.88</v>
      </c>
    </row>
    <row r="55" spans="1:21" x14ac:dyDescent="0.2">
      <c r="A55" s="145"/>
      <c r="B55" s="16" t="s">
        <v>28</v>
      </c>
      <c r="C55" s="29"/>
      <c r="D55" s="29"/>
      <c r="E55" s="29">
        <f t="shared" ref="E55:E56" si="22">E52</f>
        <v>0</v>
      </c>
      <c r="F55" s="29"/>
      <c r="G55" s="17">
        <f>G54*0.12</f>
        <v>2419.1999999999998</v>
      </c>
      <c r="H55" s="17"/>
      <c r="I55" s="17">
        <f t="shared" ref="I55:M55" si="23">I54*0.12</f>
        <v>2419.1999999999998</v>
      </c>
      <c r="J55" s="17"/>
      <c r="K55" s="17">
        <f t="shared" si="23"/>
        <v>2419.1999999999998</v>
      </c>
      <c r="L55" s="17"/>
      <c r="M55" s="17">
        <f t="shared" si="23"/>
        <v>4838.3999999999996</v>
      </c>
      <c r="O55" s="142" t="s">
        <v>44</v>
      </c>
      <c r="P55" s="13" t="s">
        <v>39</v>
      </c>
      <c r="Q55" s="28">
        <f>E64*0.03</f>
        <v>0</v>
      </c>
      <c r="R55" s="13">
        <f>G64*0.03</f>
        <v>5564.16</v>
      </c>
      <c r="S55" s="13">
        <f>I64*0.03</f>
        <v>5564.16</v>
      </c>
      <c r="T55" s="13">
        <f>K64*0.03</f>
        <v>5564.16</v>
      </c>
      <c r="U55" s="13">
        <f>M64*0.03</f>
        <v>11128.32</v>
      </c>
    </row>
    <row r="56" spans="1:21" x14ac:dyDescent="0.2">
      <c r="A56" s="145"/>
      <c r="B56" s="16" t="s">
        <v>30</v>
      </c>
      <c r="C56" s="29"/>
      <c r="D56" s="29"/>
      <c r="E56" s="29">
        <f t="shared" si="22"/>
        <v>0</v>
      </c>
      <c r="F56" s="29"/>
      <c r="G56" s="17">
        <f>G55+G54</f>
        <v>22579.200000000001</v>
      </c>
      <c r="H56" s="17"/>
      <c r="I56" s="17">
        <f t="shared" ref="I56:M56" si="24">I55+I54</f>
        <v>22579.200000000001</v>
      </c>
      <c r="J56" s="17"/>
      <c r="K56" s="17">
        <f t="shared" si="24"/>
        <v>22579.200000000001</v>
      </c>
      <c r="L56" s="17"/>
      <c r="M56" s="17">
        <f t="shared" si="24"/>
        <v>45158.400000000001</v>
      </c>
      <c r="O56" s="142"/>
      <c r="Q56" s="28"/>
    </row>
    <row r="57" spans="1:21" x14ac:dyDescent="0.2">
      <c r="A57" s="19"/>
      <c r="B57" s="19"/>
      <c r="C57" s="19"/>
      <c r="D57" s="144" t="s">
        <v>3</v>
      </c>
      <c r="E57" s="144"/>
      <c r="F57" s="144" t="s">
        <v>4</v>
      </c>
      <c r="G57" s="144"/>
      <c r="H57" s="144" t="s">
        <v>5</v>
      </c>
      <c r="I57" s="144"/>
      <c r="J57" s="144" t="s">
        <v>6</v>
      </c>
      <c r="K57" s="144"/>
      <c r="L57" s="144" t="s">
        <v>7</v>
      </c>
      <c r="M57" s="144"/>
      <c r="O57" s="142"/>
      <c r="Q57" s="28"/>
    </row>
    <row r="58" spans="1:21" x14ac:dyDescent="0.2">
      <c r="A58" s="15" t="s">
        <v>8</v>
      </c>
      <c r="B58" s="15" t="s">
        <v>9</v>
      </c>
      <c r="C58" s="15" t="s">
        <v>10</v>
      </c>
      <c r="D58" s="15" t="s">
        <v>11</v>
      </c>
      <c r="E58" s="15" t="s">
        <v>12</v>
      </c>
      <c r="F58" s="15" t="s">
        <v>11</v>
      </c>
      <c r="G58" s="15" t="s">
        <v>12</v>
      </c>
      <c r="H58" s="15" t="s">
        <v>11</v>
      </c>
      <c r="I58" s="15" t="s">
        <v>12</v>
      </c>
      <c r="J58" s="15" t="s">
        <v>11</v>
      </c>
      <c r="K58" s="15" t="s">
        <v>12</v>
      </c>
      <c r="L58" s="15" t="s">
        <v>11</v>
      </c>
      <c r="M58" s="15" t="s">
        <v>12</v>
      </c>
      <c r="N58" s="13">
        <v>9200</v>
      </c>
      <c r="O58" s="142"/>
      <c r="P58" s="17" t="s">
        <v>29</v>
      </c>
      <c r="Q58" s="29">
        <f>Q55</f>
        <v>0</v>
      </c>
      <c r="R58" s="17">
        <f>R55+Q58</f>
        <v>5564.16</v>
      </c>
      <c r="S58" s="17">
        <f>S55+R58</f>
        <v>11128.32</v>
      </c>
      <c r="T58" s="17">
        <f>T55+S58</f>
        <v>16692.48</v>
      </c>
      <c r="U58" s="17">
        <f>U55+T58</f>
        <v>27820.799999999999</v>
      </c>
    </row>
    <row r="59" spans="1:21" ht="15.75" customHeight="1" x14ac:dyDescent="0.2">
      <c r="A59" s="145" t="s">
        <v>44</v>
      </c>
      <c r="B59" s="13" t="s">
        <v>46</v>
      </c>
      <c r="C59" s="13">
        <v>90</v>
      </c>
      <c r="D59" s="28">
        <v>0</v>
      </c>
      <c r="E59" s="28">
        <v>0</v>
      </c>
      <c r="F59" s="13">
        <f>ROUNDDOWN(F40/100*N58,0)</f>
        <v>1840</v>
      </c>
      <c r="G59" s="13">
        <f>C59*F59</f>
        <v>165600</v>
      </c>
      <c r="H59" s="13">
        <f>ROUNDDOWN(H40/100*N58,0)</f>
        <v>1840</v>
      </c>
      <c r="I59" s="13">
        <f>H59*C59</f>
        <v>165600</v>
      </c>
      <c r="J59" s="13">
        <f>ROUNDDOWN(J40/100*N58,0)</f>
        <v>1840</v>
      </c>
      <c r="K59" s="13">
        <f>J59*C59</f>
        <v>165600</v>
      </c>
      <c r="L59" s="13">
        <f>ROUNDDOWN(L40/100*N58,0)</f>
        <v>3680</v>
      </c>
      <c r="M59" s="13">
        <f>L59*C59</f>
        <v>331200</v>
      </c>
      <c r="O59" s="142" t="s">
        <v>45</v>
      </c>
      <c r="P59" s="13" t="s">
        <v>39</v>
      </c>
      <c r="Q59" s="28">
        <f>0</f>
        <v>0</v>
      </c>
      <c r="R59" s="13">
        <f>0.03*G72</f>
        <v>6585.5999999999995</v>
      </c>
      <c r="S59" s="13">
        <f>0.03*I72</f>
        <v>6585.5999999999995</v>
      </c>
      <c r="T59" s="13">
        <f>0.03*K72</f>
        <v>6585.5999999999995</v>
      </c>
      <c r="U59" s="13">
        <f>0.03*M72</f>
        <v>13171.199999999999</v>
      </c>
    </row>
    <row r="60" spans="1:21" ht="15.75" customHeight="1" x14ac:dyDescent="0.2">
      <c r="A60" s="145"/>
      <c r="O60" s="142"/>
      <c r="Q60" s="28"/>
    </row>
    <row r="61" spans="1:21" ht="15.75" customHeight="1" x14ac:dyDescent="0.2">
      <c r="A61" s="145"/>
      <c r="O61" s="142"/>
      <c r="Q61" s="28"/>
    </row>
    <row r="62" spans="1:21" ht="15.75" customHeight="1" x14ac:dyDescent="0.2">
      <c r="A62" s="145"/>
      <c r="B62" s="16" t="s">
        <v>26</v>
      </c>
      <c r="C62" s="29"/>
      <c r="D62" s="29"/>
      <c r="E62" s="29">
        <f>0</f>
        <v>0</v>
      </c>
      <c r="F62" s="29"/>
      <c r="G62" s="17">
        <f>G59</f>
        <v>165600</v>
      </c>
      <c r="H62" s="17"/>
      <c r="I62" s="17">
        <f t="shared" ref="I62:M62" si="25">I59</f>
        <v>165600</v>
      </c>
      <c r="J62" s="17"/>
      <c r="K62" s="17">
        <f t="shared" si="25"/>
        <v>165600</v>
      </c>
      <c r="L62" s="17"/>
      <c r="M62" s="17">
        <f t="shared" si="25"/>
        <v>331200</v>
      </c>
      <c r="O62" s="142"/>
      <c r="P62" s="17" t="s">
        <v>29</v>
      </c>
      <c r="Q62" s="29">
        <f>Q59</f>
        <v>0</v>
      </c>
      <c r="R62" s="17">
        <f>R59+Q62</f>
        <v>6585.5999999999995</v>
      </c>
      <c r="S62" s="17">
        <f>S59+R62</f>
        <v>13171.199999999999</v>
      </c>
      <c r="T62" s="17">
        <f>T59+S62</f>
        <v>19756.8</v>
      </c>
      <c r="U62" s="17">
        <f>U59+T62</f>
        <v>32928</v>
      </c>
    </row>
    <row r="63" spans="1:21" x14ac:dyDescent="0.2">
      <c r="A63" s="145"/>
      <c r="B63" s="16" t="s">
        <v>28</v>
      </c>
      <c r="C63" s="29"/>
      <c r="D63" s="29"/>
      <c r="E63" s="29">
        <f>0</f>
        <v>0</v>
      </c>
      <c r="F63" s="29"/>
      <c r="G63" s="17">
        <f>G62*0.12</f>
        <v>19872</v>
      </c>
      <c r="H63" s="17"/>
      <c r="I63" s="17">
        <f t="shared" ref="I63:M63" si="26">I62*0.12</f>
        <v>19872</v>
      </c>
      <c r="J63" s="17"/>
      <c r="K63" s="17">
        <f t="shared" si="26"/>
        <v>19872</v>
      </c>
      <c r="L63" s="17"/>
      <c r="M63" s="17">
        <f t="shared" si="26"/>
        <v>39744</v>
      </c>
      <c r="O63" s="142" t="s">
        <v>47</v>
      </c>
      <c r="P63" s="13" t="s">
        <v>48</v>
      </c>
      <c r="Q63" s="28">
        <f>0</f>
        <v>0</v>
      </c>
      <c r="R63" s="13">
        <f>0.03*G78</f>
        <v>76.569023999999999</v>
      </c>
      <c r="S63" s="28">
        <f>0.03*I78</f>
        <v>0</v>
      </c>
      <c r="T63" s="28">
        <f>0.03*K78</f>
        <v>0</v>
      </c>
      <c r="U63" s="28">
        <f>0.03*M78</f>
        <v>0</v>
      </c>
    </row>
    <row r="64" spans="1:21" x14ac:dyDescent="0.2">
      <c r="A64" s="145"/>
      <c r="B64" s="16" t="s">
        <v>30</v>
      </c>
      <c r="C64" s="29"/>
      <c r="D64" s="29"/>
      <c r="E64" s="29">
        <f>0</f>
        <v>0</v>
      </c>
      <c r="F64" s="29"/>
      <c r="G64" s="17">
        <f>G62+G63</f>
        <v>185472</v>
      </c>
      <c r="H64" s="17"/>
      <c r="I64" s="17">
        <f t="shared" ref="I64:M64" si="27">I62+I63</f>
        <v>185472</v>
      </c>
      <c r="J64" s="17"/>
      <c r="K64" s="17">
        <f t="shared" si="27"/>
        <v>185472</v>
      </c>
      <c r="L64" s="17"/>
      <c r="M64" s="17">
        <f t="shared" si="27"/>
        <v>370944</v>
      </c>
      <c r="O64" s="142"/>
      <c r="P64" s="13" t="s">
        <v>49</v>
      </c>
      <c r="R64" s="13">
        <f>$E$159</f>
        <v>6000</v>
      </c>
      <c r="S64" s="13">
        <f>$E$159</f>
        <v>6000</v>
      </c>
      <c r="T64" s="13">
        <f>$E$159</f>
        <v>6000</v>
      </c>
      <c r="U64" s="13">
        <f>$E$159</f>
        <v>6000</v>
      </c>
    </row>
    <row r="65" spans="1:21" x14ac:dyDescent="0.2">
      <c r="D65" s="143" t="s">
        <v>3</v>
      </c>
      <c r="E65" s="143"/>
      <c r="F65" s="143" t="s">
        <v>4</v>
      </c>
      <c r="G65" s="143"/>
      <c r="H65" s="143" t="s">
        <v>5</v>
      </c>
      <c r="I65" s="143"/>
      <c r="J65" s="143" t="s">
        <v>6</v>
      </c>
      <c r="K65" s="143"/>
      <c r="L65" s="143" t="s">
        <v>7</v>
      </c>
      <c r="M65" s="143"/>
      <c r="O65" s="142"/>
      <c r="S65" s="28"/>
      <c r="T65" s="28"/>
      <c r="U65" s="28"/>
    </row>
    <row r="66" spans="1:21" x14ac:dyDescent="0.2">
      <c r="A66" s="15" t="s">
        <v>8</v>
      </c>
      <c r="B66" s="15" t="s">
        <v>9</v>
      </c>
      <c r="C66" s="15" t="s">
        <v>10</v>
      </c>
      <c r="D66" s="15" t="s">
        <v>11</v>
      </c>
      <c r="E66" s="15" t="s">
        <v>12</v>
      </c>
      <c r="F66" s="15" t="s">
        <v>11</v>
      </c>
      <c r="G66" s="15" t="s">
        <v>12</v>
      </c>
      <c r="H66" s="15" t="s">
        <v>11</v>
      </c>
      <c r="I66" s="15" t="s">
        <v>12</v>
      </c>
      <c r="J66" s="15" t="s">
        <v>11</v>
      </c>
      <c r="K66" s="15" t="s">
        <v>12</v>
      </c>
      <c r="L66" s="15" t="s">
        <v>11</v>
      </c>
      <c r="M66" s="15" t="s">
        <v>12</v>
      </c>
      <c r="O66" s="142"/>
      <c r="P66" s="17" t="s">
        <v>29</v>
      </c>
      <c r="Q66" s="29">
        <f>SUM(Q63,Q64)</f>
        <v>0</v>
      </c>
      <c r="R66" s="29">
        <f>SUM(R63,R64)</f>
        <v>6076.5690240000004</v>
      </c>
      <c r="S66" s="29">
        <f>SUM(S63,S64)+R63</f>
        <v>6076.5690240000004</v>
      </c>
      <c r="T66" s="29">
        <f>SUM(T63,T64)+R63</f>
        <v>6076.5690240000004</v>
      </c>
      <c r="U66" s="29">
        <f>SUM(U63,U64)+R63</f>
        <v>6076.5690240000004</v>
      </c>
    </row>
    <row r="67" spans="1:21" x14ac:dyDescent="0.2">
      <c r="A67" s="146" t="s">
        <v>45</v>
      </c>
      <c r="B67" s="13" t="s">
        <v>50</v>
      </c>
      <c r="C67" s="13">
        <v>19</v>
      </c>
      <c r="D67" s="28" t="s">
        <v>56</v>
      </c>
      <c r="E67" s="28" t="s">
        <v>56</v>
      </c>
      <c r="F67" s="13">
        <f>ROUNDDOWN(F40/100*N67,0)</f>
        <v>4000</v>
      </c>
      <c r="G67" s="13">
        <f>C67*F67</f>
        <v>76000</v>
      </c>
      <c r="H67" s="13">
        <f>ROUNDDOWN(H40/100*N67,0)</f>
        <v>4000</v>
      </c>
      <c r="I67" s="13">
        <f>H67*C67</f>
        <v>76000</v>
      </c>
      <c r="J67" s="13">
        <f>ROUNDDOWN(J40/100*N67,0)</f>
        <v>4000</v>
      </c>
      <c r="K67" s="13">
        <f>J67*C67</f>
        <v>76000</v>
      </c>
      <c r="L67" s="13">
        <f>ROUNDDOWN(L40/100*N67,0)</f>
        <v>8000</v>
      </c>
      <c r="M67" s="13">
        <f>L67*C67</f>
        <v>152000</v>
      </c>
      <c r="N67" s="13">
        <v>20000</v>
      </c>
      <c r="P67" s="18" t="s">
        <v>29</v>
      </c>
      <c r="Q67" s="37">
        <f>SUM(Q50,Q54,Q58,Q66)</f>
        <v>0</v>
      </c>
      <c r="R67" s="18">
        <f>SUM(R50,R54,R58,R66,R62)</f>
        <v>124861.86177600001</v>
      </c>
      <c r="S67" s="18">
        <f>SUM(S50,S54,S58,S66,S62)</f>
        <v>243647.15452800001</v>
      </c>
      <c r="T67" s="18">
        <f>SUM(T50,T54,T58,T66,T62)</f>
        <v>362432.44728000002</v>
      </c>
      <c r="U67" s="18">
        <f>SUM(U50,U54,U58,U66,U62)</f>
        <v>388086.71928000002</v>
      </c>
    </row>
    <row r="68" spans="1:21" x14ac:dyDescent="0.2">
      <c r="A68" s="146"/>
      <c r="B68" s="13" t="s">
        <v>57</v>
      </c>
      <c r="C68" s="13">
        <v>30</v>
      </c>
      <c r="D68" s="13" t="s">
        <v>56</v>
      </c>
      <c r="E68" s="13" t="s">
        <v>56</v>
      </c>
      <c r="F68" s="13">
        <f>ROUNDDOWN(F1/100*N68,0)</f>
        <v>4000</v>
      </c>
      <c r="G68" s="13">
        <f>F68*C68</f>
        <v>120000</v>
      </c>
      <c r="H68" s="13">
        <f>ROUNDDOWN(H1/100*N68,0)</f>
        <v>4000</v>
      </c>
      <c r="I68" s="13">
        <f>H68*C68</f>
        <v>120000</v>
      </c>
      <c r="J68" s="13">
        <f>ROUNDDOWN(J1/100*N68,0)</f>
        <v>4000</v>
      </c>
      <c r="K68" s="13">
        <f>J68*C68</f>
        <v>120000</v>
      </c>
      <c r="L68" s="13">
        <f>ROUNDDOWN(L1/100*N68,0)</f>
        <v>8000</v>
      </c>
      <c r="M68" s="13">
        <f>L68*C68</f>
        <v>240000</v>
      </c>
      <c r="N68" s="13">
        <v>20000</v>
      </c>
    </row>
    <row r="69" spans="1:21" x14ac:dyDescent="0.2">
      <c r="A69" s="146"/>
    </row>
    <row r="70" spans="1:21" x14ac:dyDescent="0.2">
      <c r="A70" s="146"/>
      <c r="B70" s="16" t="s">
        <v>26</v>
      </c>
      <c r="C70" s="17"/>
      <c r="D70" s="17"/>
      <c r="E70" s="17"/>
      <c r="F70" s="17"/>
      <c r="G70" s="17">
        <f>G67+G68</f>
        <v>196000</v>
      </c>
      <c r="H70" s="17"/>
      <c r="I70" s="17">
        <f>I67+I68</f>
        <v>196000</v>
      </c>
      <c r="J70" s="17"/>
      <c r="K70" s="17">
        <f>K67+K68</f>
        <v>196000</v>
      </c>
      <c r="L70" s="17"/>
      <c r="M70" s="17">
        <f>M67+M68</f>
        <v>392000</v>
      </c>
    </row>
    <row r="71" spans="1:21" x14ac:dyDescent="0.2">
      <c r="A71" s="146"/>
      <c r="B71" s="16" t="s">
        <v>51</v>
      </c>
      <c r="C71" s="17"/>
      <c r="D71" s="17"/>
      <c r="E71" s="17"/>
      <c r="F71" s="17"/>
      <c r="G71" s="17">
        <f>0.12*G70</f>
        <v>23520</v>
      </c>
      <c r="H71" s="17"/>
      <c r="I71" s="17">
        <f>0.12*I70</f>
        <v>23520</v>
      </c>
      <c r="J71" s="17"/>
      <c r="K71" s="17">
        <f>0.12*K70</f>
        <v>23520</v>
      </c>
      <c r="L71" s="17"/>
      <c r="M71" s="17">
        <f>0.12*M70</f>
        <v>47040</v>
      </c>
    </row>
    <row r="72" spans="1:21" x14ac:dyDescent="0.2">
      <c r="A72" s="146"/>
      <c r="B72" s="16" t="s">
        <v>30</v>
      </c>
      <c r="C72" s="17"/>
      <c r="D72" s="17"/>
      <c r="E72" s="17"/>
      <c r="F72" s="17"/>
      <c r="G72" s="17">
        <f>G70+G71</f>
        <v>219520</v>
      </c>
      <c r="H72" s="17"/>
      <c r="I72" s="17">
        <f>I70+I71</f>
        <v>219520</v>
      </c>
      <c r="J72" s="17"/>
      <c r="K72" s="17">
        <f>K70+K71</f>
        <v>219520</v>
      </c>
      <c r="L72" s="17"/>
      <c r="M72" s="17">
        <f>M70+M71</f>
        <v>439040</v>
      </c>
      <c r="O72" s="19"/>
      <c r="P72" s="19"/>
      <c r="Q72" s="19"/>
      <c r="R72" s="19"/>
      <c r="S72" s="19"/>
      <c r="T72" s="19"/>
      <c r="U72" s="19"/>
    </row>
    <row r="73" spans="1:21" x14ac:dyDescent="0.2">
      <c r="A73" s="19"/>
      <c r="B73" s="19"/>
      <c r="C73" s="19"/>
      <c r="D73" s="144" t="s">
        <v>3</v>
      </c>
      <c r="E73" s="144"/>
      <c r="F73" s="144" t="s">
        <v>4</v>
      </c>
      <c r="G73" s="144"/>
      <c r="H73" s="144" t="s">
        <v>5</v>
      </c>
      <c r="I73" s="144"/>
      <c r="J73" s="144" t="s">
        <v>6</v>
      </c>
      <c r="K73" s="144"/>
      <c r="L73" s="144" t="s">
        <v>7</v>
      </c>
      <c r="M73" s="144"/>
    </row>
    <row r="74" spans="1:21" x14ac:dyDescent="0.2">
      <c r="A74" s="20" t="s">
        <v>8</v>
      </c>
      <c r="B74" s="20" t="s">
        <v>9</v>
      </c>
      <c r="C74" s="20" t="s">
        <v>52</v>
      </c>
      <c r="D74" s="20" t="s">
        <v>11</v>
      </c>
      <c r="E74" s="20" t="s">
        <v>12</v>
      </c>
      <c r="F74" s="20" t="s">
        <v>11</v>
      </c>
      <c r="G74" s="20" t="s">
        <v>12</v>
      </c>
      <c r="H74" s="20" t="s">
        <v>11</v>
      </c>
      <c r="I74" s="20" t="s">
        <v>12</v>
      </c>
      <c r="J74" s="20" t="s">
        <v>11</v>
      </c>
      <c r="K74" s="20" t="s">
        <v>12</v>
      </c>
      <c r="L74" s="20" t="s">
        <v>11</v>
      </c>
      <c r="M74" s="20" t="s">
        <v>12</v>
      </c>
    </row>
    <row r="75" spans="1:21" x14ac:dyDescent="0.2">
      <c r="A75" s="147" t="s">
        <v>53</v>
      </c>
      <c r="B75" s="19" t="s">
        <v>54</v>
      </c>
      <c r="C75" s="19">
        <f>C36</f>
        <v>2278.84</v>
      </c>
      <c r="D75" s="30">
        <v>0</v>
      </c>
      <c r="E75" s="30">
        <f>C75*D75</f>
        <v>0</v>
      </c>
      <c r="F75" s="30">
        <v>1</v>
      </c>
      <c r="G75" s="30">
        <f>F75*C75</f>
        <v>2278.84</v>
      </c>
      <c r="H75" s="30">
        <v>0</v>
      </c>
      <c r="I75" s="30">
        <f>H75*C75</f>
        <v>0</v>
      </c>
      <c r="J75" s="30">
        <v>0</v>
      </c>
      <c r="K75" s="30">
        <f>J75*C75</f>
        <v>0</v>
      </c>
      <c r="L75" s="30">
        <v>0</v>
      </c>
      <c r="M75" s="30">
        <f>L75*C75</f>
        <v>0</v>
      </c>
    </row>
    <row r="76" spans="1:21" x14ac:dyDescent="0.2">
      <c r="A76" s="147"/>
      <c r="B76" s="21" t="s">
        <v>26</v>
      </c>
      <c r="C76" s="21"/>
      <c r="D76" s="31"/>
      <c r="E76" s="31">
        <f>E75</f>
        <v>0</v>
      </c>
      <c r="F76" s="31"/>
      <c r="G76" s="31">
        <f>G75</f>
        <v>2278.84</v>
      </c>
      <c r="H76" s="31"/>
      <c r="I76" s="31">
        <f t="shared" ref="I76" si="28">I75</f>
        <v>0</v>
      </c>
      <c r="J76" s="31"/>
      <c r="K76" s="31">
        <f t="shared" ref="K76" si="29">K75</f>
        <v>0</v>
      </c>
      <c r="L76" s="31"/>
      <c r="M76" s="31">
        <f t="shared" ref="M76" si="30">M75</f>
        <v>0</v>
      </c>
    </row>
    <row r="77" spans="1:21" x14ac:dyDescent="0.2">
      <c r="A77" s="147"/>
      <c r="B77" s="21" t="s">
        <v>51</v>
      </c>
      <c r="C77" s="22"/>
      <c r="D77" s="31"/>
      <c r="E77" s="31">
        <f>0.12*E75</f>
        <v>0</v>
      </c>
      <c r="F77" s="31"/>
      <c r="G77" s="31">
        <f>G76*0.12</f>
        <v>273.46080000000001</v>
      </c>
      <c r="H77" s="31"/>
      <c r="I77" s="31">
        <f>I76*0.12</f>
        <v>0</v>
      </c>
      <c r="J77" s="31"/>
      <c r="K77" s="31">
        <f>K76*0.12</f>
        <v>0</v>
      </c>
      <c r="L77" s="31"/>
      <c r="M77" s="31">
        <f>M76*0.12</f>
        <v>0</v>
      </c>
    </row>
    <row r="78" spans="1:21" x14ac:dyDescent="0.2">
      <c r="A78" s="147"/>
      <c r="B78" s="21" t="s">
        <v>30</v>
      </c>
      <c r="C78" s="21"/>
      <c r="D78" s="31"/>
      <c r="E78" s="31">
        <f>E76+E77</f>
        <v>0</v>
      </c>
      <c r="F78" s="31"/>
      <c r="G78" s="31">
        <f>G77+G76</f>
        <v>2552.3008</v>
      </c>
      <c r="H78" s="31"/>
      <c r="I78" s="31">
        <f t="shared" ref="I78" si="31">I77+I76</f>
        <v>0</v>
      </c>
      <c r="J78" s="31"/>
      <c r="K78" s="31">
        <f t="shared" ref="K78" si="32">K77+K76</f>
        <v>0</v>
      </c>
      <c r="L78" s="31"/>
      <c r="M78" s="31">
        <f t="shared" ref="M78" si="33">M77+M76</f>
        <v>0</v>
      </c>
      <c r="N78" s="26">
        <v>1</v>
      </c>
    </row>
    <row r="79" spans="1:21" x14ac:dyDescent="0.2">
      <c r="D79" s="28">
        <v>0</v>
      </c>
      <c r="E79" s="13" t="s">
        <v>32</v>
      </c>
      <c r="F79" s="13">
        <v>20</v>
      </c>
      <c r="G79" s="13" t="s">
        <v>32</v>
      </c>
      <c r="H79" s="13">
        <v>20</v>
      </c>
      <c r="I79" s="13" t="s">
        <v>32</v>
      </c>
      <c r="J79" s="13">
        <v>20</v>
      </c>
      <c r="K79" s="13" t="s">
        <v>32</v>
      </c>
      <c r="L79" s="13">
        <v>40</v>
      </c>
      <c r="M79" s="13" t="s">
        <v>32</v>
      </c>
      <c r="N79" s="24" t="s">
        <v>58</v>
      </c>
    </row>
    <row r="80" spans="1:21" x14ac:dyDescent="0.2">
      <c r="A80" s="14" t="s">
        <v>59</v>
      </c>
      <c r="D80" s="143" t="s">
        <v>3</v>
      </c>
      <c r="E80" s="143"/>
      <c r="F80" s="143" t="s">
        <v>4</v>
      </c>
      <c r="G80" s="143"/>
      <c r="H80" s="143" t="s">
        <v>5</v>
      </c>
      <c r="I80" s="143"/>
      <c r="J80" s="143" t="s">
        <v>6</v>
      </c>
      <c r="K80" s="143"/>
      <c r="L80" s="143" t="s">
        <v>7</v>
      </c>
      <c r="M80" s="143"/>
    </row>
    <row r="81" spans="1:21" x14ac:dyDescent="0.2">
      <c r="A81" s="15" t="s">
        <v>8</v>
      </c>
      <c r="B81" s="15" t="s">
        <v>9</v>
      </c>
      <c r="C81" s="15" t="s">
        <v>10</v>
      </c>
      <c r="D81" s="15" t="s">
        <v>11</v>
      </c>
      <c r="E81" s="15" t="s">
        <v>12</v>
      </c>
      <c r="F81" s="15" t="s">
        <v>11</v>
      </c>
      <c r="G81" s="15" t="s">
        <v>12</v>
      </c>
      <c r="H81" s="15" t="s">
        <v>11</v>
      </c>
      <c r="I81" s="15" t="s">
        <v>12</v>
      </c>
      <c r="J81" s="15" t="s">
        <v>11</v>
      </c>
      <c r="K81" s="15" t="s">
        <v>12</v>
      </c>
      <c r="L81" s="15" t="s">
        <v>11</v>
      </c>
      <c r="M81" s="15" t="s">
        <v>12</v>
      </c>
      <c r="N81" s="13">
        <v>28479</v>
      </c>
    </row>
    <row r="82" spans="1:21" x14ac:dyDescent="0.2">
      <c r="A82" s="145" t="s">
        <v>37</v>
      </c>
      <c r="B82" s="13" t="s">
        <v>38</v>
      </c>
      <c r="C82" s="13">
        <f>C4</f>
        <v>17.77</v>
      </c>
      <c r="D82" s="28">
        <f>D79*N81</f>
        <v>0</v>
      </c>
      <c r="E82" s="28">
        <f>C82*D82</f>
        <v>0</v>
      </c>
      <c r="F82" s="13">
        <f>ROUNDDOWN(F79/100*N81,0)</f>
        <v>5695</v>
      </c>
      <c r="G82" s="13">
        <f>C82*F82</f>
        <v>101200.15</v>
      </c>
      <c r="H82" s="13">
        <f>ROUNDDOWN(H79/100*N81,0)</f>
        <v>5695</v>
      </c>
      <c r="I82" s="13">
        <f>C82*H82</f>
        <v>101200.15</v>
      </c>
      <c r="J82" s="13">
        <f>ROUNDDOWN(J79/100*N81,0)</f>
        <v>5695</v>
      </c>
      <c r="K82" s="13">
        <f>C82*J82</f>
        <v>101200.15</v>
      </c>
      <c r="L82" s="13">
        <f>N81-SUM(D82,F82,H82,J82)</f>
        <v>11394</v>
      </c>
      <c r="M82" s="13">
        <f>C82*L82</f>
        <v>202471.38</v>
      </c>
      <c r="N82" s="13">
        <v>293479</v>
      </c>
    </row>
    <row r="83" spans="1:21" x14ac:dyDescent="0.2">
      <c r="A83" s="145"/>
      <c r="B83" s="13" t="s">
        <v>40</v>
      </c>
      <c r="C83" s="13">
        <f>C5</f>
        <v>2</v>
      </c>
      <c r="D83" s="28">
        <f>D79*N82</f>
        <v>0</v>
      </c>
      <c r="E83" s="28">
        <f>C83*D83</f>
        <v>0</v>
      </c>
      <c r="F83" s="13">
        <f>ROUNDDOWN(F79/100*N82,0)</f>
        <v>58695</v>
      </c>
      <c r="G83" s="13">
        <f t="shared" ref="G83:G84" si="34">C83*F83</f>
        <v>117390</v>
      </c>
      <c r="H83" s="13">
        <f>ROUNDDOWN(H79/100*N82,0)</f>
        <v>58695</v>
      </c>
      <c r="I83" s="13">
        <f t="shared" ref="I83:I84" si="35">C83*H83</f>
        <v>117390</v>
      </c>
      <c r="J83" s="13">
        <f>ROUNDDOWN(J79/100*N82,0)</f>
        <v>58695</v>
      </c>
      <c r="K83" s="13">
        <f t="shared" ref="K83:K84" si="36">C83*J83</f>
        <v>117390</v>
      </c>
      <c r="L83" s="13">
        <f>N82-SUM(D83,F83,H83,J83)</f>
        <v>117394</v>
      </c>
      <c r="M83" s="13">
        <f t="shared" ref="M83:M84" si="37">C83*L83</f>
        <v>234788</v>
      </c>
      <c r="N83" s="13">
        <v>28479</v>
      </c>
      <c r="O83" s="19"/>
      <c r="P83" s="19"/>
      <c r="Q83" s="19"/>
      <c r="R83" s="19"/>
      <c r="S83" s="19"/>
      <c r="T83" s="19"/>
      <c r="U83" s="19"/>
    </row>
    <row r="84" spans="1:21" x14ac:dyDescent="0.2">
      <c r="A84" s="145"/>
      <c r="B84" s="13" t="s">
        <v>41</v>
      </c>
      <c r="C84" s="13">
        <f>C6</f>
        <v>1000</v>
      </c>
      <c r="D84" s="28">
        <f>D79*N83</f>
        <v>0</v>
      </c>
      <c r="E84" s="28">
        <f t="shared" ref="E84" si="38">C84*D84</f>
        <v>0</v>
      </c>
      <c r="F84" s="13">
        <f>ROUNDDOWN(F79/100*N83,0)</f>
        <v>5695</v>
      </c>
      <c r="G84" s="13">
        <f t="shared" si="34"/>
        <v>5695000</v>
      </c>
      <c r="H84" s="13">
        <f>ROUNDDOWN(H79/100*N83,0)</f>
        <v>5695</v>
      </c>
      <c r="I84" s="13">
        <f t="shared" si="35"/>
        <v>5695000</v>
      </c>
      <c r="J84" s="13">
        <f>ROUNDDOWN(J79/100*N83,0)</f>
        <v>5695</v>
      </c>
      <c r="K84" s="13">
        <f t="shared" si="36"/>
        <v>5695000</v>
      </c>
      <c r="L84" s="13">
        <f>N83-SUM(D84,F84,H84,J84)</f>
        <v>11394</v>
      </c>
      <c r="M84" s="13">
        <f t="shared" si="37"/>
        <v>11394000</v>
      </c>
      <c r="O84" s="19"/>
      <c r="P84" s="19"/>
      <c r="Q84" s="19"/>
      <c r="R84" s="19"/>
      <c r="S84" s="19"/>
      <c r="T84" s="19"/>
      <c r="U84" s="19"/>
    </row>
    <row r="85" spans="1:21" x14ac:dyDescent="0.2">
      <c r="A85" s="145"/>
      <c r="B85" s="16" t="s">
        <v>26</v>
      </c>
      <c r="C85" s="17"/>
      <c r="D85" s="29"/>
      <c r="E85" s="29">
        <f>SUM(E82:E84)</f>
        <v>0</v>
      </c>
      <c r="F85" s="17"/>
      <c r="G85" s="17">
        <f>SUM(G82:G84)</f>
        <v>5913590.1500000004</v>
      </c>
      <c r="H85" s="17"/>
      <c r="I85" s="17">
        <f>SUM(I82:I84)</f>
        <v>5913590.1500000004</v>
      </c>
      <c r="J85" s="17"/>
      <c r="K85" s="17">
        <f>SUM(K82:K84)</f>
        <v>5913590.1500000004</v>
      </c>
      <c r="L85" s="17"/>
      <c r="M85" s="17">
        <f>SUM(M82:M84)</f>
        <v>11831259.380000001</v>
      </c>
      <c r="O85" s="19"/>
      <c r="P85" s="19"/>
      <c r="Q85" s="19"/>
      <c r="R85" s="19"/>
      <c r="S85" s="19"/>
      <c r="T85" s="19"/>
      <c r="U85" s="19"/>
    </row>
    <row r="86" spans="1:21" x14ac:dyDescent="0.2">
      <c r="A86" s="145"/>
      <c r="B86" s="16" t="s">
        <v>28</v>
      </c>
      <c r="C86" s="17"/>
      <c r="D86" s="29"/>
      <c r="E86" s="29">
        <f>E85*0.12</f>
        <v>0</v>
      </c>
      <c r="F86" s="17"/>
      <c r="G86" s="17">
        <f>G85*0.12</f>
        <v>709630.81799999997</v>
      </c>
      <c r="H86" s="17"/>
      <c r="I86" s="17">
        <f>I85*0.12</f>
        <v>709630.81799999997</v>
      </c>
      <c r="J86" s="17"/>
      <c r="K86" s="17">
        <f>K85*0.12</f>
        <v>709630.81799999997</v>
      </c>
      <c r="L86" s="17"/>
      <c r="M86" s="17">
        <f>M85*0.12</f>
        <v>1419751.1256000001</v>
      </c>
      <c r="O86" s="19"/>
      <c r="P86" s="19"/>
      <c r="Q86" s="19"/>
      <c r="R86" s="19"/>
      <c r="S86" s="19"/>
      <c r="T86" s="19"/>
      <c r="U86" s="19"/>
    </row>
    <row r="87" spans="1:21" x14ac:dyDescent="0.2">
      <c r="A87" s="145"/>
      <c r="B87" s="16" t="s">
        <v>30</v>
      </c>
      <c r="C87" s="17"/>
      <c r="D87" s="29"/>
      <c r="E87" s="29">
        <f>E85+E86</f>
        <v>0</v>
      </c>
      <c r="F87" s="17"/>
      <c r="G87" s="17">
        <f>G85+G86</f>
        <v>6623220.9680000003</v>
      </c>
      <c r="H87" s="17"/>
      <c r="I87" s="17">
        <f>I85+I86</f>
        <v>6623220.9680000003</v>
      </c>
      <c r="J87" s="17"/>
      <c r="K87" s="17">
        <f>K85+K86</f>
        <v>6623220.9680000003</v>
      </c>
      <c r="L87" s="17"/>
      <c r="M87" s="17">
        <f>M85+M86</f>
        <v>13251010.505600002</v>
      </c>
      <c r="N87" s="19"/>
      <c r="O87" s="19"/>
      <c r="P87" s="19"/>
      <c r="Q87" s="19"/>
      <c r="R87" s="19"/>
      <c r="S87" s="19"/>
      <c r="T87" s="19"/>
      <c r="U87" s="19"/>
    </row>
    <row r="88" spans="1:21" x14ac:dyDescent="0.2">
      <c r="A88" s="19"/>
      <c r="B88" s="19"/>
      <c r="C88" s="19"/>
      <c r="D88" s="144" t="s">
        <v>3</v>
      </c>
      <c r="E88" s="144"/>
      <c r="F88" s="144" t="s">
        <v>4</v>
      </c>
      <c r="G88" s="144"/>
      <c r="H88" s="144" t="s">
        <v>5</v>
      </c>
      <c r="I88" s="144"/>
      <c r="J88" s="144" t="s">
        <v>6</v>
      </c>
      <c r="K88" s="144"/>
      <c r="L88" s="144" t="s">
        <v>7</v>
      </c>
      <c r="M88" s="144"/>
      <c r="N88" s="19"/>
      <c r="O88" s="20" t="s">
        <v>8</v>
      </c>
      <c r="P88" s="20"/>
      <c r="Q88" s="20" t="s">
        <v>14</v>
      </c>
      <c r="R88" s="20" t="s">
        <v>15</v>
      </c>
      <c r="S88" s="20" t="s">
        <v>16</v>
      </c>
      <c r="T88" s="20" t="s">
        <v>17</v>
      </c>
      <c r="U88" s="20" t="s">
        <v>18</v>
      </c>
    </row>
    <row r="89" spans="1:21" x14ac:dyDescent="0.2">
      <c r="A89" s="20" t="s">
        <v>8</v>
      </c>
      <c r="B89" s="20" t="s">
        <v>9</v>
      </c>
      <c r="C89" s="20" t="s">
        <v>10</v>
      </c>
      <c r="D89" s="20" t="s">
        <v>11</v>
      </c>
      <c r="E89" s="20" t="s">
        <v>12</v>
      </c>
      <c r="F89" s="20" t="s">
        <v>11</v>
      </c>
      <c r="G89" s="20" t="s">
        <v>12</v>
      </c>
      <c r="H89" s="20" t="s">
        <v>11</v>
      </c>
      <c r="I89" s="20" t="s">
        <v>12</v>
      </c>
      <c r="J89" s="20" t="s">
        <v>11</v>
      </c>
      <c r="K89" s="20" t="s">
        <v>12</v>
      </c>
      <c r="L89" s="20" t="s">
        <v>11</v>
      </c>
      <c r="M89" s="20" t="s">
        <v>12</v>
      </c>
      <c r="N89" s="19">
        <v>2048</v>
      </c>
      <c r="O89" s="148" t="s">
        <v>37</v>
      </c>
      <c r="P89" s="19" t="s">
        <v>39</v>
      </c>
      <c r="Q89" s="30">
        <f>0.1*E87</f>
        <v>0</v>
      </c>
      <c r="R89" s="19">
        <f>0.03*G87</f>
        <v>198696.62904</v>
      </c>
      <c r="S89" s="19">
        <f>0.03*I87</f>
        <v>198696.62904</v>
      </c>
      <c r="T89" s="19">
        <f>0.03*K87</f>
        <v>198696.62904</v>
      </c>
      <c r="U89" s="19">
        <f>0.03*M87</f>
        <v>397530.31516800006</v>
      </c>
    </row>
    <row r="90" spans="1:21" x14ac:dyDescent="0.2">
      <c r="A90" s="147" t="s">
        <v>42</v>
      </c>
      <c r="B90" s="19" t="s">
        <v>43</v>
      </c>
      <c r="C90" s="19">
        <v>90</v>
      </c>
      <c r="D90" s="30">
        <v>0</v>
      </c>
      <c r="E90" s="30">
        <v>0</v>
      </c>
      <c r="F90" s="19">
        <f>ROUNDDOWN(F79/100*N89,0)</f>
        <v>409</v>
      </c>
      <c r="G90" s="19">
        <f>C90*F90</f>
        <v>36810</v>
      </c>
      <c r="H90" s="19">
        <f>ROUNDDOWN(H79/100*N89,0)</f>
        <v>409</v>
      </c>
      <c r="I90" s="19">
        <f>C90*H90</f>
        <v>36810</v>
      </c>
      <c r="J90" s="19">
        <f>ROUNDDOWN(J79/100*N89,0)</f>
        <v>409</v>
      </c>
      <c r="K90" s="19">
        <f>J90*C90</f>
        <v>36810</v>
      </c>
      <c r="L90" s="19">
        <f>ROUNDDOWN(L79/100*N89,0)</f>
        <v>819</v>
      </c>
      <c r="M90" s="19">
        <f>L90*C90</f>
        <v>73710</v>
      </c>
      <c r="N90" s="19"/>
      <c r="O90" s="148"/>
      <c r="P90" s="19"/>
      <c r="Q90" s="30"/>
      <c r="R90" s="19"/>
      <c r="S90" s="19"/>
      <c r="T90" s="19"/>
      <c r="U90" s="19"/>
    </row>
    <row r="91" spans="1:21" x14ac:dyDescent="0.2">
      <c r="A91" s="147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48"/>
      <c r="P91" s="19"/>
      <c r="Q91" s="30"/>
      <c r="R91" s="19"/>
      <c r="S91" s="19"/>
      <c r="T91" s="19"/>
      <c r="U91" s="19"/>
    </row>
    <row r="92" spans="1:21" x14ac:dyDescent="0.2">
      <c r="A92" s="147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48"/>
      <c r="P92" s="22" t="s">
        <v>29</v>
      </c>
      <c r="Q92" s="31">
        <f>Q89</f>
        <v>0</v>
      </c>
      <c r="R92" s="22">
        <f>R89</f>
        <v>198696.62904</v>
      </c>
      <c r="S92" s="22">
        <f>S89+R92</f>
        <v>397393.25808</v>
      </c>
      <c r="T92" s="22">
        <f>T89+S92</f>
        <v>596089.88711999997</v>
      </c>
      <c r="U92" s="22">
        <f>U89+T92</f>
        <v>993620.20228800003</v>
      </c>
    </row>
    <row r="93" spans="1:21" x14ac:dyDescent="0.2">
      <c r="A93" s="147"/>
      <c r="B93" s="21" t="s">
        <v>26</v>
      </c>
      <c r="C93" s="22"/>
      <c r="D93" s="22"/>
      <c r="E93" s="31">
        <f>0</f>
        <v>0</v>
      </c>
      <c r="F93" s="22"/>
      <c r="G93" s="22">
        <f>G90</f>
        <v>36810</v>
      </c>
      <c r="H93" s="22"/>
      <c r="I93" s="22">
        <f t="shared" ref="I93:M93" si="39">I90</f>
        <v>36810</v>
      </c>
      <c r="J93" s="22"/>
      <c r="K93" s="22">
        <f t="shared" si="39"/>
        <v>36810</v>
      </c>
      <c r="L93" s="22"/>
      <c r="M93" s="22">
        <f t="shared" si="39"/>
        <v>73710</v>
      </c>
      <c r="N93" s="19"/>
      <c r="O93" s="148" t="s">
        <v>42</v>
      </c>
      <c r="P93" s="19" t="s">
        <v>39</v>
      </c>
      <c r="Q93" s="30">
        <f>E95*0.03</f>
        <v>0</v>
      </c>
      <c r="R93" s="19">
        <f>G95*0.03</f>
        <v>1236.8159999999998</v>
      </c>
      <c r="S93" s="19">
        <f>I95*0.03</f>
        <v>1236.8159999999998</v>
      </c>
      <c r="T93" s="19">
        <f>K95*0.03</f>
        <v>1236.8159999999998</v>
      </c>
      <c r="U93" s="19">
        <f>M95*0.03</f>
        <v>2476.6559999999999</v>
      </c>
    </row>
    <row r="94" spans="1:21" x14ac:dyDescent="0.2">
      <c r="A94" s="147"/>
      <c r="B94" s="16" t="s">
        <v>28</v>
      </c>
      <c r="C94" s="22"/>
      <c r="D94" s="22"/>
      <c r="E94" s="31">
        <f>0</f>
        <v>0</v>
      </c>
      <c r="F94" s="22"/>
      <c r="G94" s="22">
        <f>G93*0.12</f>
        <v>4417.2</v>
      </c>
      <c r="H94" s="22"/>
      <c r="I94" s="22">
        <f t="shared" ref="I94:M94" si="40">I93*0.12</f>
        <v>4417.2</v>
      </c>
      <c r="J94" s="22"/>
      <c r="K94" s="22">
        <f t="shared" si="40"/>
        <v>4417.2</v>
      </c>
      <c r="L94" s="22"/>
      <c r="M94" s="22">
        <f t="shared" si="40"/>
        <v>8845.1999999999989</v>
      </c>
      <c r="N94" s="19"/>
      <c r="O94" s="148"/>
      <c r="Q94" s="19"/>
      <c r="R94" s="19"/>
      <c r="S94" s="19"/>
      <c r="T94" s="19"/>
      <c r="U94" s="19"/>
    </row>
    <row r="95" spans="1:21" x14ac:dyDescent="0.2">
      <c r="A95" s="147"/>
      <c r="B95" s="21" t="s">
        <v>30</v>
      </c>
      <c r="C95" s="22"/>
      <c r="D95" s="22"/>
      <c r="E95" s="31">
        <f>0</f>
        <v>0</v>
      </c>
      <c r="F95" s="22"/>
      <c r="G95" s="22">
        <f>G93+G94</f>
        <v>41227.199999999997</v>
      </c>
      <c r="H95" s="22"/>
      <c r="I95" s="22">
        <f t="shared" ref="I95:M95" si="41">I93+I94</f>
        <v>41227.199999999997</v>
      </c>
      <c r="J95" s="22"/>
      <c r="K95" s="22">
        <f t="shared" si="41"/>
        <v>41227.199999999997</v>
      </c>
      <c r="L95" s="22"/>
      <c r="M95" s="22">
        <f t="shared" si="41"/>
        <v>82555.199999999997</v>
      </c>
      <c r="O95" s="148"/>
      <c r="P95" s="19"/>
      <c r="Q95" s="19"/>
      <c r="R95" s="19"/>
      <c r="S95" s="19"/>
      <c r="T95" s="19"/>
      <c r="U95" s="19"/>
    </row>
    <row r="96" spans="1:21" x14ac:dyDescent="0.2">
      <c r="A96" s="19"/>
      <c r="B96" s="19"/>
      <c r="C96" s="19"/>
      <c r="D96" s="144" t="s">
        <v>3</v>
      </c>
      <c r="E96" s="144"/>
      <c r="F96" s="144" t="s">
        <v>4</v>
      </c>
      <c r="G96" s="144"/>
      <c r="H96" s="144" t="s">
        <v>5</v>
      </c>
      <c r="I96" s="144"/>
      <c r="J96" s="144" t="s">
        <v>6</v>
      </c>
      <c r="K96" s="144"/>
      <c r="L96" s="144" t="s">
        <v>7</v>
      </c>
      <c r="M96" s="144"/>
      <c r="N96" s="13">
        <v>18400</v>
      </c>
      <c r="O96" s="148"/>
      <c r="P96" s="22" t="s">
        <v>29</v>
      </c>
      <c r="Q96" s="31">
        <f>Q93</f>
        <v>0</v>
      </c>
      <c r="R96" s="22">
        <f>R93+Q96</f>
        <v>1236.8159999999998</v>
      </c>
      <c r="S96" s="22">
        <f>S93+R96</f>
        <v>2473.6319999999996</v>
      </c>
      <c r="T96" s="22">
        <f>T93+S96</f>
        <v>3710.4479999999994</v>
      </c>
      <c r="U96" s="22">
        <f>U93+T96</f>
        <v>6187.1039999999994</v>
      </c>
    </row>
    <row r="97" spans="1:21" x14ac:dyDescent="0.2">
      <c r="A97" s="15" t="s">
        <v>8</v>
      </c>
      <c r="B97" s="15" t="s">
        <v>9</v>
      </c>
      <c r="C97" s="15" t="s">
        <v>10</v>
      </c>
      <c r="D97" s="15" t="s">
        <v>11</v>
      </c>
      <c r="E97" s="15" t="s">
        <v>12</v>
      </c>
      <c r="F97" s="15" t="s">
        <v>11</v>
      </c>
      <c r="G97" s="15" t="s">
        <v>12</v>
      </c>
      <c r="H97" s="15" t="s">
        <v>11</v>
      </c>
      <c r="I97" s="15" t="s">
        <v>12</v>
      </c>
      <c r="J97" s="15" t="s">
        <v>11</v>
      </c>
      <c r="K97" s="15" t="s">
        <v>12</v>
      </c>
      <c r="L97" s="15" t="s">
        <v>11</v>
      </c>
      <c r="M97" s="15" t="s">
        <v>12</v>
      </c>
      <c r="O97" s="142" t="s">
        <v>44</v>
      </c>
      <c r="P97" s="13" t="s">
        <v>39</v>
      </c>
      <c r="Q97" s="28">
        <f>E103</f>
        <v>0</v>
      </c>
      <c r="R97" s="13">
        <f>G103*0.03</f>
        <v>11128.32</v>
      </c>
      <c r="S97" s="13">
        <f>I103*0.03</f>
        <v>11128.32</v>
      </c>
      <c r="T97" s="13">
        <f>K103*0.03</f>
        <v>11128.32</v>
      </c>
      <c r="U97" s="13">
        <f>M103*0.03</f>
        <v>22256.639999999999</v>
      </c>
    </row>
    <row r="98" spans="1:21" x14ac:dyDescent="0.2">
      <c r="A98" s="145" t="s">
        <v>44</v>
      </c>
      <c r="B98" s="13" t="s">
        <v>46</v>
      </c>
      <c r="C98" s="13">
        <v>90</v>
      </c>
      <c r="D98" s="28">
        <v>0</v>
      </c>
      <c r="E98" s="28">
        <v>0</v>
      </c>
      <c r="F98" s="13">
        <f>ROUNDDOWN(F79/100*N96,0)</f>
        <v>3680</v>
      </c>
      <c r="G98" s="13">
        <f>C98*F98</f>
        <v>331200</v>
      </c>
      <c r="H98" s="13">
        <f>ROUNDDOWN(H79/100*N96,0)</f>
        <v>3680</v>
      </c>
      <c r="I98" s="13">
        <f>H98*C98</f>
        <v>331200</v>
      </c>
      <c r="J98" s="13">
        <f>ROUNDDOWN(J79/100*N96,0)</f>
        <v>3680</v>
      </c>
      <c r="K98" s="13">
        <f>J98*C98</f>
        <v>331200</v>
      </c>
      <c r="L98" s="13">
        <f>ROUNDDOWN(L79/100*N96,0)</f>
        <v>7360</v>
      </c>
      <c r="M98" s="13">
        <f>L98*C98</f>
        <v>662400</v>
      </c>
      <c r="O98" s="142"/>
    </row>
    <row r="99" spans="1:21" x14ac:dyDescent="0.2">
      <c r="A99" s="145"/>
      <c r="O99" s="142"/>
    </row>
    <row r="100" spans="1:21" x14ac:dyDescent="0.2">
      <c r="A100" s="145"/>
      <c r="O100" s="142"/>
      <c r="P100" s="17" t="s">
        <v>29</v>
      </c>
      <c r="Q100" s="29">
        <f>Q97</f>
        <v>0</v>
      </c>
      <c r="R100" s="17">
        <f>R97+Q100</f>
        <v>11128.32</v>
      </c>
      <c r="S100" s="17">
        <f>S97+R100</f>
        <v>22256.639999999999</v>
      </c>
      <c r="T100" s="17">
        <f>T97+S100</f>
        <v>33384.959999999999</v>
      </c>
      <c r="U100" s="17">
        <f>U97+T100</f>
        <v>55641.599999999999</v>
      </c>
    </row>
    <row r="101" spans="1:21" ht="15.75" customHeight="1" x14ac:dyDescent="0.2">
      <c r="A101" s="145"/>
      <c r="B101" s="16" t="s">
        <v>26</v>
      </c>
      <c r="C101" s="17"/>
      <c r="D101" s="17"/>
      <c r="E101" s="29">
        <f>0</f>
        <v>0</v>
      </c>
      <c r="F101" s="17"/>
      <c r="G101" s="17">
        <f>G98</f>
        <v>331200</v>
      </c>
      <c r="H101" s="17"/>
      <c r="I101" s="17">
        <f t="shared" ref="I101:M101" si="42">I98</f>
        <v>331200</v>
      </c>
      <c r="J101" s="17"/>
      <c r="K101" s="17">
        <f t="shared" si="42"/>
        <v>331200</v>
      </c>
      <c r="L101" s="17"/>
      <c r="M101" s="17">
        <f t="shared" si="42"/>
        <v>662400</v>
      </c>
      <c r="O101" s="142" t="s">
        <v>45</v>
      </c>
      <c r="P101" s="13" t="s">
        <v>39</v>
      </c>
      <c r="R101" s="13">
        <f>0.03*G111</f>
        <v>3192</v>
      </c>
      <c r="S101" s="13">
        <f>0.03*I111</f>
        <v>3192</v>
      </c>
      <c r="T101" s="13">
        <f>0.03*K111</f>
        <v>3192</v>
      </c>
      <c r="U101" s="13">
        <f>0.03*M111</f>
        <v>6384</v>
      </c>
    </row>
    <row r="102" spans="1:21" ht="15.75" customHeight="1" x14ac:dyDescent="0.2">
      <c r="A102" s="145"/>
      <c r="B102" s="16" t="s">
        <v>28</v>
      </c>
      <c r="C102" s="17"/>
      <c r="D102" s="17"/>
      <c r="E102" s="29">
        <f>0</f>
        <v>0</v>
      </c>
      <c r="F102" s="17"/>
      <c r="G102" s="17">
        <f>G101*0.12</f>
        <v>39744</v>
      </c>
      <c r="H102" s="17"/>
      <c r="I102" s="17">
        <f t="shared" ref="I102:M102" si="43">I101*0.12</f>
        <v>39744</v>
      </c>
      <c r="J102" s="17"/>
      <c r="K102" s="17">
        <f t="shared" si="43"/>
        <v>39744</v>
      </c>
      <c r="L102" s="17"/>
      <c r="M102" s="17">
        <f t="shared" si="43"/>
        <v>79488</v>
      </c>
      <c r="N102" s="19"/>
      <c r="O102" s="142"/>
    </row>
    <row r="103" spans="1:21" ht="15.75" customHeight="1" x14ac:dyDescent="0.2">
      <c r="A103" s="145"/>
      <c r="B103" s="16" t="s">
        <v>30</v>
      </c>
      <c r="C103" s="17"/>
      <c r="D103" s="17"/>
      <c r="E103" s="29">
        <f>0</f>
        <v>0</v>
      </c>
      <c r="F103" s="17"/>
      <c r="G103" s="17">
        <f>G101+G102</f>
        <v>370944</v>
      </c>
      <c r="H103" s="17"/>
      <c r="I103" s="17">
        <f t="shared" ref="I103:M103" si="44">I101+I102</f>
        <v>370944</v>
      </c>
      <c r="J103" s="17"/>
      <c r="K103" s="17">
        <f t="shared" si="44"/>
        <v>370944</v>
      </c>
      <c r="L103" s="17"/>
      <c r="M103" s="17">
        <f t="shared" si="44"/>
        <v>741888</v>
      </c>
      <c r="N103" s="19"/>
      <c r="O103" s="142"/>
    </row>
    <row r="104" spans="1:21" ht="15.75" customHeight="1" x14ac:dyDescent="0.2">
      <c r="A104" s="19"/>
      <c r="B104" s="19"/>
      <c r="C104" s="19"/>
      <c r="D104" s="144" t="s">
        <v>3</v>
      </c>
      <c r="E104" s="144"/>
      <c r="F104" s="144" t="s">
        <v>4</v>
      </c>
      <c r="G104" s="144"/>
      <c r="H104" s="144" t="s">
        <v>5</v>
      </c>
      <c r="I104" s="144"/>
      <c r="J104" s="144" t="s">
        <v>6</v>
      </c>
      <c r="K104" s="144"/>
      <c r="L104" s="144" t="s">
        <v>7</v>
      </c>
      <c r="M104" s="144"/>
      <c r="O104" s="142"/>
      <c r="P104" s="17" t="s">
        <v>29</v>
      </c>
      <c r="Q104" s="17"/>
      <c r="R104" s="17">
        <f>R101</f>
        <v>3192</v>
      </c>
      <c r="S104" s="17">
        <f>S101+R104</f>
        <v>6384</v>
      </c>
      <c r="T104" s="17">
        <f>T101+S104</f>
        <v>9576</v>
      </c>
      <c r="U104" s="17">
        <f>U101+T104</f>
        <v>15960</v>
      </c>
    </row>
    <row r="105" spans="1:21" x14ac:dyDescent="0.2">
      <c r="A105" s="20" t="s">
        <v>8</v>
      </c>
      <c r="B105" s="20" t="s">
        <v>9</v>
      </c>
      <c r="C105" s="20" t="s">
        <v>10</v>
      </c>
      <c r="D105" s="20" t="s">
        <v>11</v>
      </c>
      <c r="E105" s="20" t="s">
        <v>12</v>
      </c>
      <c r="F105" s="20" t="s">
        <v>11</v>
      </c>
      <c r="G105" s="20" t="s">
        <v>12</v>
      </c>
      <c r="H105" s="20" t="s">
        <v>11</v>
      </c>
      <c r="I105" s="20" t="s">
        <v>12</v>
      </c>
      <c r="J105" s="20" t="s">
        <v>11</v>
      </c>
      <c r="K105" s="20" t="s">
        <v>12</v>
      </c>
      <c r="L105" s="20" t="s">
        <v>11</v>
      </c>
      <c r="M105" s="20" t="s">
        <v>12</v>
      </c>
      <c r="N105" s="19"/>
      <c r="O105" s="142" t="s">
        <v>47</v>
      </c>
      <c r="P105" s="13" t="s">
        <v>48</v>
      </c>
      <c r="Q105" s="28">
        <f>0</f>
        <v>0</v>
      </c>
      <c r="R105" s="13">
        <f>0.03*G117</f>
        <v>76.569023999999999</v>
      </c>
      <c r="S105" s="28">
        <f>0.03*I117</f>
        <v>0</v>
      </c>
      <c r="T105" s="28">
        <f>0.03*K117</f>
        <v>0</v>
      </c>
      <c r="U105" s="28">
        <f>0.03*M117</f>
        <v>0</v>
      </c>
    </row>
    <row r="106" spans="1:21" x14ac:dyDescent="0.2">
      <c r="A106" s="149" t="s">
        <v>45</v>
      </c>
      <c r="B106" s="13" t="s">
        <v>50</v>
      </c>
      <c r="C106" s="13">
        <v>19</v>
      </c>
      <c r="D106" s="28">
        <v>0</v>
      </c>
      <c r="E106" s="28">
        <v>0</v>
      </c>
      <c r="F106" s="13">
        <f>ROUNDDOWN(F1/100*N106,0)</f>
        <v>5000</v>
      </c>
      <c r="G106" s="13">
        <f>C106*F106</f>
        <v>95000</v>
      </c>
      <c r="H106" s="13">
        <f>ROUNDDOWN(H1/100*N106,0)</f>
        <v>5000</v>
      </c>
      <c r="I106" s="13">
        <f>H106*C106</f>
        <v>95000</v>
      </c>
      <c r="J106" s="13">
        <f>ROUNDDOWN(J1/100*N106,0)</f>
        <v>5000</v>
      </c>
      <c r="K106" s="13">
        <f>J106*C106</f>
        <v>95000</v>
      </c>
      <c r="L106" s="13">
        <f>ROUNDDOWN(L1/100*N106,0)</f>
        <v>10000</v>
      </c>
      <c r="M106" s="13">
        <f>L106*C106</f>
        <v>190000</v>
      </c>
      <c r="N106" s="13">
        <v>25000</v>
      </c>
      <c r="O106" s="142"/>
      <c r="P106" s="13" t="s">
        <v>49</v>
      </c>
      <c r="R106" s="13">
        <f>$E$159</f>
        <v>6000</v>
      </c>
      <c r="S106" s="13">
        <f>$E$159</f>
        <v>6000</v>
      </c>
      <c r="T106" s="13">
        <f>$E$159</f>
        <v>6000</v>
      </c>
      <c r="U106" s="13">
        <f>$E$159</f>
        <v>6000</v>
      </c>
    </row>
    <row r="107" spans="1:21" x14ac:dyDescent="0.2">
      <c r="A107" s="149"/>
      <c r="N107" s="19"/>
      <c r="O107" s="142"/>
      <c r="S107" s="28"/>
      <c r="T107" s="28"/>
      <c r="U107" s="28"/>
    </row>
    <row r="108" spans="1:21" x14ac:dyDescent="0.2">
      <c r="A108" s="149"/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42"/>
      <c r="P108" s="17" t="s">
        <v>29</v>
      </c>
      <c r="Q108" s="29">
        <f>SUM(Q105,Q106)</f>
        <v>0</v>
      </c>
      <c r="R108" s="29">
        <f>SUM(R105,R106)</f>
        <v>6076.5690240000004</v>
      </c>
      <c r="S108" s="29">
        <f>SUM(S105,S106)+R105</f>
        <v>6076.5690240000004</v>
      </c>
      <c r="T108" s="29">
        <f>SUM(T105,T106)+R105</f>
        <v>6076.5690240000004</v>
      </c>
      <c r="U108" s="29">
        <f>SUM(U105,U106)+R105</f>
        <v>6076.5690240000004</v>
      </c>
    </row>
    <row r="109" spans="1:21" x14ac:dyDescent="0.2">
      <c r="A109" s="149"/>
      <c r="B109" s="21" t="s">
        <v>26</v>
      </c>
      <c r="C109" s="22"/>
      <c r="D109" s="22"/>
      <c r="E109" s="22"/>
      <c r="F109" s="22"/>
      <c r="G109" s="17">
        <f>G106</f>
        <v>95000</v>
      </c>
      <c r="H109" s="22"/>
      <c r="I109" s="17">
        <f>I106</f>
        <v>95000</v>
      </c>
      <c r="J109" s="22"/>
      <c r="K109" s="17">
        <f>K106</f>
        <v>95000</v>
      </c>
      <c r="L109" s="22"/>
      <c r="M109" s="17">
        <f>M106</f>
        <v>190000</v>
      </c>
      <c r="N109" s="19"/>
      <c r="P109" s="18" t="s">
        <v>29</v>
      </c>
      <c r="Q109" s="37">
        <f>SUM(Q92,Q96,Q100,Q108)</f>
        <v>0</v>
      </c>
      <c r="R109" s="18">
        <f>SUM(R92,R96,R100,R108,R104)</f>
        <v>220330.334064</v>
      </c>
      <c r="S109" s="18">
        <f>SUM(S92,S96,S100,S108,S104)</f>
        <v>434584.09910400002</v>
      </c>
      <c r="T109" s="18">
        <f>SUM(T92,T96,T100,T108,T104)</f>
        <v>648837.86414399988</v>
      </c>
      <c r="U109" s="18">
        <f>SUM(U92,U96,U100,U108,U104)</f>
        <v>1077485.4753120001</v>
      </c>
    </row>
    <row r="110" spans="1:21" x14ac:dyDescent="0.2">
      <c r="A110" s="149"/>
      <c r="B110" s="21" t="s">
        <v>51</v>
      </c>
      <c r="C110" s="22"/>
      <c r="D110" s="22"/>
      <c r="E110" s="22"/>
      <c r="F110" s="22"/>
      <c r="G110" s="17">
        <f>0.12*G109</f>
        <v>11400</v>
      </c>
      <c r="H110" s="22"/>
      <c r="I110" s="17">
        <f>0.12*I109</f>
        <v>11400</v>
      </c>
      <c r="J110" s="22"/>
      <c r="K110" s="17">
        <f>0.12*K109</f>
        <v>11400</v>
      </c>
      <c r="L110" s="22"/>
      <c r="M110" s="17">
        <f>0.12*M109</f>
        <v>22800</v>
      </c>
      <c r="N110" s="19"/>
    </row>
    <row r="111" spans="1:21" x14ac:dyDescent="0.2">
      <c r="A111" s="149"/>
      <c r="B111" s="21" t="s">
        <v>30</v>
      </c>
      <c r="C111" s="22"/>
      <c r="D111" s="22"/>
      <c r="E111" s="22"/>
      <c r="F111" s="22"/>
      <c r="G111" s="17">
        <f>G109+G110</f>
        <v>106400</v>
      </c>
      <c r="H111" s="22"/>
      <c r="I111" s="17">
        <f>I109+I110</f>
        <v>106400</v>
      </c>
      <c r="J111" s="22"/>
      <c r="K111" s="17">
        <f>K109+K110</f>
        <v>106400</v>
      </c>
      <c r="L111" s="22"/>
      <c r="M111" s="17">
        <f>M109+M110</f>
        <v>212800</v>
      </c>
      <c r="N111" s="19"/>
    </row>
    <row r="112" spans="1:21" x14ac:dyDescent="0.2">
      <c r="A112" s="19"/>
      <c r="B112" s="19"/>
      <c r="C112" s="19"/>
      <c r="D112" s="144" t="s">
        <v>3</v>
      </c>
      <c r="E112" s="144"/>
      <c r="F112" s="144" t="s">
        <v>4</v>
      </c>
      <c r="G112" s="144"/>
      <c r="H112" s="144" t="s">
        <v>5</v>
      </c>
      <c r="I112" s="144"/>
      <c r="J112" s="144" t="s">
        <v>6</v>
      </c>
      <c r="K112" s="144"/>
      <c r="L112" s="144" t="s">
        <v>7</v>
      </c>
      <c r="M112" s="144"/>
      <c r="N112" s="19"/>
    </row>
    <row r="113" spans="1:19" x14ac:dyDescent="0.2">
      <c r="A113" s="20" t="s">
        <v>8</v>
      </c>
      <c r="B113" s="20" t="s">
        <v>9</v>
      </c>
      <c r="C113" s="20" t="s">
        <v>52</v>
      </c>
      <c r="D113" s="20" t="s">
        <v>11</v>
      </c>
      <c r="E113" s="20" t="s">
        <v>12</v>
      </c>
      <c r="F113" s="20" t="s">
        <v>11</v>
      </c>
      <c r="G113" s="20" t="s">
        <v>12</v>
      </c>
      <c r="H113" s="20" t="s">
        <v>11</v>
      </c>
      <c r="I113" s="20" t="s">
        <v>12</v>
      </c>
      <c r="J113" s="20" t="s">
        <v>11</v>
      </c>
      <c r="K113" s="20" t="s">
        <v>12</v>
      </c>
      <c r="L113" s="20" t="s">
        <v>11</v>
      </c>
      <c r="M113" s="20" t="s">
        <v>12</v>
      </c>
      <c r="N113" s="19"/>
    </row>
    <row r="114" spans="1:19" x14ac:dyDescent="0.2">
      <c r="A114" s="147" t="s">
        <v>53</v>
      </c>
      <c r="B114" s="19" t="s">
        <v>54</v>
      </c>
      <c r="C114" s="19">
        <f>C36</f>
        <v>2278.84</v>
      </c>
      <c r="D114" s="30">
        <v>0</v>
      </c>
      <c r="E114" s="30">
        <f>C114*D114</f>
        <v>0</v>
      </c>
      <c r="F114" s="30">
        <v>1</v>
      </c>
      <c r="G114" s="30">
        <f>F114*C114</f>
        <v>2278.84</v>
      </c>
      <c r="H114" s="30">
        <v>0</v>
      </c>
      <c r="I114" s="30">
        <f>H114*C114</f>
        <v>0</v>
      </c>
      <c r="J114" s="30">
        <v>0</v>
      </c>
      <c r="K114" s="30">
        <f>J114*C114</f>
        <v>0</v>
      </c>
      <c r="L114" s="30">
        <v>0</v>
      </c>
      <c r="M114" s="30">
        <f>L114*C114</f>
        <v>0</v>
      </c>
      <c r="N114" s="19"/>
    </row>
    <row r="115" spans="1:19" x14ac:dyDescent="0.2">
      <c r="A115" s="147"/>
      <c r="B115" s="21" t="s">
        <v>26</v>
      </c>
      <c r="C115" s="21"/>
      <c r="D115" s="31"/>
      <c r="E115" s="31">
        <f>E114</f>
        <v>0</v>
      </c>
      <c r="F115" s="31"/>
      <c r="G115" s="31">
        <f>G114</f>
        <v>2278.84</v>
      </c>
      <c r="H115" s="31"/>
      <c r="I115" s="31">
        <f t="shared" ref="I115" si="45">I114</f>
        <v>0</v>
      </c>
      <c r="J115" s="31"/>
      <c r="K115" s="31">
        <f t="shared" ref="K115" si="46">K114</f>
        <v>0</v>
      </c>
      <c r="L115" s="31"/>
      <c r="M115" s="31">
        <f t="shared" ref="M115" si="47">M114</f>
        <v>0</v>
      </c>
      <c r="N115" s="19"/>
    </row>
    <row r="116" spans="1:19" x14ac:dyDescent="0.2">
      <c r="A116" s="147"/>
      <c r="B116" s="21" t="s">
        <v>51</v>
      </c>
      <c r="C116" s="22"/>
      <c r="D116" s="31"/>
      <c r="E116" s="31">
        <f>0.12*E115</f>
        <v>0</v>
      </c>
      <c r="F116" s="31"/>
      <c r="G116" s="31">
        <f>G115*0.12</f>
        <v>273.46080000000001</v>
      </c>
      <c r="H116" s="31"/>
      <c r="I116" s="31">
        <f>I115*0.12</f>
        <v>0</v>
      </c>
      <c r="J116" s="31"/>
      <c r="K116" s="31">
        <f>K115*0.12</f>
        <v>0</v>
      </c>
      <c r="L116" s="31"/>
      <c r="M116" s="31">
        <f>M115*0.12</f>
        <v>0</v>
      </c>
    </row>
    <row r="117" spans="1:19" x14ac:dyDescent="0.2">
      <c r="A117" s="147"/>
      <c r="B117" s="21" t="s">
        <v>30</v>
      </c>
      <c r="C117" s="21"/>
      <c r="D117" s="31"/>
      <c r="E117" s="31">
        <f>E115+E116</f>
        <v>0</v>
      </c>
      <c r="F117" s="31"/>
      <c r="G117" s="31">
        <f>G116+G115</f>
        <v>2552.3008</v>
      </c>
      <c r="H117" s="31"/>
      <c r="I117" s="31">
        <f t="shared" ref="I117" si="48">I116+I115</f>
        <v>0</v>
      </c>
      <c r="J117" s="31"/>
      <c r="K117" s="31">
        <f t="shared" ref="K117" si="49">K116+K115</f>
        <v>0</v>
      </c>
      <c r="L117" s="31"/>
      <c r="M117" s="31">
        <f t="shared" ref="M117" si="50">M116+M115</f>
        <v>0</v>
      </c>
      <c r="N117" s="19"/>
    </row>
    <row r="118" spans="1:19" x14ac:dyDescent="0.2">
      <c r="D118" s="28">
        <v>0</v>
      </c>
      <c r="E118" s="13" t="s">
        <v>32</v>
      </c>
      <c r="F118" s="13">
        <v>20</v>
      </c>
      <c r="G118" s="13" t="s">
        <v>32</v>
      </c>
      <c r="H118" s="13">
        <v>20</v>
      </c>
      <c r="I118" s="13" t="s">
        <v>32</v>
      </c>
      <c r="J118" s="13">
        <v>20</v>
      </c>
      <c r="K118" s="13" t="s">
        <v>32</v>
      </c>
      <c r="L118" s="13">
        <v>40</v>
      </c>
      <c r="M118" s="13" t="s">
        <v>32</v>
      </c>
      <c r="N118" s="19"/>
      <c r="O118" s="19"/>
      <c r="P118" s="19"/>
      <c r="Q118" s="19"/>
      <c r="R118" s="19"/>
      <c r="S118" s="19"/>
    </row>
    <row r="119" spans="1:19" x14ac:dyDescent="0.2">
      <c r="A119" s="23" t="s">
        <v>29</v>
      </c>
      <c r="B119" s="19"/>
      <c r="C119" s="19"/>
      <c r="D119" s="144" t="s">
        <v>3</v>
      </c>
      <c r="E119" s="144"/>
      <c r="F119" s="144" t="s">
        <v>4</v>
      </c>
      <c r="G119" s="144"/>
      <c r="H119" s="144" t="s">
        <v>5</v>
      </c>
      <c r="I119" s="144"/>
      <c r="J119" s="144" t="s">
        <v>6</v>
      </c>
      <c r="K119" s="144"/>
      <c r="L119" s="144" t="s">
        <v>7</v>
      </c>
      <c r="M119" s="144"/>
      <c r="N119" s="19"/>
      <c r="O119" s="19"/>
      <c r="P119" s="19"/>
      <c r="Q119" s="19"/>
      <c r="R119" s="19"/>
      <c r="S119" s="19"/>
    </row>
    <row r="120" spans="1:19" x14ac:dyDescent="0.2">
      <c r="A120" s="20" t="s">
        <v>8</v>
      </c>
      <c r="B120" s="20" t="s">
        <v>9</v>
      </c>
      <c r="C120" s="20" t="s">
        <v>10</v>
      </c>
      <c r="D120" s="20" t="s">
        <v>11</v>
      </c>
      <c r="E120" s="20" t="s">
        <v>12</v>
      </c>
      <c r="F120" s="20" t="s">
        <v>11</v>
      </c>
      <c r="G120" s="20" t="s">
        <v>12</v>
      </c>
      <c r="H120" s="20" t="s">
        <v>11</v>
      </c>
      <c r="I120" s="20" t="s">
        <v>12</v>
      </c>
      <c r="J120" s="20" t="s">
        <v>11</v>
      </c>
      <c r="K120" s="20" t="s">
        <v>12</v>
      </c>
      <c r="L120" s="20" t="s">
        <v>11</v>
      </c>
      <c r="M120" s="20" t="s">
        <v>12</v>
      </c>
      <c r="N120" s="19"/>
      <c r="O120" s="19"/>
      <c r="P120" s="19"/>
      <c r="Q120" s="19"/>
      <c r="R120" s="19"/>
      <c r="S120" s="19"/>
    </row>
    <row r="121" spans="1:19" x14ac:dyDescent="0.2">
      <c r="A121" s="147" t="s">
        <v>37</v>
      </c>
      <c r="B121" s="19" t="s">
        <v>38</v>
      </c>
      <c r="C121" s="19">
        <f>C4</f>
        <v>17.77</v>
      </c>
      <c r="D121" s="30">
        <f>D4+D43+D82</f>
        <v>0</v>
      </c>
      <c r="E121" s="30">
        <f>C121*D121</f>
        <v>0</v>
      </c>
      <c r="F121" s="19">
        <f>F4+F43+F82</f>
        <v>12544</v>
      </c>
      <c r="G121" s="19">
        <f>C121*F121</f>
        <v>222906.88</v>
      </c>
      <c r="H121" s="19">
        <f>H4+H43+H82</f>
        <v>12544</v>
      </c>
      <c r="I121" s="19">
        <f>C121*H121</f>
        <v>222906.88</v>
      </c>
      <c r="J121" s="19">
        <f>J4+J43+J82</f>
        <v>12544</v>
      </c>
      <c r="K121" s="19">
        <f>C121*J121</f>
        <v>222906.88</v>
      </c>
      <c r="L121" s="19">
        <f>L4+L43+L82</f>
        <v>25099</v>
      </c>
      <c r="M121" s="19">
        <f>C121*L121</f>
        <v>446009.23</v>
      </c>
      <c r="N121" s="19"/>
      <c r="O121" s="19"/>
      <c r="P121" s="19"/>
      <c r="Q121" s="19"/>
      <c r="R121" s="19"/>
      <c r="S121" s="19"/>
    </row>
    <row r="122" spans="1:19" x14ac:dyDescent="0.2">
      <c r="A122" s="147"/>
      <c r="B122" s="19" t="s">
        <v>40</v>
      </c>
      <c r="C122" s="19">
        <f>C5</f>
        <v>2</v>
      </c>
      <c r="D122" s="30">
        <f>D5+D44+D83</f>
        <v>0</v>
      </c>
      <c r="E122" s="30">
        <v>0</v>
      </c>
      <c r="F122" s="19">
        <f>F5+F44+F83</f>
        <v>101494</v>
      </c>
      <c r="G122" s="19">
        <f t="shared" ref="G122:G123" si="51">C122*F122</f>
        <v>202988</v>
      </c>
      <c r="H122" s="19">
        <f>H5+H44+H83</f>
        <v>101494</v>
      </c>
      <c r="I122" s="19">
        <f t="shared" ref="I122:I123" si="52">C122*H122</f>
        <v>202988</v>
      </c>
      <c r="J122" s="19">
        <f>J5+J44+J83</f>
        <v>101494</v>
      </c>
      <c r="K122" s="19">
        <f t="shared" ref="K122:K123" si="53">C122*J122</f>
        <v>202988</v>
      </c>
      <c r="L122" s="19">
        <f>L5+L44+L83</f>
        <v>202993</v>
      </c>
      <c r="M122" s="19">
        <f>C122*L122</f>
        <v>405986</v>
      </c>
      <c r="N122" s="19"/>
      <c r="O122" s="19"/>
      <c r="P122" s="19"/>
      <c r="Q122" s="19"/>
      <c r="R122" s="19"/>
      <c r="S122" s="19"/>
    </row>
    <row r="123" spans="1:19" x14ac:dyDescent="0.2">
      <c r="A123" s="147"/>
      <c r="B123" s="13" t="s">
        <v>41</v>
      </c>
      <c r="C123" s="19">
        <f>C6</f>
        <v>1000</v>
      </c>
      <c r="D123" s="30">
        <f>D6+D45+D84</f>
        <v>0</v>
      </c>
      <c r="E123" s="30">
        <v>0</v>
      </c>
      <c r="F123" s="19">
        <f>F6+F45+F84</f>
        <v>12544</v>
      </c>
      <c r="G123" s="19">
        <f t="shared" si="51"/>
        <v>12544000</v>
      </c>
      <c r="H123" s="19">
        <f>H6+H45+H84</f>
        <v>12544</v>
      </c>
      <c r="I123" s="19">
        <f t="shared" si="52"/>
        <v>12544000</v>
      </c>
      <c r="J123" s="19">
        <f>J6+J45+J84</f>
        <v>12544</v>
      </c>
      <c r="K123" s="19">
        <f t="shared" si="53"/>
        <v>12544000</v>
      </c>
      <c r="L123" s="19">
        <f>L6+L45+L84</f>
        <v>25099</v>
      </c>
      <c r="M123" s="19">
        <f t="shared" ref="M123" si="54">C123*L123</f>
        <v>25099000</v>
      </c>
      <c r="N123" s="19"/>
      <c r="O123" s="19"/>
      <c r="P123" s="19"/>
      <c r="Q123" s="19"/>
      <c r="R123" s="19"/>
      <c r="S123" s="19"/>
    </row>
    <row r="124" spans="1:19" x14ac:dyDescent="0.2">
      <c r="A124" s="147"/>
      <c r="B124" s="21" t="s">
        <v>26</v>
      </c>
      <c r="C124" s="22"/>
      <c r="D124" s="31"/>
      <c r="E124" s="31">
        <f>SUM(E121:E123)</f>
        <v>0</v>
      </c>
      <c r="F124" s="22"/>
      <c r="G124" s="22">
        <f>SUM(G121:G123)</f>
        <v>12969894.880000001</v>
      </c>
      <c r="H124" s="22"/>
      <c r="I124" s="22">
        <f>SUM(I121:I123)</f>
        <v>12969894.880000001</v>
      </c>
      <c r="J124" s="22"/>
      <c r="K124" s="22">
        <f>SUM(K121:K123)</f>
        <v>12969894.880000001</v>
      </c>
      <c r="L124" s="22"/>
      <c r="M124" s="22">
        <f>SUM(M121:M123)</f>
        <v>25950995.23</v>
      </c>
      <c r="N124" s="19"/>
      <c r="O124" s="19"/>
      <c r="P124" s="19"/>
      <c r="Q124" s="19"/>
      <c r="R124" s="19"/>
      <c r="S124" s="19"/>
    </row>
    <row r="125" spans="1:19" x14ac:dyDescent="0.2">
      <c r="A125" s="147"/>
      <c r="B125" s="21" t="s">
        <v>28</v>
      </c>
      <c r="C125" s="22"/>
      <c r="D125" s="31"/>
      <c r="E125" s="31">
        <f>0.12*E124</f>
        <v>0</v>
      </c>
      <c r="F125" s="22"/>
      <c r="G125" s="22">
        <f>0.12*G124</f>
        <v>1556387.3856000002</v>
      </c>
      <c r="H125" s="22"/>
      <c r="I125" s="22">
        <f>0.12*I124</f>
        <v>1556387.3856000002</v>
      </c>
      <c r="J125" s="22"/>
      <c r="K125" s="22">
        <f>0.12*K124</f>
        <v>1556387.3856000002</v>
      </c>
      <c r="L125" s="22"/>
      <c r="M125" s="22">
        <f>0.12*M124</f>
        <v>3114119.4276000001</v>
      </c>
      <c r="N125" s="19"/>
      <c r="O125" s="19"/>
      <c r="P125" s="19"/>
      <c r="Q125" s="19"/>
      <c r="R125" s="19"/>
      <c r="S125" s="19"/>
    </row>
    <row r="126" spans="1:19" x14ac:dyDescent="0.2">
      <c r="A126" s="147"/>
      <c r="B126" s="21" t="s">
        <v>30</v>
      </c>
      <c r="C126" s="22"/>
      <c r="D126" s="150">
        <f>SUM(E124:E125)</f>
        <v>0</v>
      </c>
      <c r="E126" s="150"/>
      <c r="F126" s="17"/>
      <c r="G126" s="73">
        <f>SUM(G124:G125)</f>
        <v>14526282.265600001</v>
      </c>
      <c r="H126" s="17"/>
      <c r="I126" s="73">
        <f>SUM(I124:I125)</f>
        <v>14526282.265600001</v>
      </c>
      <c r="J126" s="17"/>
      <c r="K126" s="73">
        <f>SUM(K124:K125)</f>
        <v>14526282.265600001</v>
      </c>
      <c r="L126" s="17"/>
      <c r="M126" s="73">
        <f>SUM(M124:M125)</f>
        <v>29065114.657600001</v>
      </c>
      <c r="N126" s="19"/>
      <c r="O126" s="19"/>
      <c r="P126" s="19"/>
      <c r="Q126" s="19"/>
      <c r="R126" s="19"/>
      <c r="S126" s="19"/>
    </row>
    <row r="127" spans="1:19" x14ac:dyDescent="0.2">
      <c r="A127" s="19"/>
      <c r="B127" s="19"/>
      <c r="C127" s="19"/>
      <c r="D127" s="144" t="s">
        <v>3</v>
      </c>
      <c r="E127" s="144"/>
      <c r="F127" s="144" t="s">
        <v>4</v>
      </c>
      <c r="G127" s="144"/>
      <c r="H127" s="144" t="s">
        <v>5</v>
      </c>
      <c r="I127" s="144"/>
      <c r="J127" s="144" t="s">
        <v>6</v>
      </c>
      <c r="K127" s="144"/>
      <c r="L127" s="144" t="s">
        <v>7</v>
      </c>
      <c r="M127" s="144"/>
      <c r="N127" s="19"/>
      <c r="O127" s="19"/>
      <c r="P127" s="19"/>
      <c r="Q127" s="19"/>
      <c r="R127" s="19"/>
      <c r="S127" s="19"/>
    </row>
    <row r="128" spans="1:19" x14ac:dyDescent="0.2">
      <c r="A128" s="20" t="s">
        <v>8</v>
      </c>
      <c r="B128" s="20" t="s">
        <v>9</v>
      </c>
      <c r="C128" s="20" t="s">
        <v>10</v>
      </c>
      <c r="D128" s="20" t="s">
        <v>11</v>
      </c>
      <c r="E128" s="20" t="s">
        <v>12</v>
      </c>
      <c r="F128" s="20" t="s">
        <v>11</v>
      </c>
      <c r="G128" s="20" t="s">
        <v>12</v>
      </c>
      <c r="H128" s="20" t="s">
        <v>11</v>
      </c>
      <c r="I128" s="20" t="s">
        <v>12</v>
      </c>
      <c r="J128" s="20" t="s">
        <v>11</v>
      </c>
      <c r="K128" s="20" t="s">
        <v>12</v>
      </c>
      <c r="L128" s="20" t="s">
        <v>11</v>
      </c>
      <c r="M128" s="20" t="s">
        <v>12</v>
      </c>
      <c r="N128" s="19"/>
      <c r="O128" s="19"/>
      <c r="P128" s="19"/>
      <c r="Q128" s="19"/>
      <c r="R128" s="19"/>
      <c r="S128" s="19"/>
    </row>
    <row r="129" spans="1:21" x14ac:dyDescent="0.2">
      <c r="A129" s="147" t="s">
        <v>42</v>
      </c>
      <c r="B129" s="19" t="s">
        <v>43</v>
      </c>
      <c r="C129" s="19">
        <v>90</v>
      </c>
      <c r="D129" s="30">
        <v>0</v>
      </c>
      <c r="E129" s="30">
        <v>0</v>
      </c>
      <c r="F129" s="19">
        <f>F12+F51+F90</f>
        <v>2733</v>
      </c>
      <c r="G129" s="19">
        <f>F129*C129</f>
        <v>245970</v>
      </c>
      <c r="H129" s="19">
        <f>H90+H51+H12</f>
        <v>2733</v>
      </c>
      <c r="I129" s="19">
        <f>H129*C129</f>
        <v>245970</v>
      </c>
      <c r="J129" s="19">
        <f>J12+J51+J90</f>
        <v>2733</v>
      </c>
      <c r="K129" s="19">
        <f>J129*C129</f>
        <v>245970</v>
      </c>
      <c r="L129" s="19">
        <f>L12+L51+L90</f>
        <v>5467</v>
      </c>
      <c r="M129" s="19">
        <f>L129*C129</f>
        <v>492030</v>
      </c>
      <c r="N129" s="19"/>
    </row>
    <row r="130" spans="1:21" x14ac:dyDescent="0.2">
      <c r="A130" s="147"/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20" t="s">
        <v>8</v>
      </c>
      <c r="P130" s="20"/>
      <c r="Q130" s="20" t="s">
        <v>14</v>
      </c>
      <c r="R130" s="20" t="s">
        <v>15</v>
      </c>
      <c r="S130" s="20" t="s">
        <v>16</v>
      </c>
      <c r="T130" s="20" t="s">
        <v>17</v>
      </c>
      <c r="U130" s="20" t="s">
        <v>18</v>
      </c>
    </row>
    <row r="131" spans="1:21" x14ac:dyDescent="0.2">
      <c r="A131" s="147"/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48" t="s">
        <v>37</v>
      </c>
      <c r="P131" s="19" t="s">
        <v>39</v>
      </c>
      <c r="Q131" s="30">
        <f>0.1*D126</f>
        <v>0</v>
      </c>
      <c r="R131" s="19">
        <f>0.03*G126</f>
        <v>435788.46796800004</v>
      </c>
      <c r="S131" s="19">
        <f>0.03*I126</f>
        <v>435788.46796800004</v>
      </c>
      <c r="T131" s="19">
        <f>0.03*K126</f>
        <v>435788.46796800004</v>
      </c>
      <c r="U131" s="19">
        <f>0.03*M126</f>
        <v>871953.43972799997</v>
      </c>
    </row>
    <row r="132" spans="1:21" x14ac:dyDescent="0.2">
      <c r="A132" s="147"/>
      <c r="B132" s="21" t="s">
        <v>26</v>
      </c>
      <c r="C132" s="22"/>
      <c r="D132" s="22"/>
      <c r="E132" s="31">
        <f>0</f>
        <v>0</v>
      </c>
      <c r="F132" s="22"/>
      <c r="G132" s="22">
        <f>G129</f>
        <v>245970</v>
      </c>
      <c r="H132" s="22"/>
      <c r="I132" s="22">
        <f t="shared" ref="I132:M132" si="55">I129</f>
        <v>245970</v>
      </c>
      <c r="J132" s="22"/>
      <c r="K132" s="22">
        <f t="shared" si="55"/>
        <v>245970</v>
      </c>
      <c r="L132" s="22"/>
      <c r="M132" s="22">
        <f t="shared" si="55"/>
        <v>492030</v>
      </c>
      <c r="N132" s="19"/>
      <c r="O132" s="148"/>
      <c r="P132" s="19"/>
      <c r="Q132" s="30"/>
      <c r="R132" s="19"/>
      <c r="S132" s="19"/>
      <c r="T132" s="19"/>
      <c r="U132" s="19"/>
    </row>
    <row r="133" spans="1:21" x14ac:dyDescent="0.2">
      <c r="A133" s="147"/>
      <c r="B133" s="21" t="s">
        <v>28</v>
      </c>
      <c r="C133" s="22"/>
      <c r="D133" s="22"/>
      <c r="E133" s="31">
        <f>0</f>
        <v>0</v>
      </c>
      <c r="F133" s="22"/>
      <c r="G133" s="22">
        <f>G132*0.12</f>
        <v>29516.399999999998</v>
      </c>
      <c r="H133" s="22"/>
      <c r="I133" s="22">
        <f t="shared" ref="I133:M133" si="56">I132*0.12</f>
        <v>29516.399999999998</v>
      </c>
      <c r="J133" s="22"/>
      <c r="K133" s="22">
        <f t="shared" si="56"/>
        <v>29516.399999999998</v>
      </c>
      <c r="L133" s="22"/>
      <c r="M133" s="22">
        <f t="shared" si="56"/>
        <v>59043.6</v>
      </c>
      <c r="N133" s="19"/>
      <c r="O133" s="148"/>
      <c r="P133" s="19"/>
      <c r="Q133" s="30"/>
      <c r="R133" s="19"/>
      <c r="S133" s="19"/>
      <c r="T133" s="19"/>
      <c r="U133" s="19"/>
    </row>
    <row r="134" spans="1:21" x14ac:dyDescent="0.2">
      <c r="A134" s="147"/>
      <c r="B134" s="21" t="s">
        <v>30</v>
      </c>
      <c r="C134" s="22"/>
      <c r="D134" s="17"/>
      <c r="E134" s="75">
        <f>0</f>
        <v>0</v>
      </c>
      <c r="F134" s="17"/>
      <c r="G134" s="73">
        <f>G132+G133</f>
        <v>275486.40000000002</v>
      </c>
      <c r="H134" s="17"/>
      <c r="I134" s="73">
        <f>I132+I133</f>
        <v>275486.40000000002</v>
      </c>
      <c r="J134" s="17"/>
      <c r="K134" s="73">
        <f>K132+K133</f>
        <v>275486.40000000002</v>
      </c>
      <c r="L134" s="17"/>
      <c r="M134" s="73">
        <f>M132+M133</f>
        <v>551073.6</v>
      </c>
      <c r="N134" s="19"/>
      <c r="O134" s="148"/>
      <c r="P134" s="22" t="s">
        <v>29</v>
      </c>
      <c r="Q134" s="31">
        <f>Q131</f>
        <v>0</v>
      </c>
      <c r="R134" s="22">
        <f>R131</f>
        <v>435788.46796800004</v>
      </c>
      <c r="S134" s="22">
        <f>S131+R134</f>
        <v>871576.93593600008</v>
      </c>
      <c r="T134" s="22">
        <f>T131+S134</f>
        <v>1307365.4039040001</v>
      </c>
      <c r="U134" s="22">
        <f>U131+T134</f>
        <v>2179318.843632</v>
      </c>
    </row>
    <row r="135" spans="1:21" x14ac:dyDescent="0.2">
      <c r="A135" s="19"/>
      <c r="B135" s="19"/>
      <c r="C135" s="19"/>
      <c r="D135" s="144" t="s">
        <v>3</v>
      </c>
      <c r="E135" s="144"/>
      <c r="F135" s="144" t="s">
        <v>4</v>
      </c>
      <c r="G135" s="144"/>
      <c r="H135" s="144" t="s">
        <v>5</v>
      </c>
      <c r="I135" s="144"/>
      <c r="J135" s="144" t="s">
        <v>6</v>
      </c>
      <c r="K135" s="144"/>
      <c r="L135" s="144" t="s">
        <v>7</v>
      </c>
      <c r="M135" s="144"/>
      <c r="N135" s="19"/>
      <c r="O135" s="148" t="s">
        <v>42</v>
      </c>
      <c r="P135" s="19" t="s">
        <v>39</v>
      </c>
      <c r="Q135" s="30">
        <f>E134*0.03</f>
        <v>0</v>
      </c>
      <c r="R135" s="19">
        <f>G134*0.03</f>
        <v>8264.5920000000006</v>
      </c>
      <c r="S135" s="19">
        <f>I134*0.03</f>
        <v>8264.5920000000006</v>
      </c>
      <c r="T135" s="19">
        <f>K134*0.03</f>
        <v>8264.5920000000006</v>
      </c>
      <c r="U135" s="19">
        <f>M134*0.03</f>
        <v>16532.207999999999</v>
      </c>
    </row>
    <row r="136" spans="1:21" x14ac:dyDescent="0.2">
      <c r="A136" s="20" t="s">
        <v>8</v>
      </c>
      <c r="B136" s="20" t="s">
        <v>9</v>
      </c>
      <c r="C136" s="20" t="s">
        <v>10</v>
      </c>
      <c r="D136" s="20" t="s">
        <v>11</v>
      </c>
      <c r="E136" s="20" t="s">
        <v>12</v>
      </c>
      <c r="F136" s="20" t="s">
        <v>11</v>
      </c>
      <c r="G136" s="20" t="s">
        <v>12</v>
      </c>
      <c r="H136" s="20" t="s">
        <v>11</v>
      </c>
      <c r="I136" s="20" t="s">
        <v>12</v>
      </c>
      <c r="J136" s="20" t="s">
        <v>11</v>
      </c>
      <c r="K136" s="20" t="s">
        <v>12</v>
      </c>
      <c r="L136" s="20" t="s">
        <v>11</v>
      </c>
      <c r="M136" s="20" t="s">
        <v>12</v>
      </c>
      <c r="N136" s="19"/>
      <c r="O136" s="148"/>
      <c r="P136" s="19"/>
      <c r="Q136" s="19"/>
      <c r="R136" s="19"/>
      <c r="S136" s="19"/>
      <c r="T136" s="19"/>
      <c r="U136" s="19"/>
    </row>
    <row r="137" spans="1:21" x14ac:dyDescent="0.2">
      <c r="A137" s="147" t="s">
        <v>44</v>
      </c>
      <c r="B137" s="19" t="s">
        <v>46</v>
      </c>
      <c r="C137" s="19">
        <v>90</v>
      </c>
      <c r="D137" s="30">
        <v>0</v>
      </c>
      <c r="E137" s="30">
        <v>0</v>
      </c>
      <c r="F137" s="19">
        <f>F20+F59+F98</f>
        <v>9920</v>
      </c>
      <c r="G137" s="19">
        <f>F137*C137</f>
        <v>892800</v>
      </c>
      <c r="H137" s="19">
        <f>H98+H59+H20</f>
        <v>9920</v>
      </c>
      <c r="I137" s="19">
        <f>H137*C137</f>
        <v>892800</v>
      </c>
      <c r="J137" s="19">
        <f>J20+J59+J98</f>
        <v>9920</v>
      </c>
      <c r="K137" s="19">
        <f>J137*C137</f>
        <v>892800</v>
      </c>
      <c r="L137" s="19">
        <f>L20+L59+L98</f>
        <v>19840</v>
      </c>
      <c r="M137" s="19">
        <f>L137*C137</f>
        <v>1785600</v>
      </c>
      <c r="N137" s="19"/>
      <c r="O137" s="148"/>
      <c r="P137" s="19"/>
      <c r="Q137" s="19"/>
      <c r="R137" s="19"/>
      <c r="S137" s="19"/>
      <c r="T137" s="19"/>
      <c r="U137" s="19"/>
    </row>
    <row r="138" spans="1:21" x14ac:dyDescent="0.2">
      <c r="A138" s="147"/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48"/>
      <c r="P138" s="22" t="s">
        <v>29</v>
      </c>
      <c r="Q138" s="31">
        <f>Q135</f>
        <v>0</v>
      </c>
      <c r="R138" s="31">
        <f>R135+Q138</f>
        <v>8264.5920000000006</v>
      </c>
      <c r="S138" s="31">
        <f>S135+R138</f>
        <v>16529.184000000001</v>
      </c>
      <c r="T138" s="31">
        <f>T135+S138</f>
        <v>24793.776000000002</v>
      </c>
      <c r="U138" s="31">
        <f>U135+T138</f>
        <v>41325.983999999997</v>
      </c>
    </row>
    <row r="139" spans="1:21" x14ac:dyDescent="0.2">
      <c r="A139" s="147"/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O139" s="142" t="s">
        <v>44</v>
      </c>
      <c r="P139" s="13" t="s">
        <v>39</v>
      </c>
      <c r="Q139" s="28">
        <f>E142*0.03</f>
        <v>0</v>
      </c>
      <c r="R139" s="13">
        <f>G142*0.03</f>
        <v>29998.079999999998</v>
      </c>
      <c r="S139" s="13">
        <f>I142*0.03</f>
        <v>29998.079999999998</v>
      </c>
      <c r="T139" s="13">
        <f>K142*0.03</f>
        <v>29998.079999999998</v>
      </c>
      <c r="U139" s="13">
        <f>M142*0.03</f>
        <v>59996.159999999996</v>
      </c>
    </row>
    <row r="140" spans="1:21" x14ac:dyDescent="0.2">
      <c r="A140" s="147"/>
      <c r="B140" s="21" t="s">
        <v>26</v>
      </c>
      <c r="C140" s="31"/>
      <c r="D140" s="31"/>
      <c r="E140" s="31">
        <v>0</v>
      </c>
      <c r="F140" s="31"/>
      <c r="G140" s="22">
        <f>G137</f>
        <v>892800</v>
      </c>
      <c r="H140" s="22"/>
      <c r="I140" s="22">
        <f>I137</f>
        <v>892800</v>
      </c>
      <c r="J140" s="22"/>
      <c r="K140" s="22">
        <f>K137</f>
        <v>892800</v>
      </c>
      <c r="L140" s="22"/>
      <c r="M140" s="22">
        <f>M137</f>
        <v>1785600</v>
      </c>
      <c r="O140" s="142"/>
    </row>
    <row r="141" spans="1:21" x14ac:dyDescent="0.2">
      <c r="A141" s="147"/>
      <c r="B141" s="16" t="s">
        <v>28</v>
      </c>
      <c r="C141" s="31"/>
      <c r="D141" s="31"/>
      <c r="E141" s="31">
        <v>0</v>
      </c>
      <c r="F141" s="31"/>
      <c r="G141" s="22">
        <f>G140*0.12</f>
        <v>107136</v>
      </c>
      <c r="H141" s="22"/>
      <c r="I141" s="22">
        <f t="shared" ref="I141:M141" si="57">I140*0.12</f>
        <v>107136</v>
      </c>
      <c r="J141" s="22"/>
      <c r="K141" s="22">
        <f t="shared" si="57"/>
        <v>107136</v>
      </c>
      <c r="L141" s="22"/>
      <c r="M141" s="22">
        <f t="shared" si="57"/>
        <v>214272</v>
      </c>
      <c r="O141" s="142"/>
    </row>
    <row r="142" spans="1:21" x14ac:dyDescent="0.2">
      <c r="A142" s="147"/>
      <c r="B142" s="21" t="s">
        <v>30</v>
      </c>
      <c r="C142" s="31"/>
      <c r="D142" s="31"/>
      <c r="E142" s="31">
        <v>0</v>
      </c>
      <c r="F142" s="31"/>
      <c r="G142" s="22">
        <f>G140+G141</f>
        <v>999936</v>
      </c>
      <c r="H142" s="22"/>
      <c r="I142" s="22">
        <f t="shared" ref="I142:M142" si="58">I140+I141</f>
        <v>999936</v>
      </c>
      <c r="J142" s="22"/>
      <c r="K142" s="22">
        <f t="shared" si="58"/>
        <v>999936</v>
      </c>
      <c r="L142" s="22"/>
      <c r="M142" s="22">
        <f t="shared" si="58"/>
        <v>1999872</v>
      </c>
      <c r="O142" s="142"/>
      <c r="P142" s="17" t="s">
        <v>29</v>
      </c>
      <c r="Q142" s="29">
        <f>Q139</f>
        <v>0</v>
      </c>
      <c r="R142" s="17">
        <f>R139+Q142</f>
        <v>29998.079999999998</v>
      </c>
      <c r="S142" s="17">
        <f>S139+R142</f>
        <v>59996.159999999996</v>
      </c>
      <c r="T142" s="17">
        <f>T139+S142</f>
        <v>89994.239999999991</v>
      </c>
      <c r="U142" s="17">
        <f>U139+T142</f>
        <v>149990.39999999999</v>
      </c>
    </row>
    <row r="143" spans="1:21" ht="15.75" customHeight="1" x14ac:dyDescent="0.2">
      <c r="A143" s="19"/>
      <c r="B143" s="19"/>
      <c r="C143" s="19"/>
      <c r="D143" s="144" t="s">
        <v>3</v>
      </c>
      <c r="E143" s="144"/>
      <c r="F143" s="144" t="s">
        <v>4</v>
      </c>
      <c r="G143" s="144"/>
      <c r="H143" s="144" t="s">
        <v>5</v>
      </c>
      <c r="I143" s="144"/>
      <c r="J143" s="144" t="s">
        <v>6</v>
      </c>
      <c r="K143" s="144"/>
      <c r="L143" s="144" t="s">
        <v>7</v>
      </c>
      <c r="M143" s="144"/>
      <c r="O143" s="142" t="s">
        <v>45</v>
      </c>
      <c r="P143" s="13" t="s">
        <v>39</v>
      </c>
      <c r="Q143" s="28">
        <v>0</v>
      </c>
      <c r="R143" s="13">
        <f>G150*0.03</f>
        <v>12714.24</v>
      </c>
      <c r="S143" s="13">
        <f>0.03*I150</f>
        <v>12714.24</v>
      </c>
      <c r="T143" s="13">
        <f>0.03*K150</f>
        <v>12714.24</v>
      </c>
      <c r="U143" s="13">
        <f>0.03*M150</f>
        <v>25428.48</v>
      </c>
    </row>
    <row r="144" spans="1:21" ht="15.75" customHeight="1" x14ac:dyDescent="0.2">
      <c r="A144" s="20" t="s">
        <v>8</v>
      </c>
      <c r="B144" s="20" t="s">
        <v>9</v>
      </c>
      <c r="C144" s="20" t="s">
        <v>10</v>
      </c>
      <c r="D144" s="20" t="s">
        <v>11</v>
      </c>
      <c r="E144" s="20" t="s">
        <v>12</v>
      </c>
      <c r="F144" s="20" t="s">
        <v>11</v>
      </c>
      <c r="G144" s="20" t="s">
        <v>12</v>
      </c>
      <c r="H144" s="20" t="s">
        <v>11</v>
      </c>
      <c r="I144" s="20" t="s">
        <v>12</v>
      </c>
      <c r="J144" s="20" t="s">
        <v>11</v>
      </c>
      <c r="K144" s="20" t="s">
        <v>12</v>
      </c>
      <c r="L144" s="20" t="s">
        <v>11</v>
      </c>
      <c r="M144" s="20" t="s">
        <v>12</v>
      </c>
      <c r="O144" s="142"/>
      <c r="Q144" s="28"/>
    </row>
    <row r="145" spans="1:21" x14ac:dyDescent="0.2">
      <c r="A145" s="149" t="s">
        <v>45</v>
      </c>
      <c r="B145" s="13" t="s">
        <v>50</v>
      </c>
      <c r="C145" s="19">
        <v>19</v>
      </c>
      <c r="D145" s="30">
        <v>0</v>
      </c>
      <c r="E145" s="30">
        <v>0</v>
      </c>
      <c r="F145" s="19">
        <f>F106+F28+F67</f>
        <v>13600</v>
      </c>
      <c r="G145" s="19">
        <f>F145*C145</f>
        <v>258400</v>
      </c>
      <c r="H145" s="19">
        <f>H106+H28+H67</f>
        <v>13600</v>
      </c>
      <c r="I145" s="19">
        <f>H145*C145</f>
        <v>258400</v>
      </c>
      <c r="J145" s="19">
        <f>J106+J28+J67</f>
        <v>13600</v>
      </c>
      <c r="K145" s="19">
        <f>J145*C145</f>
        <v>258400</v>
      </c>
      <c r="L145" s="19">
        <f>L106+L28+L67</f>
        <v>27200</v>
      </c>
      <c r="M145" s="19">
        <f>L145*C145</f>
        <v>516800</v>
      </c>
      <c r="O145" s="142"/>
      <c r="Q145" s="28"/>
    </row>
    <row r="146" spans="1:21" ht="15.75" customHeight="1" x14ac:dyDescent="0.2">
      <c r="A146" s="149"/>
      <c r="B146" s="19" t="s">
        <v>57</v>
      </c>
      <c r="C146" s="13">
        <v>30</v>
      </c>
      <c r="D146" s="13" t="s">
        <v>56</v>
      </c>
      <c r="E146" s="13" t="s">
        <v>56</v>
      </c>
      <c r="F146" s="13">
        <f>F68</f>
        <v>4000</v>
      </c>
      <c r="G146" s="13">
        <f>F146*C146</f>
        <v>120000</v>
      </c>
      <c r="H146" s="13">
        <f>H68</f>
        <v>4000</v>
      </c>
      <c r="I146" s="13">
        <f>H146*C146</f>
        <v>120000</v>
      </c>
      <c r="J146" s="13">
        <f>J68</f>
        <v>4000</v>
      </c>
      <c r="K146" s="13">
        <f>J146*C146</f>
        <v>120000</v>
      </c>
      <c r="L146" s="13">
        <f>L68</f>
        <v>8000</v>
      </c>
      <c r="M146" s="13">
        <f>L146*C146</f>
        <v>240000</v>
      </c>
      <c r="O146" s="142"/>
      <c r="P146" s="17" t="s">
        <v>29</v>
      </c>
      <c r="Q146" s="29">
        <f>Q143</f>
        <v>0</v>
      </c>
      <c r="R146" s="17">
        <f>R143</f>
        <v>12714.24</v>
      </c>
      <c r="S146" s="17">
        <f>S143+R146</f>
        <v>25428.48</v>
      </c>
      <c r="T146" s="17">
        <f>T143+S146</f>
        <v>38142.720000000001</v>
      </c>
      <c r="U146" s="17">
        <f>U143+T146</f>
        <v>63571.199999999997</v>
      </c>
    </row>
    <row r="147" spans="1:21" x14ac:dyDescent="0.2">
      <c r="A147" s="149"/>
      <c r="B147" s="19"/>
      <c r="C147" s="19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O147" s="142" t="s">
        <v>47</v>
      </c>
      <c r="P147" s="13" t="s">
        <v>48</v>
      </c>
      <c r="Q147" s="28">
        <f>0</f>
        <v>0</v>
      </c>
      <c r="R147" s="13">
        <f>0.03*G156</f>
        <v>229.70707200000001</v>
      </c>
      <c r="S147" s="28">
        <f>0.03*I156</f>
        <v>0</v>
      </c>
      <c r="T147" s="28">
        <f>0.03*K156</f>
        <v>0</v>
      </c>
      <c r="U147" s="28">
        <f>0.03*M156</f>
        <v>0</v>
      </c>
    </row>
    <row r="148" spans="1:21" x14ac:dyDescent="0.2">
      <c r="A148" s="149"/>
      <c r="B148" s="21" t="s">
        <v>26</v>
      </c>
      <c r="C148" s="22"/>
      <c r="D148" s="22"/>
      <c r="E148" s="22"/>
      <c r="F148" s="22"/>
      <c r="G148" s="22">
        <f>G145+G146</f>
        <v>378400</v>
      </c>
      <c r="H148" s="22"/>
      <c r="I148" s="22">
        <f>I145+I146</f>
        <v>378400</v>
      </c>
      <c r="J148" s="22"/>
      <c r="K148" s="22">
        <f>K145+K146</f>
        <v>378400</v>
      </c>
      <c r="L148" s="22"/>
      <c r="M148" s="22">
        <f>M145+M146</f>
        <v>756800</v>
      </c>
      <c r="O148" s="142"/>
      <c r="P148" s="13" t="s">
        <v>49</v>
      </c>
      <c r="R148" s="13">
        <f>$E$159*3</f>
        <v>18000</v>
      </c>
      <c r="S148" s="13">
        <f>$E$159*3</f>
        <v>18000</v>
      </c>
      <c r="T148" s="13">
        <f>$E$159*3</f>
        <v>18000</v>
      </c>
      <c r="U148" s="13">
        <f>$E$159*3</f>
        <v>18000</v>
      </c>
    </row>
    <row r="149" spans="1:21" x14ac:dyDescent="0.2">
      <c r="A149" s="149"/>
      <c r="B149" s="21" t="s">
        <v>28</v>
      </c>
      <c r="C149" s="22"/>
      <c r="D149" s="22"/>
      <c r="E149" s="22"/>
      <c r="F149" s="22"/>
      <c r="G149" s="22">
        <f>G148*0.12</f>
        <v>45408</v>
      </c>
      <c r="H149" s="22"/>
      <c r="I149" s="22">
        <f>0.12*I148</f>
        <v>45408</v>
      </c>
      <c r="J149" s="22"/>
      <c r="K149" s="22">
        <f>0.12*K148</f>
        <v>45408</v>
      </c>
      <c r="L149" s="22"/>
      <c r="M149" s="22">
        <f>0.12*M148</f>
        <v>90816</v>
      </c>
      <c r="O149" s="142"/>
      <c r="S149" s="28"/>
      <c r="T149" s="28"/>
      <c r="U149" s="28"/>
    </row>
    <row r="150" spans="1:21" x14ac:dyDescent="0.2">
      <c r="A150" s="149"/>
      <c r="B150" s="21" t="s">
        <v>30</v>
      </c>
      <c r="C150" s="22"/>
      <c r="D150" s="22"/>
      <c r="E150" s="22"/>
      <c r="F150" s="22"/>
      <c r="G150" s="22">
        <f>G148+G149</f>
        <v>423808</v>
      </c>
      <c r="H150" s="22"/>
      <c r="I150" s="22">
        <f>I148+I149</f>
        <v>423808</v>
      </c>
      <c r="J150" s="22"/>
      <c r="K150" s="22">
        <f>K148+K149</f>
        <v>423808</v>
      </c>
      <c r="L150" s="22"/>
      <c r="M150" s="22">
        <f>M148+M149</f>
        <v>847616</v>
      </c>
      <c r="O150" s="142"/>
      <c r="P150" s="17" t="s">
        <v>29</v>
      </c>
      <c r="Q150" s="29">
        <f>SUM(Q147,Q148)</f>
        <v>0</v>
      </c>
      <c r="R150" s="29">
        <f>SUM(R147,R148)</f>
        <v>18229.707072000001</v>
      </c>
      <c r="S150" s="29">
        <f>SUM(S147,S148)+R147</f>
        <v>18229.707072000001</v>
      </c>
      <c r="T150" s="29">
        <f>SUM(T147,T148)+R147</f>
        <v>18229.707072000001</v>
      </c>
      <c r="U150" s="29">
        <f>SUM(U147,U148)+R147</f>
        <v>18229.707072000001</v>
      </c>
    </row>
    <row r="151" spans="1:21" x14ac:dyDescent="0.2">
      <c r="P151" s="18" t="s">
        <v>29</v>
      </c>
      <c r="Q151" s="37">
        <f>SUM(Q134,Q138,Q142,Q150)</f>
        <v>0</v>
      </c>
      <c r="R151" s="18">
        <f>SUM(R134,R138,R142,R150,R146)</f>
        <v>504995.08704000007</v>
      </c>
      <c r="S151" s="18">
        <f>SUM(S134,S138,S142,S150,S146)</f>
        <v>991760.46700800012</v>
      </c>
      <c r="T151" s="18">
        <f>SUM(T134,T138,T142,T150,T146)</f>
        <v>1478525.8469760001</v>
      </c>
      <c r="U151" s="18">
        <f>SUM(U134,U138,U142,U150,U146)</f>
        <v>2452436.1347040003</v>
      </c>
    </row>
    <row r="152" spans="1:21" x14ac:dyDescent="0.2">
      <c r="A152" s="20" t="s">
        <v>8</v>
      </c>
      <c r="B152" s="20" t="s">
        <v>9</v>
      </c>
      <c r="C152" s="20" t="s">
        <v>52</v>
      </c>
      <c r="D152" s="20" t="s">
        <v>11</v>
      </c>
      <c r="E152" s="20" t="s">
        <v>12</v>
      </c>
      <c r="F152" s="20" t="s">
        <v>11</v>
      </c>
      <c r="G152" s="20" t="s">
        <v>12</v>
      </c>
      <c r="H152" s="20" t="s">
        <v>11</v>
      </c>
      <c r="I152" s="20" t="s">
        <v>12</v>
      </c>
      <c r="J152" s="20" t="s">
        <v>11</v>
      </c>
      <c r="K152" s="20" t="s">
        <v>12</v>
      </c>
      <c r="L152" s="20" t="s">
        <v>11</v>
      </c>
      <c r="M152" s="20" t="s">
        <v>12</v>
      </c>
      <c r="P152" s="18"/>
      <c r="Q152" s="37"/>
      <c r="R152" s="18"/>
      <c r="S152" s="18"/>
      <c r="T152" s="18"/>
      <c r="U152" s="18"/>
    </row>
    <row r="153" spans="1:21" x14ac:dyDescent="0.2">
      <c r="A153" s="147" t="s">
        <v>53</v>
      </c>
      <c r="B153" s="19" t="s">
        <v>54</v>
      </c>
      <c r="C153" s="19">
        <f>C36</f>
        <v>2278.84</v>
      </c>
      <c r="D153" s="30">
        <v>0</v>
      </c>
      <c r="E153" s="30">
        <f>C153*D153</f>
        <v>0</v>
      </c>
      <c r="F153" s="19">
        <f>SUM(F114,F75,F36)</f>
        <v>3</v>
      </c>
      <c r="G153" s="19">
        <f>F153*C153</f>
        <v>6836.52</v>
      </c>
      <c r="H153" s="30">
        <v>0</v>
      </c>
      <c r="I153" s="30">
        <f>H153*C153</f>
        <v>0</v>
      </c>
      <c r="J153" s="30">
        <v>0</v>
      </c>
      <c r="K153" s="30">
        <f>J153*C153</f>
        <v>0</v>
      </c>
      <c r="L153" s="30">
        <v>0</v>
      </c>
      <c r="M153" s="30">
        <f>L153*C153</f>
        <v>0</v>
      </c>
      <c r="P153" s="18"/>
      <c r="Q153" s="37"/>
      <c r="R153" s="18"/>
      <c r="S153" s="18"/>
      <c r="T153" s="18"/>
      <c r="U153" s="18"/>
    </row>
    <row r="154" spans="1:21" x14ac:dyDescent="0.2">
      <c r="A154" s="147"/>
      <c r="B154" s="21" t="s">
        <v>26</v>
      </c>
      <c r="C154" s="21"/>
      <c r="D154" s="22"/>
      <c r="E154" s="31">
        <f>E153</f>
        <v>0</v>
      </c>
      <c r="F154" s="22"/>
      <c r="G154" s="22">
        <f>G153</f>
        <v>6836.52</v>
      </c>
      <c r="H154" s="31"/>
      <c r="I154" s="31">
        <f t="shared" ref="I154" si="59">I153</f>
        <v>0</v>
      </c>
      <c r="J154" s="31"/>
      <c r="K154" s="31">
        <f t="shared" ref="K154" si="60">K153</f>
        <v>0</v>
      </c>
      <c r="L154" s="31"/>
      <c r="M154" s="31">
        <f t="shared" ref="M154" si="61">M153</f>
        <v>0</v>
      </c>
    </row>
    <row r="155" spans="1:21" x14ac:dyDescent="0.2">
      <c r="A155" s="147"/>
      <c r="B155" s="21" t="s">
        <v>51</v>
      </c>
      <c r="C155" s="22"/>
      <c r="D155" s="22"/>
      <c r="E155" s="31">
        <f>0</f>
        <v>0</v>
      </c>
      <c r="F155" s="22"/>
      <c r="G155" s="22">
        <f>G154*0.12</f>
        <v>820.38240000000008</v>
      </c>
      <c r="H155" s="31"/>
      <c r="I155" s="31">
        <f>I154*0.12</f>
        <v>0</v>
      </c>
      <c r="J155" s="31"/>
      <c r="K155" s="31">
        <f>K154*0.12</f>
        <v>0</v>
      </c>
      <c r="L155" s="31"/>
      <c r="M155" s="31">
        <f>M154*0.12</f>
        <v>0</v>
      </c>
    </row>
    <row r="156" spans="1:21" x14ac:dyDescent="0.2">
      <c r="A156" s="147"/>
      <c r="B156" s="21" t="s">
        <v>30</v>
      </c>
      <c r="C156" s="21"/>
      <c r="D156" s="22"/>
      <c r="E156" s="31">
        <f>0</f>
        <v>0</v>
      </c>
      <c r="F156" s="22"/>
      <c r="G156" s="22">
        <f>G155+G154</f>
        <v>7656.9024000000009</v>
      </c>
      <c r="H156" s="31"/>
      <c r="I156" s="31">
        <f t="shared" ref="I156" si="62">I155+I154</f>
        <v>0</v>
      </c>
      <c r="J156" s="31"/>
      <c r="K156" s="31">
        <f t="shared" ref="K156" si="63">K155+K154</f>
        <v>0</v>
      </c>
      <c r="L156" s="31"/>
      <c r="M156" s="31">
        <f t="shared" ref="M156" si="64">M155+M154</f>
        <v>0</v>
      </c>
    </row>
    <row r="158" spans="1:21" x14ac:dyDescent="0.2">
      <c r="C158" s="13" t="s">
        <v>60</v>
      </c>
      <c r="D158" s="13" t="s">
        <v>61</v>
      </c>
      <c r="E158" s="13" t="s">
        <v>62</v>
      </c>
    </row>
    <row r="159" spans="1:21" ht="34" x14ac:dyDescent="0.2">
      <c r="A159" s="13" t="s">
        <v>63</v>
      </c>
      <c r="B159" s="38" t="s">
        <v>64</v>
      </c>
      <c r="C159" s="13">
        <v>500</v>
      </c>
      <c r="D159" s="13">
        <v>12</v>
      </c>
      <c r="E159" s="13">
        <f>C159*D159</f>
        <v>6000</v>
      </c>
    </row>
    <row r="160" spans="1:21" ht="34" x14ac:dyDescent="0.2">
      <c r="A160" s="13" t="s">
        <v>65</v>
      </c>
      <c r="B160" s="39" t="s">
        <v>66</v>
      </c>
      <c r="C160" s="13" t="s">
        <v>67</v>
      </c>
      <c r="E160" s="19">
        <f>C153</f>
        <v>2278.84</v>
      </c>
    </row>
    <row r="161" spans="1:4" ht="51" x14ac:dyDescent="0.2">
      <c r="A161" s="13" t="s">
        <v>68</v>
      </c>
      <c r="B161" s="39" t="s">
        <v>69</v>
      </c>
      <c r="C161" s="13" t="s">
        <v>70</v>
      </c>
      <c r="D161" s="40">
        <v>17.77</v>
      </c>
    </row>
    <row r="162" spans="1:4" ht="34" x14ac:dyDescent="0.2">
      <c r="A162" s="13" t="s">
        <v>71</v>
      </c>
      <c r="B162" s="39" t="s">
        <v>72</v>
      </c>
    </row>
    <row r="163" spans="1:4" ht="68" x14ac:dyDescent="0.2">
      <c r="A163" s="38" t="s">
        <v>73</v>
      </c>
      <c r="B163" s="39" t="s">
        <v>74</v>
      </c>
    </row>
    <row r="164" spans="1:4" x14ac:dyDescent="0.2">
      <c r="B164" s="38"/>
    </row>
    <row r="165" spans="1:4" x14ac:dyDescent="0.2">
      <c r="B165" s="38"/>
    </row>
  </sheetData>
  <mergeCells count="136">
    <mergeCell ref="A121:A126"/>
    <mergeCell ref="O131:O134"/>
    <mergeCell ref="O135:O138"/>
    <mergeCell ref="D127:E127"/>
    <mergeCell ref="F127:G127"/>
    <mergeCell ref="H127:I127"/>
    <mergeCell ref="J127:K127"/>
    <mergeCell ref="L127:M127"/>
    <mergeCell ref="A153:A156"/>
    <mergeCell ref="L143:M143"/>
    <mergeCell ref="A145:A150"/>
    <mergeCell ref="A129:A134"/>
    <mergeCell ref="D143:E143"/>
    <mergeCell ref="F143:G143"/>
    <mergeCell ref="H143:I143"/>
    <mergeCell ref="J143:K143"/>
    <mergeCell ref="A137:A142"/>
    <mergeCell ref="O139:O142"/>
    <mergeCell ref="O147:O150"/>
    <mergeCell ref="O143:O146"/>
    <mergeCell ref="D126:E126"/>
    <mergeCell ref="A114:A117"/>
    <mergeCell ref="D119:E119"/>
    <mergeCell ref="F119:G119"/>
    <mergeCell ref="H119:I119"/>
    <mergeCell ref="J119:K119"/>
    <mergeCell ref="L104:M104"/>
    <mergeCell ref="A106:A111"/>
    <mergeCell ref="D112:E112"/>
    <mergeCell ref="F112:G112"/>
    <mergeCell ref="H112:I112"/>
    <mergeCell ref="J112:K112"/>
    <mergeCell ref="L112:M112"/>
    <mergeCell ref="L119:M119"/>
    <mergeCell ref="A90:A95"/>
    <mergeCell ref="D104:E104"/>
    <mergeCell ref="F104:G104"/>
    <mergeCell ref="H104:I104"/>
    <mergeCell ref="J104:K104"/>
    <mergeCell ref="L80:M80"/>
    <mergeCell ref="A82:A87"/>
    <mergeCell ref="O89:O92"/>
    <mergeCell ref="O93:O96"/>
    <mergeCell ref="D88:E88"/>
    <mergeCell ref="F88:G88"/>
    <mergeCell ref="H88:I88"/>
    <mergeCell ref="J88:K88"/>
    <mergeCell ref="L88:M88"/>
    <mergeCell ref="O97:O100"/>
    <mergeCell ref="A98:A103"/>
    <mergeCell ref="A75:A78"/>
    <mergeCell ref="D80:E80"/>
    <mergeCell ref="F80:G80"/>
    <mergeCell ref="H80:I80"/>
    <mergeCell ref="J80:K80"/>
    <mergeCell ref="L65:M65"/>
    <mergeCell ref="A67:A72"/>
    <mergeCell ref="D73:E73"/>
    <mergeCell ref="F73:G73"/>
    <mergeCell ref="H73:I73"/>
    <mergeCell ref="J73:K73"/>
    <mergeCell ref="L73:M73"/>
    <mergeCell ref="D65:E65"/>
    <mergeCell ref="F65:G65"/>
    <mergeCell ref="H65:I65"/>
    <mergeCell ref="J65:K65"/>
    <mergeCell ref="A59:A64"/>
    <mergeCell ref="A43:A48"/>
    <mergeCell ref="O47:O50"/>
    <mergeCell ref="D49:E49"/>
    <mergeCell ref="F49:G49"/>
    <mergeCell ref="H49:I49"/>
    <mergeCell ref="J49:K49"/>
    <mergeCell ref="L49:M49"/>
    <mergeCell ref="F41:G41"/>
    <mergeCell ref="H41:I41"/>
    <mergeCell ref="J41:K41"/>
    <mergeCell ref="L41:M41"/>
    <mergeCell ref="O63:O66"/>
    <mergeCell ref="O59:O62"/>
    <mergeCell ref="A28:A33"/>
    <mergeCell ref="D34:E34"/>
    <mergeCell ref="F34:G34"/>
    <mergeCell ref="H34:I34"/>
    <mergeCell ref="A51:A56"/>
    <mergeCell ref="O12:O15"/>
    <mergeCell ref="O55:O58"/>
    <mergeCell ref="D26:E26"/>
    <mergeCell ref="F26:G26"/>
    <mergeCell ref="H26:I26"/>
    <mergeCell ref="J26:K26"/>
    <mergeCell ref="L26:M26"/>
    <mergeCell ref="A20:A25"/>
    <mergeCell ref="J34:K34"/>
    <mergeCell ref="L34:M34"/>
    <mergeCell ref="A36:A39"/>
    <mergeCell ref="D41:E41"/>
    <mergeCell ref="O51:O54"/>
    <mergeCell ref="O16:O19"/>
    <mergeCell ref="O20:O23"/>
    <mergeCell ref="A4:A9"/>
    <mergeCell ref="D2:E2"/>
    <mergeCell ref="F2:G2"/>
    <mergeCell ref="H2:I2"/>
    <mergeCell ref="J2:K2"/>
    <mergeCell ref="L2:M2"/>
    <mergeCell ref="A12:A17"/>
    <mergeCell ref="D18:E18"/>
    <mergeCell ref="F18:G18"/>
    <mergeCell ref="H18:I18"/>
    <mergeCell ref="J18:K18"/>
    <mergeCell ref="L18:M18"/>
    <mergeCell ref="O4:O7"/>
    <mergeCell ref="O8:O11"/>
    <mergeCell ref="D10:E10"/>
    <mergeCell ref="F10:G10"/>
    <mergeCell ref="H10:I10"/>
    <mergeCell ref="J10:K10"/>
    <mergeCell ref="L10:M10"/>
    <mergeCell ref="D135:E135"/>
    <mergeCell ref="F135:G135"/>
    <mergeCell ref="H135:I135"/>
    <mergeCell ref="J135:K135"/>
    <mergeCell ref="L135:M135"/>
    <mergeCell ref="D96:E96"/>
    <mergeCell ref="F96:G96"/>
    <mergeCell ref="H96:I96"/>
    <mergeCell ref="J96:K96"/>
    <mergeCell ref="L96:M96"/>
    <mergeCell ref="D57:E57"/>
    <mergeCell ref="F57:G57"/>
    <mergeCell ref="H57:I57"/>
    <mergeCell ref="J57:K57"/>
    <mergeCell ref="L57:M57"/>
    <mergeCell ref="O105:O108"/>
    <mergeCell ref="O101:O104"/>
  </mergeCells>
  <hyperlinks>
    <hyperlink ref="B160" r:id="rId1" xr:uid="{3B65EA4B-0810-ED49-A502-1F2C344D417B}"/>
    <hyperlink ref="B161" r:id="rId2" xr:uid="{4B61C45E-1CB4-9841-8A59-FBACD3F0858D}"/>
    <hyperlink ref="B162" r:id="rId3" xr:uid="{AA25AF3C-BBDC-FC4E-845D-84193FA89114}"/>
    <hyperlink ref="B163" r:id="rId4" xr:uid="{AC645128-8509-5443-9E85-76DB072A1F6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2C804-76D0-456A-ACF3-01A2DCAADF4D}">
  <dimension ref="A1:W11"/>
  <sheetViews>
    <sheetView topLeftCell="B1" workbookViewId="0">
      <selection activeCell="O1" sqref="O1:O1048576"/>
    </sheetView>
  </sheetViews>
  <sheetFormatPr baseColWidth="10" defaultColWidth="11" defaultRowHeight="16" x14ac:dyDescent="0.2"/>
  <cols>
    <col min="1" max="1" width="16.83203125" bestFit="1" customWidth="1"/>
    <col min="5" max="5" width="10.33203125" customWidth="1"/>
    <col min="8" max="8" width="11" customWidth="1"/>
    <col min="9" max="9" width="14" bestFit="1" customWidth="1"/>
    <col min="16" max="16" width="16.5" bestFit="1" customWidth="1"/>
    <col min="17" max="18" width="11.5" bestFit="1" customWidth="1"/>
    <col min="19" max="23" width="11.33203125" bestFit="1" customWidth="1"/>
  </cols>
  <sheetData>
    <row r="1" spans="1:23" x14ac:dyDescent="0.2">
      <c r="A1" s="2" t="s">
        <v>0</v>
      </c>
    </row>
    <row r="2" spans="1:23" x14ac:dyDescent="0.2">
      <c r="D2" s="141" t="s">
        <v>2</v>
      </c>
      <c r="E2" s="141"/>
      <c r="F2" s="141" t="s">
        <v>3</v>
      </c>
      <c r="G2" s="141"/>
      <c r="H2" s="141" t="s">
        <v>4</v>
      </c>
      <c r="I2" s="141"/>
      <c r="J2" s="141" t="s">
        <v>5</v>
      </c>
      <c r="K2" s="141"/>
      <c r="L2" s="141" t="s">
        <v>6</v>
      </c>
      <c r="M2" s="141"/>
      <c r="N2" s="141" t="s">
        <v>7</v>
      </c>
      <c r="O2" s="141"/>
      <c r="Q2" s="2" t="s">
        <v>1</v>
      </c>
    </row>
    <row r="3" spans="1:23" x14ac:dyDescent="0.2">
      <c r="A3" s="1" t="s">
        <v>8</v>
      </c>
      <c r="B3" s="1" t="s">
        <v>9</v>
      </c>
      <c r="C3" s="1" t="s">
        <v>10</v>
      </c>
      <c r="D3" s="1" t="s">
        <v>11</v>
      </c>
      <c r="E3" s="1" t="s">
        <v>12</v>
      </c>
      <c r="F3" s="1" t="s">
        <v>11</v>
      </c>
      <c r="G3" s="1" t="s">
        <v>12</v>
      </c>
      <c r="H3" s="1" t="s">
        <v>11</v>
      </c>
      <c r="I3" s="1" t="s">
        <v>12</v>
      </c>
      <c r="J3" s="1" t="s">
        <v>11</v>
      </c>
      <c r="K3" s="1" t="s">
        <v>12</v>
      </c>
      <c r="L3" s="1" t="s">
        <v>11</v>
      </c>
      <c r="M3" s="1" t="s">
        <v>12</v>
      </c>
      <c r="N3" s="1" t="s">
        <v>11</v>
      </c>
      <c r="O3" s="1" t="s">
        <v>12</v>
      </c>
      <c r="Q3" s="5" t="s">
        <v>13</v>
      </c>
      <c r="R3" s="5"/>
      <c r="S3" s="5" t="s">
        <v>14</v>
      </c>
      <c r="T3" s="5" t="s">
        <v>15</v>
      </c>
      <c r="U3" s="5" t="s">
        <v>16</v>
      </c>
      <c r="V3" s="5" t="s">
        <v>17</v>
      </c>
      <c r="W3" s="5" t="s">
        <v>18</v>
      </c>
    </row>
    <row r="4" spans="1:23" ht="16" customHeight="1" x14ac:dyDescent="0.2">
      <c r="A4" s="138" t="s">
        <v>75</v>
      </c>
      <c r="B4" t="s">
        <v>76</v>
      </c>
      <c r="C4">
        <v>15000</v>
      </c>
      <c r="D4">
        <v>1</v>
      </c>
      <c r="E4">
        <f>C4*D4</f>
        <v>15000</v>
      </c>
      <c r="F4">
        <v>0</v>
      </c>
      <c r="G4">
        <f t="shared" ref="G4:G8" si="0">E4*F4</f>
        <v>0</v>
      </c>
      <c r="H4">
        <v>0</v>
      </c>
      <c r="I4">
        <f t="shared" ref="I4:I8" si="1">G4*H4</f>
        <v>0</v>
      </c>
      <c r="J4">
        <v>0</v>
      </c>
      <c r="K4">
        <f t="shared" ref="K4:K8" si="2">I4*J4</f>
        <v>0</v>
      </c>
      <c r="L4">
        <v>0</v>
      </c>
      <c r="M4">
        <f t="shared" ref="M4:M8" si="3">K4*L4</f>
        <v>0</v>
      </c>
      <c r="N4">
        <v>0</v>
      </c>
      <c r="O4">
        <f t="shared" ref="O4:O8" si="4">M4*N4</f>
        <v>0</v>
      </c>
      <c r="Q4" s="140" t="s">
        <v>77</v>
      </c>
      <c r="R4" t="s">
        <v>78</v>
      </c>
      <c r="S4" s="6">
        <v>104202.24000000001</v>
      </c>
      <c r="T4" s="6">
        <v>104202.24000000001</v>
      </c>
      <c r="U4" s="6">
        <v>104202.24000000001</v>
      </c>
      <c r="V4" s="6">
        <v>104202.24000000001</v>
      </c>
      <c r="W4" s="6">
        <v>104202.24000000001</v>
      </c>
    </row>
    <row r="5" spans="1:23" x14ac:dyDescent="0.2">
      <c r="A5" s="138"/>
      <c r="B5" t="s">
        <v>79</v>
      </c>
      <c r="C5">
        <v>20000</v>
      </c>
      <c r="D5">
        <v>2</v>
      </c>
      <c r="E5">
        <f t="shared" ref="E5" si="5">C5*D5</f>
        <v>40000</v>
      </c>
      <c r="F5">
        <v>0</v>
      </c>
      <c r="G5">
        <f t="shared" si="0"/>
        <v>0</v>
      </c>
      <c r="H5">
        <v>0</v>
      </c>
      <c r="I5">
        <f t="shared" si="1"/>
        <v>0</v>
      </c>
      <c r="J5">
        <v>0</v>
      </c>
      <c r="K5">
        <f t="shared" si="2"/>
        <v>0</v>
      </c>
      <c r="L5">
        <v>0</v>
      </c>
      <c r="M5">
        <f t="shared" si="3"/>
        <v>0</v>
      </c>
      <c r="N5">
        <v>0</v>
      </c>
      <c r="O5">
        <f t="shared" si="4"/>
        <v>0</v>
      </c>
      <c r="Q5" s="140"/>
      <c r="R5" t="s">
        <v>80</v>
      </c>
      <c r="S5" s="6">
        <v>473215.19999999995</v>
      </c>
      <c r="T5" s="6">
        <v>473215.19999999995</v>
      </c>
      <c r="U5" s="6">
        <v>473215.19999999995</v>
      </c>
      <c r="V5" s="6">
        <v>473215.19999999995</v>
      </c>
      <c r="W5" s="6">
        <v>473215.19999999995</v>
      </c>
    </row>
    <row r="6" spans="1:23" ht="16" customHeight="1" x14ac:dyDescent="0.2">
      <c r="A6" s="138"/>
      <c r="B6" s="35" t="s">
        <v>81</v>
      </c>
      <c r="C6">
        <v>25000</v>
      </c>
      <c r="D6">
        <v>1</v>
      </c>
      <c r="E6">
        <f>C6*D6</f>
        <v>25000</v>
      </c>
      <c r="F6">
        <v>0</v>
      </c>
      <c r="G6">
        <f t="shared" si="0"/>
        <v>0</v>
      </c>
      <c r="H6">
        <v>0</v>
      </c>
      <c r="I6">
        <f t="shared" si="1"/>
        <v>0</v>
      </c>
      <c r="J6">
        <v>0</v>
      </c>
      <c r="K6">
        <f t="shared" si="2"/>
        <v>0</v>
      </c>
      <c r="L6">
        <v>0</v>
      </c>
      <c r="M6">
        <f t="shared" si="3"/>
        <v>0</v>
      </c>
      <c r="N6">
        <v>0</v>
      </c>
      <c r="O6">
        <f t="shared" si="4"/>
        <v>0</v>
      </c>
      <c r="Q6" s="140"/>
      <c r="R6" s="4" t="s">
        <v>82</v>
      </c>
      <c r="S6" s="7">
        <f>S4+S5</f>
        <v>577417.43999999994</v>
      </c>
      <c r="T6" s="7">
        <f t="shared" ref="T6:W6" si="6">T4+T5</f>
        <v>577417.43999999994</v>
      </c>
      <c r="U6" s="7">
        <f t="shared" si="6"/>
        <v>577417.43999999994</v>
      </c>
      <c r="V6" s="7">
        <f t="shared" si="6"/>
        <v>577417.43999999994</v>
      </c>
      <c r="W6" s="7">
        <f t="shared" si="6"/>
        <v>577417.43999999994</v>
      </c>
    </row>
    <row r="7" spans="1:23" x14ac:dyDescent="0.2">
      <c r="A7" s="138"/>
      <c r="B7" s="35" t="s">
        <v>83</v>
      </c>
      <c r="C7">
        <v>18000</v>
      </c>
      <c r="D7">
        <v>1</v>
      </c>
      <c r="E7">
        <f>C7*D7</f>
        <v>18000</v>
      </c>
      <c r="F7">
        <v>0</v>
      </c>
      <c r="G7">
        <f t="shared" si="0"/>
        <v>0</v>
      </c>
      <c r="H7">
        <v>0</v>
      </c>
      <c r="I7">
        <f t="shared" si="1"/>
        <v>0</v>
      </c>
      <c r="J7">
        <v>0</v>
      </c>
      <c r="K7">
        <f t="shared" si="2"/>
        <v>0</v>
      </c>
      <c r="L7">
        <v>0</v>
      </c>
      <c r="M7">
        <f t="shared" si="3"/>
        <v>0</v>
      </c>
      <c r="N7">
        <v>0</v>
      </c>
      <c r="O7">
        <f t="shared" si="4"/>
        <v>0</v>
      </c>
      <c r="Q7" s="140" t="s">
        <v>21</v>
      </c>
      <c r="R7" t="s">
        <v>78</v>
      </c>
      <c r="S7" s="8">
        <v>96483.555555555547</v>
      </c>
      <c r="T7" s="8">
        <v>96483.555555555547</v>
      </c>
      <c r="U7" s="8">
        <v>96483.555555555547</v>
      </c>
      <c r="V7" s="8">
        <v>96483.555555555547</v>
      </c>
      <c r="W7" s="8">
        <v>96483.555555555547</v>
      </c>
    </row>
    <row r="8" spans="1:23" ht="16" customHeight="1" x14ac:dyDescent="0.2">
      <c r="A8" s="138"/>
      <c r="B8" s="35" t="s">
        <v>84</v>
      </c>
      <c r="C8">
        <v>22000</v>
      </c>
      <c r="D8">
        <v>1</v>
      </c>
      <c r="E8">
        <f>C8*D8</f>
        <v>22000</v>
      </c>
      <c r="F8">
        <v>0</v>
      </c>
      <c r="G8">
        <f t="shared" si="0"/>
        <v>0</v>
      </c>
      <c r="H8">
        <v>0</v>
      </c>
      <c r="I8">
        <f t="shared" si="1"/>
        <v>0</v>
      </c>
      <c r="J8">
        <v>0</v>
      </c>
      <c r="K8">
        <f t="shared" si="2"/>
        <v>0</v>
      </c>
      <c r="L8">
        <v>0</v>
      </c>
      <c r="M8">
        <f t="shared" si="3"/>
        <v>0</v>
      </c>
      <c r="N8">
        <v>0</v>
      </c>
      <c r="O8">
        <f t="shared" si="4"/>
        <v>0</v>
      </c>
      <c r="Q8" s="140"/>
      <c r="R8" t="s">
        <v>80</v>
      </c>
      <c r="S8" s="8">
        <v>438162.22222222213</v>
      </c>
      <c r="T8" s="8">
        <v>438162.22222222213</v>
      </c>
      <c r="U8" s="8">
        <v>438162.22222222213</v>
      </c>
      <c r="V8" s="8">
        <v>438162.22222222213</v>
      </c>
      <c r="W8" s="8">
        <v>438162.22222222213</v>
      </c>
    </row>
    <row r="9" spans="1:23" ht="16" customHeight="1" x14ac:dyDescent="0.2">
      <c r="A9" s="138"/>
      <c r="B9" s="3" t="s">
        <v>26</v>
      </c>
      <c r="C9" s="4"/>
      <c r="D9" s="4"/>
      <c r="E9" s="4">
        <f>SUM(E4:E8)</f>
        <v>120000</v>
      </c>
      <c r="F9" s="4"/>
      <c r="G9" s="4">
        <f t="shared" ref="G9" si="7">SUM(G4:G8)</f>
        <v>0</v>
      </c>
      <c r="H9" s="4"/>
      <c r="I9" s="4">
        <f t="shared" ref="I9" si="8">SUM(I4:I8)</f>
        <v>0</v>
      </c>
      <c r="J9" s="4"/>
      <c r="K9" s="4">
        <f t="shared" ref="K9" si="9">SUM(K4:K8)</f>
        <v>0</v>
      </c>
      <c r="L9" s="4"/>
      <c r="M9" s="4">
        <f t="shared" ref="M9:O9" si="10">SUM(M4:M8)</f>
        <v>0</v>
      </c>
      <c r="N9" s="4"/>
      <c r="O9" s="4">
        <f t="shared" si="10"/>
        <v>0</v>
      </c>
      <c r="Q9" s="140"/>
      <c r="R9" s="4" t="s">
        <v>82</v>
      </c>
      <c r="S9" s="9">
        <f>S8+S7</f>
        <v>534645.77777777764</v>
      </c>
      <c r="T9" s="9">
        <f t="shared" ref="T9:W9" si="11">T8+T7</f>
        <v>534645.77777777764</v>
      </c>
      <c r="U9" s="9">
        <f t="shared" si="11"/>
        <v>534645.77777777764</v>
      </c>
      <c r="V9" s="9">
        <f t="shared" si="11"/>
        <v>534645.77777777764</v>
      </c>
      <c r="W9" s="9">
        <f t="shared" si="11"/>
        <v>534645.77777777764</v>
      </c>
    </row>
    <row r="10" spans="1:23" x14ac:dyDescent="0.2">
      <c r="B10" s="3" t="s">
        <v>28</v>
      </c>
      <c r="C10" s="4"/>
      <c r="D10" s="4"/>
      <c r="E10" s="4">
        <f>E9*0.12</f>
        <v>14400</v>
      </c>
      <c r="F10" s="4"/>
      <c r="G10" s="4">
        <f t="shared" ref="G10" si="12">G9*0.12</f>
        <v>0</v>
      </c>
      <c r="H10" s="4"/>
      <c r="I10" s="4">
        <f t="shared" ref="I10" si="13">I9*0.12</f>
        <v>0</v>
      </c>
      <c r="J10" s="4"/>
      <c r="K10" s="4">
        <f t="shared" ref="K10" si="14">K9*0.12</f>
        <v>0</v>
      </c>
      <c r="L10" s="4"/>
      <c r="M10" s="4">
        <f t="shared" ref="M10:O10" si="15">M9*0.12</f>
        <v>0</v>
      </c>
      <c r="N10" s="4"/>
      <c r="O10" s="4">
        <f t="shared" si="15"/>
        <v>0</v>
      </c>
      <c r="Q10" s="140"/>
      <c r="R10" t="s">
        <v>39</v>
      </c>
      <c r="S10">
        <f>E11*0.03</f>
        <v>4032</v>
      </c>
      <c r="T10">
        <f>E11*0.03</f>
        <v>4032</v>
      </c>
      <c r="U10">
        <f>E11*0.03</f>
        <v>4032</v>
      </c>
      <c r="V10">
        <f>E11*0.03</f>
        <v>4032</v>
      </c>
      <c r="W10">
        <f>E11*0.03</f>
        <v>4032</v>
      </c>
    </row>
    <row r="11" spans="1:23" x14ac:dyDescent="0.2">
      <c r="B11" s="3" t="s">
        <v>30</v>
      </c>
      <c r="C11" s="4"/>
      <c r="D11" s="4"/>
      <c r="E11" s="4">
        <f>E9+E10</f>
        <v>134400</v>
      </c>
      <c r="F11" s="4"/>
      <c r="G11" s="4">
        <f>G9+G10</f>
        <v>0</v>
      </c>
      <c r="H11" s="4"/>
      <c r="I11" s="4">
        <f>I9+I10</f>
        <v>0</v>
      </c>
      <c r="J11" s="4"/>
      <c r="K11" s="4">
        <f>K9+K10</f>
        <v>0</v>
      </c>
      <c r="L11" s="4"/>
      <c r="M11" s="4">
        <f>M9+M10</f>
        <v>0</v>
      </c>
      <c r="N11" s="4"/>
      <c r="O11" s="4">
        <f>O9+O10</f>
        <v>0</v>
      </c>
      <c r="Q11" s="140"/>
      <c r="R11" s="42" t="s">
        <v>29</v>
      </c>
      <c r="S11" s="43">
        <f>S10+S9</f>
        <v>538677.77777777764</v>
      </c>
      <c r="T11" s="43">
        <f t="shared" ref="T11:W11" si="16">T10+T9</f>
        <v>538677.77777777764</v>
      </c>
      <c r="U11" s="43">
        <f t="shared" si="16"/>
        <v>538677.77777777764</v>
      </c>
      <c r="V11" s="43">
        <f t="shared" si="16"/>
        <v>538677.77777777764</v>
      </c>
      <c r="W11" s="43">
        <f t="shared" si="16"/>
        <v>538677.77777777764</v>
      </c>
    </row>
  </sheetData>
  <mergeCells count="8">
    <mergeCell ref="Q7:Q11"/>
    <mergeCell ref="Q4:Q6"/>
    <mergeCell ref="D2:E2"/>
    <mergeCell ref="F2:G2"/>
    <mergeCell ref="H2:I2"/>
    <mergeCell ref="J2:K2"/>
    <mergeCell ref="L2:M2"/>
    <mergeCell ref="N2:O2"/>
  </mergeCells>
  <phoneticPr fontId="7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46249-EAAE-4A2F-B3FF-7D3117145D7F}">
  <dimension ref="A1:X48"/>
  <sheetViews>
    <sheetView topLeftCell="A20" zoomScale="85" zoomScaleNormal="85" workbookViewId="0">
      <selection activeCell="O52" sqref="O52"/>
    </sheetView>
  </sheetViews>
  <sheetFormatPr baseColWidth="10" defaultColWidth="10.5" defaultRowHeight="16" x14ac:dyDescent="0.2"/>
  <cols>
    <col min="1" max="1" width="48" customWidth="1"/>
    <col min="2" max="2" width="23.83203125" customWidth="1"/>
    <col min="15" max="15" width="13.83203125" customWidth="1"/>
    <col min="16" max="16" width="18" bestFit="1" customWidth="1"/>
    <col min="17" max="21" width="11.5" bestFit="1" customWidth="1"/>
  </cols>
  <sheetData>
    <row r="1" spans="1:21" x14ac:dyDescent="0.2">
      <c r="A1" s="2" t="s">
        <v>85</v>
      </c>
      <c r="O1" s="2" t="s">
        <v>86</v>
      </c>
    </row>
    <row r="2" spans="1:21" x14ac:dyDescent="0.2">
      <c r="A2" s="27" t="s">
        <v>33</v>
      </c>
      <c r="D2" s="141" t="s">
        <v>3</v>
      </c>
      <c r="E2" s="141"/>
      <c r="F2" s="141" t="s">
        <v>4</v>
      </c>
      <c r="G2" s="141"/>
      <c r="H2" s="141" t="s">
        <v>5</v>
      </c>
      <c r="I2" s="141"/>
      <c r="J2" s="141" t="s">
        <v>6</v>
      </c>
      <c r="K2" s="141"/>
      <c r="L2" s="141" t="s">
        <v>7</v>
      </c>
      <c r="M2" s="141"/>
    </row>
    <row r="3" spans="1:21" x14ac:dyDescent="0.2">
      <c r="A3" s="1" t="s">
        <v>8</v>
      </c>
      <c r="B3" s="1" t="s">
        <v>9</v>
      </c>
      <c r="C3" s="1" t="s">
        <v>10</v>
      </c>
      <c r="D3" s="1" t="s">
        <v>11</v>
      </c>
      <c r="E3" s="1" t="s">
        <v>12</v>
      </c>
      <c r="F3" s="1" t="s">
        <v>11</v>
      </c>
      <c r="G3" s="1" t="s">
        <v>12</v>
      </c>
      <c r="H3" s="1" t="s">
        <v>11</v>
      </c>
      <c r="I3" s="1" t="s">
        <v>12</v>
      </c>
      <c r="J3" s="1" t="s">
        <v>11</v>
      </c>
      <c r="K3" s="1" t="s">
        <v>12</v>
      </c>
      <c r="L3" s="1" t="s">
        <v>11</v>
      </c>
      <c r="M3" s="1" t="s">
        <v>12</v>
      </c>
      <c r="O3" s="15" t="s">
        <v>8</v>
      </c>
      <c r="P3" s="15"/>
      <c r="Q3" s="15" t="s">
        <v>14</v>
      </c>
      <c r="R3" s="15" t="s">
        <v>15</v>
      </c>
      <c r="S3" s="15" t="s">
        <v>16</v>
      </c>
      <c r="T3" s="15" t="s">
        <v>17</v>
      </c>
      <c r="U3" s="15" t="s">
        <v>18</v>
      </c>
    </row>
    <row r="4" spans="1:21" ht="15.75" customHeight="1" x14ac:dyDescent="0.2">
      <c r="A4" s="151" t="s">
        <v>87</v>
      </c>
      <c r="B4" t="s">
        <v>88</v>
      </c>
      <c r="C4">
        <v>500</v>
      </c>
      <c r="D4">
        <v>0</v>
      </c>
      <c r="E4">
        <f>C4*D4</f>
        <v>0</v>
      </c>
      <c r="F4" t="s">
        <v>56</v>
      </c>
      <c r="G4" t="s">
        <v>56</v>
      </c>
      <c r="H4" t="s">
        <v>56</v>
      </c>
      <c r="I4" t="s">
        <v>56</v>
      </c>
      <c r="J4" t="s">
        <v>56</v>
      </c>
      <c r="K4" t="s">
        <v>56</v>
      </c>
      <c r="L4" t="s">
        <v>56</v>
      </c>
      <c r="M4" t="s">
        <v>56</v>
      </c>
      <c r="O4" s="142" t="s">
        <v>87</v>
      </c>
    </row>
    <row r="5" spans="1:21" x14ac:dyDescent="0.2">
      <c r="A5" s="151"/>
      <c r="B5" t="s">
        <v>89</v>
      </c>
      <c r="C5">
        <v>2000</v>
      </c>
      <c r="D5">
        <v>7</v>
      </c>
      <c r="E5">
        <f t="shared" ref="E5:E6" si="0">C5*D5</f>
        <v>14000</v>
      </c>
      <c r="F5" t="s">
        <v>56</v>
      </c>
      <c r="G5" t="s">
        <v>56</v>
      </c>
      <c r="H5" t="s">
        <v>56</v>
      </c>
      <c r="I5" t="s">
        <v>56</v>
      </c>
      <c r="J5" t="s">
        <v>56</v>
      </c>
      <c r="K5" t="s">
        <v>56</v>
      </c>
      <c r="L5" t="s">
        <v>56</v>
      </c>
      <c r="M5" t="s">
        <v>56</v>
      </c>
      <c r="O5" s="142"/>
      <c r="P5" s="13" t="s">
        <v>39</v>
      </c>
      <c r="Q5" s="13">
        <f>E10*0.03</f>
        <v>1411.2</v>
      </c>
      <c r="R5" s="13">
        <f>E10*0.03</f>
        <v>1411.2</v>
      </c>
      <c r="S5" s="13">
        <f>E10*0.03</f>
        <v>1411.2</v>
      </c>
      <c r="T5" s="13">
        <f>E10*0.03</f>
        <v>1411.2</v>
      </c>
      <c r="U5" s="13">
        <f>E10*0.03</f>
        <v>1411.2</v>
      </c>
    </row>
    <row r="6" spans="1:21" x14ac:dyDescent="0.2">
      <c r="A6" s="151"/>
      <c r="B6" t="s">
        <v>90</v>
      </c>
      <c r="C6">
        <v>28000</v>
      </c>
      <c r="D6">
        <v>1</v>
      </c>
      <c r="E6">
        <f t="shared" si="0"/>
        <v>28000</v>
      </c>
      <c r="F6" t="s">
        <v>56</v>
      </c>
      <c r="G6" t="s">
        <v>56</v>
      </c>
      <c r="H6" t="s">
        <v>56</v>
      </c>
      <c r="I6" t="s">
        <v>56</v>
      </c>
      <c r="J6" t="s">
        <v>56</v>
      </c>
      <c r="K6" t="s">
        <v>56</v>
      </c>
      <c r="L6" t="s">
        <v>56</v>
      </c>
      <c r="M6" t="s">
        <v>56</v>
      </c>
      <c r="O6" s="142"/>
      <c r="P6" s="13" t="s">
        <v>91</v>
      </c>
      <c r="Q6" s="13">
        <f>0.401*8760*0.1</f>
        <v>351.27600000000007</v>
      </c>
      <c r="R6" s="13">
        <f>0.401*8760*0.1</f>
        <v>351.27600000000007</v>
      </c>
      <c r="S6" s="13">
        <f>0.401*8760*0.1</f>
        <v>351.27600000000007</v>
      </c>
      <c r="T6" s="13">
        <f>0.401*8760*0.1</f>
        <v>351.27600000000007</v>
      </c>
      <c r="U6" s="13">
        <f>0.401*8760*0.1</f>
        <v>351.27600000000007</v>
      </c>
    </row>
    <row r="7" spans="1:21" x14ac:dyDescent="0.2">
      <c r="A7" s="151"/>
      <c r="O7" s="142"/>
      <c r="P7" s="17" t="s">
        <v>29</v>
      </c>
      <c r="Q7" s="17">
        <f>SUM(Q4:Q6)</f>
        <v>1762.4760000000001</v>
      </c>
      <c r="R7" s="17">
        <f>SUM(R4:R6)</f>
        <v>1762.4760000000001</v>
      </c>
      <c r="S7" s="17">
        <f>SUM(S4:S6)</f>
        <v>1762.4760000000001</v>
      </c>
      <c r="T7" s="17">
        <f>SUM(T4:T6)</f>
        <v>1762.4760000000001</v>
      </c>
      <c r="U7" s="17">
        <f>SUM(U4:U6)</f>
        <v>1762.4760000000001</v>
      </c>
    </row>
    <row r="8" spans="1:21" x14ac:dyDescent="0.2">
      <c r="A8" s="151"/>
      <c r="B8" s="3" t="s">
        <v>26</v>
      </c>
      <c r="C8" s="4"/>
      <c r="D8" s="4"/>
      <c r="E8" s="4">
        <f>SUM(E4:E7)</f>
        <v>42000</v>
      </c>
      <c r="F8" s="4"/>
      <c r="G8" s="4"/>
      <c r="H8" s="4"/>
      <c r="I8" s="4"/>
      <c r="J8" s="4"/>
      <c r="K8" s="4"/>
      <c r="L8" s="4"/>
      <c r="M8" s="4"/>
    </row>
    <row r="9" spans="1:21" x14ac:dyDescent="0.2">
      <c r="A9" s="151"/>
      <c r="B9" s="3" t="s">
        <v>28</v>
      </c>
      <c r="C9" s="4"/>
      <c r="D9" s="4"/>
      <c r="E9" s="4">
        <f>E8*0.12</f>
        <v>5040</v>
      </c>
      <c r="F9" s="4"/>
      <c r="G9" s="4"/>
      <c r="H9" s="4"/>
      <c r="I9" s="4"/>
      <c r="J9" s="4"/>
      <c r="K9" s="4"/>
      <c r="L9" s="4"/>
      <c r="M9" s="4"/>
    </row>
    <row r="10" spans="1:21" x14ac:dyDescent="0.2">
      <c r="A10" s="151"/>
      <c r="B10" s="3" t="s">
        <v>30</v>
      </c>
      <c r="C10" s="4"/>
      <c r="D10" s="4"/>
      <c r="E10" s="4">
        <f>E8+E9</f>
        <v>47040</v>
      </c>
      <c r="F10" s="4"/>
      <c r="G10" s="4"/>
      <c r="H10" s="4"/>
      <c r="I10" s="4"/>
      <c r="J10" s="4"/>
      <c r="K10" s="4"/>
      <c r="L10" s="4"/>
      <c r="M10" s="4"/>
    </row>
    <row r="11" spans="1:21" x14ac:dyDescent="0.2">
      <c r="O11" s="11"/>
      <c r="P11" s="10"/>
      <c r="Q11" s="10"/>
    </row>
    <row r="12" spans="1:21" x14ac:dyDescent="0.2">
      <c r="A12" s="27" t="s">
        <v>55</v>
      </c>
      <c r="D12" s="141" t="s">
        <v>3</v>
      </c>
      <c r="E12" s="141"/>
      <c r="F12" s="141" t="s">
        <v>4</v>
      </c>
      <c r="G12" s="141"/>
      <c r="H12" s="141" t="s">
        <v>5</v>
      </c>
      <c r="I12" s="141"/>
      <c r="J12" s="141" t="s">
        <v>6</v>
      </c>
      <c r="K12" s="141"/>
      <c r="L12" s="141" t="s">
        <v>7</v>
      </c>
      <c r="M12" s="141"/>
      <c r="O12" s="11"/>
      <c r="P12" s="10"/>
      <c r="Q12" s="10"/>
    </row>
    <row r="13" spans="1:21" x14ac:dyDescent="0.2">
      <c r="A13" s="1" t="s">
        <v>8</v>
      </c>
      <c r="B13" s="1" t="s">
        <v>9</v>
      </c>
      <c r="C13" s="1" t="s">
        <v>10</v>
      </c>
      <c r="D13" s="1" t="s">
        <v>11</v>
      </c>
      <c r="E13" s="1" t="s">
        <v>12</v>
      </c>
      <c r="F13" s="1" t="s">
        <v>11</v>
      </c>
      <c r="G13" s="1" t="s">
        <v>12</v>
      </c>
      <c r="H13" s="1" t="s">
        <v>11</v>
      </c>
      <c r="I13" s="1" t="s">
        <v>12</v>
      </c>
      <c r="J13" s="1" t="s">
        <v>11</v>
      </c>
      <c r="K13" s="1" t="s">
        <v>12</v>
      </c>
      <c r="L13" s="1" t="s">
        <v>11</v>
      </c>
      <c r="M13" s="1" t="s">
        <v>12</v>
      </c>
      <c r="O13" s="15" t="s">
        <v>8</v>
      </c>
      <c r="P13" s="15"/>
      <c r="Q13" s="15" t="s">
        <v>14</v>
      </c>
      <c r="R13" s="15" t="s">
        <v>15</v>
      </c>
      <c r="S13" s="15" t="s">
        <v>16</v>
      </c>
      <c r="T13" s="15" t="s">
        <v>17</v>
      </c>
      <c r="U13" s="15" t="s">
        <v>18</v>
      </c>
    </row>
    <row r="14" spans="1:21" ht="15.75" customHeight="1" x14ac:dyDescent="0.2">
      <c r="A14" s="151" t="s">
        <v>87</v>
      </c>
      <c r="B14" t="s">
        <v>88</v>
      </c>
      <c r="C14">
        <v>500</v>
      </c>
      <c r="D14">
        <v>0</v>
      </c>
      <c r="E14">
        <f>C14*D14</f>
        <v>0</v>
      </c>
      <c r="F14" t="s">
        <v>56</v>
      </c>
      <c r="G14" t="s">
        <v>56</v>
      </c>
      <c r="H14" t="s">
        <v>56</v>
      </c>
      <c r="I14" t="s">
        <v>56</v>
      </c>
      <c r="J14" t="s">
        <v>56</v>
      </c>
      <c r="K14" t="s">
        <v>56</v>
      </c>
      <c r="L14" t="s">
        <v>56</v>
      </c>
      <c r="M14" t="s">
        <v>56</v>
      </c>
      <c r="O14" s="142" t="s">
        <v>87</v>
      </c>
    </row>
    <row r="15" spans="1:21" x14ac:dyDescent="0.2">
      <c r="A15" s="151"/>
      <c r="B15" t="s">
        <v>89</v>
      </c>
      <c r="C15">
        <v>2000</v>
      </c>
      <c r="D15">
        <v>1</v>
      </c>
      <c r="E15">
        <f t="shared" ref="E15:E16" si="1">C15*D15</f>
        <v>2000</v>
      </c>
      <c r="F15" t="s">
        <v>56</v>
      </c>
      <c r="G15" t="s">
        <v>56</v>
      </c>
      <c r="H15" t="s">
        <v>56</v>
      </c>
      <c r="I15" t="s">
        <v>56</v>
      </c>
      <c r="J15" t="s">
        <v>56</v>
      </c>
      <c r="K15" t="s">
        <v>56</v>
      </c>
      <c r="L15" t="s">
        <v>56</v>
      </c>
      <c r="M15" t="s">
        <v>56</v>
      </c>
      <c r="O15" s="142"/>
      <c r="P15" s="13" t="s">
        <v>39</v>
      </c>
      <c r="Q15" s="13">
        <f>E20*0.03</f>
        <v>1008</v>
      </c>
      <c r="R15" s="13">
        <f>E20*0.03</f>
        <v>1008</v>
      </c>
      <c r="S15" s="13">
        <f>E20*0.03</f>
        <v>1008</v>
      </c>
      <c r="T15" s="13">
        <f>E20*0.03</f>
        <v>1008</v>
      </c>
      <c r="U15" s="13">
        <f>E20*0.03</f>
        <v>1008</v>
      </c>
    </row>
    <row r="16" spans="1:21" x14ac:dyDescent="0.2">
      <c r="A16" s="151"/>
      <c r="B16" t="s">
        <v>90</v>
      </c>
      <c r="C16">
        <v>28000</v>
      </c>
      <c r="D16">
        <v>1</v>
      </c>
      <c r="E16">
        <f t="shared" si="1"/>
        <v>28000</v>
      </c>
      <c r="F16" t="s">
        <v>56</v>
      </c>
      <c r="G16" t="s">
        <v>56</v>
      </c>
      <c r="H16" t="s">
        <v>56</v>
      </c>
      <c r="I16" t="s">
        <v>56</v>
      </c>
      <c r="J16" t="s">
        <v>56</v>
      </c>
      <c r="K16" t="s">
        <v>56</v>
      </c>
      <c r="L16" t="s">
        <v>56</v>
      </c>
      <c r="M16" t="s">
        <v>56</v>
      </c>
      <c r="O16" s="142"/>
      <c r="P16" s="13" t="s">
        <v>91</v>
      </c>
      <c r="Q16" s="13">
        <f>0.401*8760*0.1</f>
        <v>351.27600000000007</v>
      </c>
      <c r="R16" s="13">
        <f>0.401*8760*0.1</f>
        <v>351.27600000000007</v>
      </c>
      <c r="S16" s="13">
        <f>0.401*8760*0.1</f>
        <v>351.27600000000007</v>
      </c>
      <c r="T16" s="13">
        <f>0.401*8760*0.1</f>
        <v>351.27600000000007</v>
      </c>
      <c r="U16" s="13">
        <f>0.401*8760*0.1</f>
        <v>351.27600000000007</v>
      </c>
    </row>
    <row r="17" spans="1:21" x14ac:dyDescent="0.2">
      <c r="A17" s="151"/>
      <c r="O17" s="142"/>
      <c r="P17" s="17" t="s">
        <v>29</v>
      </c>
      <c r="Q17" s="17">
        <f>SUM(Q14:Q16)</f>
        <v>1359.2760000000001</v>
      </c>
      <c r="R17" s="17">
        <f>SUM(R14:R16)</f>
        <v>1359.2760000000001</v>
      </c>
      <c r="S17" s="17">
        <f>SUM(S14:S16)</f>
        <v>1359.2760000000001</v>
      </c>
      <c r="T17" s="17">
        <f>SUM(T14:T16)</f>
        <v>1359.2760000000001</v>
      </c>
      <c r="U17" s="17">
        <f>SUM(U14:U16)</f>
        <v>1359.2760000000001</v>
      </c>
    </row>
    <row r="18" spans="1:21" x14ac:dyDescent="0.2">
      <c r="A18" s="151"/>
      <c r="B18" s="3" t="s">
        <v>26</v>
      </c>
      <c r="C18" s="4"/>
      <c r="D18" s="4"/>
      <c r="E18" s="4">
        <f>SUM(E14:E17)</f>
        <v>30000</v>
      </c>
      <c r="F18" s="4"/>
      <c r="G18" s="4"/>
      <c r="H18" s="4"/>
      <c r="I18" s="4"/>
      <c r="J18" s="4"/>
      <c r="K18" s="4"/>
      <c r="L18" s="4"/>
      <c r="M18" s="4"/>
    </row>
    <row r="19" spans="1:21" x14ac:dyDescent="0.2">
      <c r="A19" s="151"/>
      <c r="B19" s="3" t="s">
        <v>28</v>
      </c>
      <c r="C19" s="4"/>
      <c r="D19" s="4"/>
      <c r="E19" s="4">
        <f>E18*0.12</f>
        <v>3600</v>
      </c>
      <c r="F19" s="4"/>
      <c r="G19" s="4"/>
      <c r="H19" s="4"/>
      <c r="I19" s="4"/>
      <c r="J19" s="4"/>
      <c r="K19" s="4"/>
      <c r="L19" s="4"/>
      <c r="M19" s="4"/>
    </row>
    <row r="20" spans="1:21" x14ac:dyDescent="0.2">
      <c r="A20" s="151"/>
      <c r="B20" s="3" t="s">
        <v>30</v>
      </c>
      <c r="C20" s="4"/>
      <c r="D20" s="4"/>
      <c r="E20" s="4">
        <f>E18+E19</f>
        <v>33600</v>
      </c>
      <c r="F20" s="4"/>
      <c r="G20" s="4"/>
      <c r="H20" s="4"/>
      <c r="I20" s="4"/>
      <c r="J20" s="4"/>
      <c r="K20" s="4"/>
      <c r="L20" s="4"/>
      <c r="M20" s="4"/>
    </row>
    <row r="22" spans="1:21" x14ac:dyDescent="0.2">
      <c r="A22" s="27" t="s">
        <v>59</v>
      </c>
      <c r="D22" s="141" t="s">
        <v>3</v>
      </c>
      <c r="E22" s="141"/>
      <c r="F22" s="141" t="s">
        <v>4</v>
      </c>
      <c r="G22" s="141"/>
      <c r="H22" s="141" t="s">
        <v>5</v>
      </c>
      <c r="I22" s="141"/>
      <c r="J22" s="141" t="s">
        <v>6</v>
      </c>
      <c r="K22" s="141"/>
      <c r="L22" s="141" t="s">
        <v>7</v>
      </c>
      <c r="M22" s="141"/>
    </row>
    <row r="23" spans="1:21" x14ac:dyDescent="0.2">
      <c r="A23" s="1" t="s">
        <v>8</v>
      </c>
      <c r="B23" s="1" t="s">
        <v>9</v>
      </c>
      <c r="C23" s="1" t="s">
        <v>10</v>
      </c>
      <c r="D23" s="1" t="s">
        <v>11</v>
      </c>
      <c r="E23" s="1" t="s">
        <v>12</v>
      </c>
      <c r="F23" s="1" t="s">
        <v>11</v>
      </c>
      <c r="G23" s="1" t="s">
        <v>12</v>
      </c>
      <c r="H23" s="1" t="s">
        <v>11</v>
      </c>
      <c r="I23" s="1" t="s">
        <v>12</v>
      </c>
      <c r="J23" s="1" t="s">
        <v>11</v>
      </c>
      <c r="K23" s="1" t="s">
        <v>12</v>
      </c>
      <c r="L23" s="1" t="s">
        <v>11</v>
      </c>
      <c r="M23" s="1" t="s">
        <v>12</v>
      </c>
      <c r="O23" s="15" t="s">
        <v>8</v>
      </c>
      <c r="P23" s="15"/>
      <c r="Q23" s="15" t="s">
        <v>14</v>
      </c>
      <c r="R23" s="15" t="s">
        <v>15</v>
      </c>
      <c r="S23" s="15" t="s">
        <v>16</v>
      </c>
      <c r="T23" s="15" t="s">
        <v>17</v>
      </c>
      <c r="U23" s="15" t="s">
        <v>18</v>
      </c>
    </row>
    <row r="24" spans="1:21" x14ac:dyDescent="0.2">
      <c r="A24" s="151" t="s">
        <v>87</v>
      </c>
      <c r="B24" t="s">
        <v>88</v>
      </c>
      <c r="C24">
        <v>500</v>
      </c>
      <c r="D24">
        <v>0</v>
      </c>
      <c r="E24">
        <f>C24*D24</f>
        <v>0</v>
      </c>
      <c r="F24" t="s">
        <v>56</v>
      </c>
      <c r="G24" t="s">
        <v>56</v>
      </c>
      <c r="H24" t="s">
        <v>56</v>
      </c>
      <c r="I24" t="s">
        <v>56</v>
      </c>
      <c r="J24" t="s">
        <v>56</v>
      </c>
      <c r="K24" t="s">
        <v>56</v>
      </c>
      <c r="L24" t="s">
        <v>56</v>
      </c>
      <c r="M24" t="s">
        <v>56</v>
      </c>
      <c r="O24" s="142" t="s">
        <v>87</v>
      </c>
    </row>
    <row r="25" spans="1:21" x14ac:dyDescent="0.2">
      <c r="A25" s="151"/>
      <c r="B25" t="s">
        <v>89</v>
      </c>
      <c r="C25">
        <v>2000</v>
      </c>
      <c r="D25">
        <v>2</v>
      </c>
      <c r="E25">
        <f t="shared" ref="E25:E26" si="2">C25*D25</f>
        <v>4000</v>
      </c>
      <c r="F25" t="s">
        <v>56</v>
      </c>
      <c r="G25" t="s">
        <v>56</v>
      </c>
      <c r="H25" t="s">
        <v>56</v>
      </c>
      <c r="I25" t="s">
        <v>56</v>
      </c>
      <c r="J25" t="s">
        <v>56</v>
      </c>
      <c r="K25" t="s">
        <v>56</v>
      </c>
      <c r="L25" t="s">
        <v>56</v>
      </c>
      <c r="M25" t="s">
        <v>56</v>
      </c>
      <c r="O25" s="142"/>
      <c r="P25" s="13" t="s">
        <v>39</v>
      </c>
      <c r="Q25" s="13">
        <f>E30*0.03</f>
        <v>1075.2</v>
      </c>
      <c r="R25" s="13">
        <f>E30*0.03</f>
        <v>1075.2</v>
      </c>
      <c r="S25" s="13">
        <f>E30*0.03</f>
        <v>1075.2</v>
      </c>
      <c r="T25" s="13">
        <f>E30*0.03</f>
        <v>1075.2</v>
      </c>
      <c r="U25" s="13">
        <f>E30*0.03</f>
        <v>1075.2</v>
      </c>
    </row>
    <row r="26" spans="1:21" x14ac:dyDescent="0.2">
      <c r="A26" s="151"/>
      <c r="B26" t="s">
        <v>90</v>
      </c>
      <c r="C26">
        <v>28000</v>
      </c>
      <c r="D26">
        <v>1</v>
      </c>
      <c r="E26">
        <f t="shared" si="2"/>
        <v>28000</v>
      </c>
      <c r="F26" t="s">
        <v>56</v>
      </c>
      <c r="G26" t="s">
        <v>56</v>
      </c>
      <c r="H26" t="s">
        <v>56</v>
      </c>
      <c r="I26" t="s">
        <v>56</v>
      </c>
      <c r="J26" t="s">
        <v>56</v>
      </c>
      <c r="K26" t="s">
        <v>56</v>
      </c>
      <c r="L26" t="s">
        <v>56</v>
      </c>
      <c r="M26" t="s">
        <v>56</v>
      </c>
      <c r="O26" s="142"/>
      <c r="P26" s="13" t="s">
        <v>91</v>
      </c>
      <c r="Q26" s="13">
        <f>0.401*8760*0.1</f>
        <v>351.27600000000007</v>
      </c>
      <c r="R26" s="13">
        <f>0.401*8760*0.1</f>
        <v>351.27600000000007</v>
      </c>
      <c r="S26" s="13">
        <f>0.401*8760*0.1</f>
        <v>351.27600000000007</v>
      </c>
      <c r="T26" s="13">
        <f>0.401*8760*0.1</f>
        <v>351.27600000000007</v>
      </c>
      <c r="U26" s="13">
        <f>0.401*8760*0.1</f>
        <v>351.27600000000007</v>
      </c>
    </row>
    <row r="27" spans="1:21" x14ac:dyDescent="0.2">
      <c r="A27" s="151"/>
      <c r="O27" s="142"/>
      <c r="P27" s="17" t="s">
        <v>29</v>
      </c>
      <c r="Q27" s="17">
        <f>SUM(Q25:Q26)</f>
        <v>1426.4760000000001</v>
      </c>
      <c r="R27" s="17">
        <f t="shared" ref="R27:U27" si="3">SUM(R25:R26)</f>
        <v>1426.4760000000001</v>
      </c>
      <c r="S27" s="17">
        <f t="shared" si="3"/>
        <v>1426.4760000000001</v>
      </c>
      <c r="T27" s="17">
        <f t="shared" si="3"/>
        <v>1426.4760000000001</v>
      </c>
      <c r="U27" s="17">
        <f t="shared" si="3"/>
        <v>1426.4760000000001</v>
      </c>
    </row>
    <row r="28" spans="1:21" x14ac:dyDescent="0.2">
      <c r="A28" s="151"/>
      <c r="B28" s="3" t="s">
        <v>26</v>
      </c>
      <c r="C28" s="4"/>
      <c r="D28" s="4"/>
      <c r="E28" s="4">
        <f>SUM(E24:E27)</f>
        <v>32000</v>
      </c>
      <c r="F28" s="4"/>
      <c r="G28" s="4"/>
      <c r="H28" s="4"/>
      <c r="I28" s="4"/>
      <c r="J28" s="4"/>
      <c r="K28" s="4"/>
      <c r="L28" s="4"/>
      <c r="M28" s="4"/>
    </row>
    <row r="29" spans="1:21" x14ac:dyDescent="0.2">
      <c r="A29" s="151"/>
      <c r="B29" s="3" t="s">
        <v>28</v>
      </c>
      <c r="C29" s="4"/>
      <c r="D29" s="4"/>
      <c r="E29" s="4">
        <f>E28*0.12</f>
        <v>3840</v>
      </c>
      <c r="F29" s="4"/>
      <c r="G29" s="4"/>
      <c r="H29" s="4"/>
      <c r="I29" s="4"/>
      <c r="J29" s="4"/>
      <c r="K29" s="4"/>
      <c r="L29" s="4"/>
      <c r="M29" s="4"/>
    </row>
    <row r="30" spans="1:21" x14ac:dyDescent="0.2">
      <c r="A30" s="151"/>
      <c r="B30" s="3" t="s">
        <v>30</v>
      </c>
      <c r="C30" s="4"/>
      <c r="D30" s="4"/>
      <c r="E30" s="4">
        <f>E28+E29</f>
        <v>35840</v>
      </c>
      <c r="F30" s="4"/>
      <c r="G30" s="4"/>
      <c r="H30" s="4"/>
      <c r="I30" s="4"/>
      <c r="J30" s="4"/>
      <c r="K30" s="4"/>
      <c r="L30" s="4"/>
      <c r="M30" s="4"/>
    </row>
    <row r="34" spans="1:24" x14ac:dyDescent="0.2">
      <c r="A34" t="s">
        <v>92</v>
      </c>
    </row>
    <row r="35" spans="1:24" x14ac:dyDescent="0.2">
      <c r="A35" t="s">
        <v>93</v>
      </c>
      <c r="B35" s="34" t="s">
        <v>94</v>
      </c>
    </row>
    <row r="36" spans="1:24" x14ac:dyDescent="0.2">
      <c r="A36" t="s">
        <v>95</v>
      </c>
      <c r="B36" s="34" t="s">
        <v>96</v>
      </c>
      <c r="M36" t="s">
        <v>97</v>
      </c>
    </row>
    <row r="37" spans="1:24" x14ac:dyDescent="0.2">
      <c r="A37" t="s">
        <v>98</v>
      </c>
      <c r="B37" t="s">
        <v>99</v>
      </c>
    </row>
    <row r="40" spans="1:24" x14ac:dyDescent="0.2">
      <c r="A40" s="27" t="s">
        <v>29</v>
      </c>
      <c r="D40" s="141" t="s">
        <v>2</v>
      </c>
      <c r="E40" s="141"/>
      <c r="F40" s="141" t="s">
        <v>3</v>
      </c>
      <c r="G40" s="141"/>
      <c r="H40" s="141" t="s">
        <v>4</v>
      </c>
      <c r="I40" s="141"/>
      <c r="J40" s="141" t="s">
        <v>5</v>
      </c>
      <c r="K40" s="141"/>
      <c r="L40" s="141" t="s">
        <v>6</v>
      </c>
      <c r="M40" s="141"/>
      <c r="N40" s="141" t="s">
        <v>7</v>
      </c>
      <c r="O40" s="141"/>
    </row>
    <row r="41" spans="1:24" x14ac:dyDescent="0.2">
      <c r="A41" s="1" t="s">
        <v>8</v>
      </c>
      <c r="B41" s="1" t="s">
        <v>9</v>
      </c>
      <c r="C41" s="1" t="s">
        <v>10</v>
      </c>
      <c r="D41" s="1" t="s">
        <v>11</v>
      </c>
      <c r="E41" s="1" t="s">
        <v>12</v>
      </c>
      <c r="F41" s="1" t="s">
        <v>11</v>
      </c>
      <c r="G41" s="1" t="s">
        <v>12</v>
      </c>
      <c r="H41" s="1" t="s">
        <v>11</v>
      </c>
      <c r="I41" s="1" t="s">
        <v>12</v>
      </c>
      <c r="J41" s="1" t="s">
        <v>11</v>
      </c>
      <c r="K41" s="1" t="s">
        <v>12</v>
      </c>
      <c r="L41" s="1" t="s">
        <v>11</v>
      </c>
      <c r="M41" s="1" t="s">
        <v>12</v>
      </c>
      <c r="N41" s="1" t="s">
        <v>11</v>
      </c>
      <c r="O41" s="1" t="s">
        <v>12</v>
      </c>
    </row>
    <row r="42" spans="1:24" x14ac:dyDescent="0.2">
      <c r="A42" s="151" t="s">
        <v>87</v>
      </c>
      <c r="B42" t="s">
        <v>88</v>
      </c>
      <c r="C42">
        <v>500</v>
      </c>
      <c r="D42">
        <f>D4+D14+D24</f>
        <v>0</v>
      </c>
      <c r="E42">
        <f>C42*D42</f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</row>
    <row r="43" spans="1:24" x14ac:dyDescent="0.2">
      <c r="A43" s="151"/>
      <c r="B43" t="s">
        <v>89</v>
      </c>
      <c r="C43">
        <v>2000</v>
      </c>
      <c r="D43">
        <f>D5+D15+D25</f>
        <v>10</v>
      </c>
      <c r="E43">
        <f t="shared" ref="E43:E44" si="4">C43*D43</f>
        <v>20000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R43" s="15" t="s">
        <v>8</v>
      </c>
      <c r="S43" s="15"/>
      <c r="T43" s="15" t="s">
        <v>14</v>
      </c>
      <c r="U43" s="15" t="s">
        <v>15</v>
      </c>
      <c r="V43" s="15" t="s">
        <v>16</v>
      </c>
      <c r="W43" s="15" t="s">
        <v>17</v>
      </c>
      <c r="X43" s="15" t="s">
        <v>18</v>
      </c>
    </row>
    <row r="44" spans="1:24" x14ac:dyDescent="0.2">
      <c r="A44" s="151"/>
      <c r="B44" t="s">
        <v>90</v>
      </c>
      <c r="C44">
        <v>28000</v>
      </c>
      <c r="D44">
        <f>D6+D16+D26</f>
        <v>3</v>
      </c>
      <c r="E44">
        <f t="shared" si="4"/>
        <v>84000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R44" s="142" t="s">
        <v>87</v>
      </c>
    </row>
    <row r="45" spans="1:24" x14ac:dyDescent="0.2">
      <c r="A45" s="151"/>
      <c r="R45" s="142"/>
      <c r="S45" s="13" t="s">
        <v>39</v>
      </c>
      <c r="T45" s="13">
        <f t="shared" ref="T45:X46" si="5">Q5+Q15+Q25</f>
        <v>3494.3999999999996</v>
      </c>
      <c r="U45" s="13">
        <f t="shared" si="5"/>
        <v>3494.3999999999996</v>
      </c>
      <c r="V45" s="13">
        <f t="shared" si="5"/>
        <v>3494.3999999999996</v>
      </c>
      <c r="W45" s="13">
        <f t="shared" si="5"/>
        <v>3494.3999999999996</v>
      </c>
      <c r="X45" s="13">
        <f t="shared" si="5"/>
        <v>3494.3999999999996</v>
      </c>
    </row>
    <row r="46" spans="1:24" x14ac:dyDescent="0.2">
      <c r="A46" s="151"/>
      <c r="B46" s="3" t="s">
        <v>26</v>
      </c>
      <c r="C46" s="4"/>
      <c r="D46" s="4"/>
      <c r="E46" s="4">
        <f>SUM(E42:E45)</f>
        <v>104000</v>
      </c>
      <c r="F46" s="4">
        <f t="shared" ref="F46:M46" si="6">SUM(F42:F45)</f>
        <v>0</v>
      </c>
      <c r="G46" s="4">
        <f t="shared" si="6"/>
        <v>0</v>
      </c>
      <c r="H46" s="4">
        <f t="shared" si="6"/>
        <v>0</v>
      </c>
      <c r="I46" s="4">
        <f t="shared" si="6"/>
        <v>0</v>
      </c>
      <c r="J46" s="4">
        <f t="shared" si="6"/>
        <v>0</v>
      </c>
      <c r="K46" s="4">
        <f t="shared" si="6"/>
        <v>0</v>
      </c>
      <c r="L46" s="4">
        <f t="shared" si="6"/>
        <v>0</v>
      </c>
      <c r="M46" s="4">
        <f t="shared" si="6"/>
        <v>0</v>
      </c>
      <c r="N46" s="4">
        <f t="shared" ref="N46:O46" si="7">SUM(N42:N45)</f>
        <v>0</v>
      </c>
      <c r="O46" s="4">
        <f t="shared" si="7"/>
        <v>0</v>
      </c>
      <c r="R46" s="142"/>
      <c r="S46" s="13" t="s">
        <v>91</v>
      </c>
      <c r="T46" s="13">
        <f t="shared" si="5"/>
        <v>1053.8280000000002</v>
      </c>
      <c r="U46" s="13">
        <f t="shared" si="5"/>
        <v>1053.8280000000002</v>
      </c>
      <c r="V46" s="13">
        <f t="shared" si="5"/>
        <v>1053.8280000000002</v>
      </c>
      <c r="W46" s="13">
        <f t="shared" si="5"/>
        <v>1053.8280000000002</v>
      </c>
      <c r="X46" s="13">
        <f t="shared" si="5"/>
        <v>1053.8280000000002</v>
      </c>
    </row>
    <row r="47" spans="1:24" x14ac:dyDescent="0.2">
      <c r="A47" s="151"/>
      <c r="B47" s="3" t="s">
        <v>28</v>
      </c>
      <c r="C47" s="4"/>
      <c r="D47" s="4"/>
      <c r="E47" s="4">
        <f>E46*0.12</f>
        <v>12480</v>
      </c>
      <c r="F47" s="4">
        <f t="shared" ref="F47:M47" si="8">F46*0.12</f>
        <v>0</v>
      </c>
      <c r="G47" s="4">
        <f t="shared" si="8"/>
        <v>0</v>
      </c>
      <c r="H47" s="4">
        <f t="shared" si="8"/>
        <v>0</v>
      </c>
      <c r="I47" s="4">
        <f t="shared" si="8"/>
        <v>0</v>
      </c>
      <c r="J47" s="4">
        <f t="shared" si="8"/>
        <v>0</v>
      </c>
      <c r="K47" s="4">
        <f t="shared" si="8"/>
        <v>0</v>
      </c>
      <c r="L47" s="4">
        <f t="shared" si="8"/>
        <v>0</v>
      </c>
      <c r="M47" s="4">
        <f t="shared" si="8"/>
        <v>0</v>
      </c>
      <c r="N47" s="4">
        <f t="shared" ref="N47:O47" si="9">N46*0.12</f>
        <v>0</v>
      </c>
      <c r="O47" s="4">
        <f t="shared" si="9"/>
        <v>0</v>
      </c>
      <c r="R47" s="142"/>
      <c r="S47" s="17" t="s">
        <v>29</v>
      </c>
      <c r="T47" s="17">
        <f>SUM(T45:T46)</f>
        <v>4548.2280000000001</v>
      </c>
      <c r="U47" s="17">
        <f t="shared" ref="U47:X47" si="10">SUM(U45:U46)</f>
        <v>4548.2280000000001</v>
      </c>
      <c r="V47" s="17">
        <f t="shared" si="10"/>
        <v>4548.2280000000001</v>
      </c>
      <c r="W47" s="17">
        <f t="shared" si="10"/>
        <v>4548.2280000000001</v>
      </c>
      <c r="X47" s="17">
        <f t="shared" si="10"/>
        <v>4548.2280000000001</v>
      </c>
    </row>
    <row r="48" spans="1:24" x14ac:dyDescent="0.2">
      <c r="A48" s="151"/>
      <c r="B48" s="3" t="s">
        <v>30</v>
      </c>
      <c r="C48" s="4"/>
      <c r="D48" s="4"/>
      <c r="E48" s="4">
        <f>E46+E47</f>
        <v>116480</v>
      </c>
      <c r="F48" s="4">
        <f t="shared" ref="F48:M48" si="11">F46+F47</f>
        <v>0</v>
      </c>
      <c r="G48" s="4">
        <f t="shared" si="11"/>
        <v>0</v>
      </c>
      <c r="H48" s="4">
        <f t="shared" si="11"/>
        <v>0</v>
      </c>
      <c r="I48" s="4">
        <f t="shared" si="11"/>
        <v>0</v>
      </c>
      <c r="J48" s="4">
        <f t="shared" si="11"/>
        <v>0</v>
      </c>
      <c r="K48" s="4">
        <f t="shared" si="11"/>
        <v>0</v>
      </c>
      <c r="L48" s="4">
        <f t="shared" si="11"/>
        <v>0</v>
      </c>
      <c r="M48" s="4">
        <f t="shared" si="11"/>
        <v>0</v>
      </c>
      <c r="N48" s="4">
        <f t="shared" ref="N48:O48" si="12">N46+N47</f>
        <v>0</v>
      </c>
      <c r="O48" s="4">
        <f t="shared" si="12"/>
        <v>0</v>
      </c>
    </row>
  </sheetData>
  <mergeCells count="29">
    <mergeCell ref="A4:A10"/>
    <mergeCell ref="D2:E2"/>
    <mergeCell ref="F2:G2"/>
    <mergeCell ref="H2:I2"/>
    <mergeCell ref="J2:K2"/>
    <mergeCell ref="L2:M2"/>
    <mergeCell ref="O4:O7"/>
    <mergeCell ref="D12:E12"/>
    <mergeCell ref="F12:G12"/>
    <mergeCell ref="H12:I12"/>
    <mergeCell ref="J12:K12"/>
    <mergeCell ref="L12:M12"/>
    <mergeCell ref="A24:A30"/>
    <mergeCell ref="O24:O27"/>
    <mergeCell ref="A14:A20"/>
    <mergeCell ref="O14:O17"/>
    <mergeCell ref="D22:E22"/>
    <mergeCell ref="F22:G22"/>
    <mergeCell ref="H22:I22"/>
    <mergeCell ref="J22:K22"/>
    <mergeCell ref="L22:M22"/>
    <mergeCell ref="A42:A48"/>
    <mergeCell ref="R44:R47"/>
    <mergeCell ref="D40:E40"/>
    <mergeCell ref="F40:G40"/>
    <mergeCell ref="H40:I40"/>
    <mergeCell ref="J40:K40"/>
    <mergeCell ref="L40:M40"/>
    <mergeCell ref="N40:O40"/>
  </mergeCells>
  <phoneticPr fontId="7" type="noConversion"/>
  <hyperlinks>
    <hyperlink ref="B35" r:id="rId1" xr:uid="{1B879DB3-6ADB-423A-A840-2600653078BC}"/>
    <hyperlink ref="B36" r:id="rId2" xr:uid="{5157FC7A-1144-4648-9FF7-B15F134E8614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B3161E-B5C2-4DA0-80F5-B76E6D4B7AE6}">
  <dimension ref="A1:X33"/>
  <sheetViews>
    <sheetView workbookViewId="0">
      <selection activeCell="D6" sqref="D6:O7"/>
    </sheetView>
  </sheetViews>
  <sheetFormatPr baseColWidth="10" defaultColWidth="8.83203125" defaultRowHeight="16" x14ac:dyDescent="0.2"/>
  <cols>
    <col min="2" max="2" width="25.5" customWidth="1"/>
    <col min="3" max="3" width="19" customWidth="1"/>
    <col min="4" max="4" width="18" customWidth="1"/>
    <col min="5" max="5" width="15.5" bestFit="1" customWidth="1"/>
    <col min="6" max="6" width="9" bestFit="1" customWidth="1"/>
    <col min="7" max="7" width="15.5" bestFit="1" customWidth="1"/>
    <col min="8" max="8" width="9" bestFit="1" customWidth="1"/>
    <col min="9" max="9" width="15.5" bestFit="1" customWidth="1"/>
    <col min="10" max="10" width="9" bestFit="1" customWidth="1"/>
    <col min="11" max="11" width="15.5" bestFit="1" customWidth="1"/>
    <col min="12" max="12" width="9" bestFit="1" customWidth="1"/>
    <col min="13" max="13" width="15.5" bestFit="1" customWidth="1"/>
    <col min="15" max="15" width="20" bestFit="1" customWidth="1"/>
    <col min="16" max="16" width="13" customWidth="1"/>
    <col min="17" max="17" width="13.5" customWidth="1"/>
    <col min="18" max="18" width="16" customWidth="1"/>
    <col min="19" max="19" width="12.83203125" customWidth="1"/>
    <col min="20" max="20" width="16" customWidth="1"/>
    <col min="21" max="21" width="18.5" customWidth="1"/>
    <col min="22" max="22" width="11.33203125" bestFit="1" customWidth="1"/>
    <col min="23" max="24" width="12.83203125" bestFit="1" customWidth="1"/>
  </cols>
  <sheetData>
    <row r="1" spans="1:24" x14ac:dyDescent="0.2">
      <c r="A1" s="36" t="s">
        <v>0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R1" s="36" t="s">
        <v>1</v>
      </c>
      <c r="S1" s="41"/>
      <c r="T1" s="41"/>
      <c r="U1" s="41"/>
      <c r="V1" s="41"/>
      <c r="W1" s="41"/>
      <c r="X1" s="41"/>
    </row>
    <row r="2" spans="1:24" x14ac:dyDescent="0.2">
      <c r="A2" s="44"/>
      <c r="B2" s="44"/>
      <c r="C2" s="44"/>
      <c r="D2" s="157" t="s">
        <v>2</v>
      </c>
      <c r="E2" s="157"/>
      <c r="F2" s="157" t="s">
        <v>3</v>
      </c>
      <c r="G2" s="157"/>
      <c r="H2" s="157" t="s">
        <v>4</v>
      </c>
      <c r="I2" s="157"/>
      <c r="J2" s="157" t="s">
        <v>5</v>
      </c>
      <c r="K2" s="157"/>
      <c r="L2" s="157" t="s">
        <v>6</v>
      </c>
      <c r="M2" s="157"/>
      <c r="N2" s="157" t="s">
        <v>7</v>
      </c>
      <c r="O2" s="157"/>
      <c r="R2" s="45"/>
      <c r="S2" s="45"/>
      <c r="T2" s="46" t="s">
        <v>3</v>
      </c>
      <c r="U2" s="46" t="s">
        <v>4</v>
      </c>
      <c r="V2" s="46" t="s">
        <v>5</v>
      </c>
      <c r="W2" s="46" t="s">
        <v>6</v>
      </c>
      <c r="X2" s="46" t="s">
        <v>7</v>
      </c>
    </row>
    <row r="3" spans="1:24" x14ac:dyDescent="0.2">
      <c r="A3" s="47"/>
      <c r="B3" s="47" t="s">
        <v>9</v>
      </c>
      <c r="C3" s="47" t="s">
        <v>10</v>
      </c>
      <c r="D3" s="47" t="s">
        <v>11</v>
      </c>
      <c r="E3" s="47" t="s">
        <v>12</v>
      </c>
      <c r="F3" s="47" t="s">
        <v>11</v>
      </c>
      <c r="G3" s="47" t="s">
        <v>12</v>
      </c>
      <c r="H3" s="47" t="s">
        <v>11</v>
      </c>
      <c r="I3" s="47" t="s">
        <v>12</v>
      </c>
      <c r="J3" s="47" t="s">
        <v>11</v>
      </c>
      <c r="K3" s="47" t="s">
        <v>12</v>
      </c>
      <c r="L3" s="47" t="s">
        <v>11</v>
      </c>
      <c r="M3" s="47" t="s">
        <v>12</v>
      </c>
      <c r="N3" s="47" t="s">
        <v>11</v>
      </c>
      <c r="O3" s="47" t="s">
        <v>12</v>
      </c>
      <c r="R3" s="45"/>
      <c r="S3" s="45"/>
      <c r="T3" s="47" t="s">
        <v>12</v>
      </c>
      <c r="U3" s="47" t="s">
        <v>12</v>
      </c>
      <c r="V3" s="47" t="s">
        <v>12</v>
      </c>
      <c r="W3" s="47" t="s">
        <v>12</v>
      </c>
      <c r="X3" s="47" t="s">
        <v>12</v>
      </c>
    </row>
    <row r="4" spans="1:24" ht="15.75" customHeight="1" x14ac:dyDescent="0.2">
      <c r="A4" s="154" t="s">
        <v>100</v>
      </c>
      <c r="B4" s="44" t="s">
        <v>101</v>
      </c>
      <c r="C4" s="100">
        <v>150</v>
      </c>
      <c r="D4" s="49">
        <f>0.2*C28</f>
        <v>31001.600000000002</v>
      </c>
      <c r="E4" s="48">
        <f t="shared" ref="E4:E12" si="0">D4*C4</f>
        <v>4650240</v>
      </c>
      <c r="F4" s="49">
        <f t="shared" ref="F4:F12" si="1">D4</f>
        <v>31001.600000000002</v>
      </c>
      <c r="G4" s="48">
        <f t="shared" ref="G4:G12" si="2">F4*C4</f>
        <v>4650240</v>
      </c>
      <c r="H4" s="49">
        <f t="shared" ref="H4:H12" si="3">D4</f>
        <v>31001.600000000002</v>
      </c>
      <c r="I4" s="48">
        <f t="shared" ref="I4:I7" si="4">H4*C4</f>
        <v>4650240</v>
      </c>
      <c r="J4" s="49">
        <f t="shared" ref="J4:J12" si="5">D4</f>
        <v>31001.600000000002</v>
      </c>
      <c r="K4" s="48">
        <f t="shared" ref="K4:K12" si="6">J4*C4</f>
        <v>4650240</v>
      </c>
      <c r="L4" s="49">
        <f t="shared" ref="L4:L12" si="7">D4</f>
        <v>31001.600000000002</v>
      </c>
      <c r="M4" s="48">
        <f t="shared" ref="M4:M12" si="8">L4*C4</f>
        <v>4650240</v>
      </c>
      <c r="N4" s="49">
        <v>0</v>
      </c>
      <c r="O4" s="48">
        <f t="shared" ref="O4:O7" si="9">N4*E4</f>
        <v>0</v>
      </c>
      <c r="R4" s="156" t="s">
        <v>21</v>
      </c>
      <c r="S4" s="50" t="s">
        <v>102</v>
      </c>
      <c r="T4" s="51">
        <f>E17*0.03</f>
        <v>251823.26400000002</v>
      </c>
      <c r="U4" s="51">
        <f>0.03*G17+T4</f>
        <v>503646.52800000005</v>
      </c>
      <c r="V4" s="51">
        <f>0.03*I17+U4</f>
        <v>755469.79200000013</v>
      </c>
      <c r="W4" s="52">
        <f>0.03*K17+V4</f>
        <v>1007293.0560000001</v>
      </c>
      <c r="X4" s="52">
        <f>0.03*M17+W4</f>
        <v>1259049.1200000001</v>
      </c>
    </row>
    <row r="5" spans="1:24" ht="15.75" customHeight="1" x14ac:dyDescent="0.2">
      <c r="A5" s="154"/>
      <c r="B5" s="44" t="s">
        <v>103</v>
      </c>
      <c r="C5" s="100">
        <v>200</v>
      </c>
      <c r="D5" s="53">
        <f>0.2*C29</f>
        <v>485</v>
      </c>
      <c r="E5" s="48">
        <f t="shared" si="0"/>
        <v>97000</v>
      </c>
      <c r="F5" s="49">
        <f t="shared" si="1"/>
        <v>485</v>
      </c>
      <c r="G5" s="48">
        <f t="shared" si="2"/>
        <v>97000</v>
      </c>
      <c r="H5" s="49">
        <f t="shared" si="3"/>
        <v>485</v>
      </c>
      <c r="I5" s="48">
        <f t="shared" si="4"/>
        <v>97000</v>
      </c>
      <c r="J5" s="49">
        <f t="shared" si="5"/>
        <v>485</v>
      </c>
      <c r="K5" s="48">
        <f t="shared" si="6"/>
        <v>97000</v>
      </c>
      <c r="L5" s="49">
        <f t="shared" si="7"/>
        <v>485</v>
      </c>
      <c r="M5" s="48">
        <f t="shared" si="8"/>
        <v>97000</v>
      </c>
      <c r="N5" s="49">
        <v>0</v>
      </c>
      <c r="O5" s="48">
        <f t="shared" si="9"/>
        <v>0</v>
      </c>
      <c r="R5" s="156"/>
      <c r="S5" s="54" t="s">
        <v>104</v>
      </c>
      <c r="T5" s="55">
        <v>0</v>
      </c>
      <c r="U5" s="56">
        <f>T5</f>
        <v>0</v>
      </c>
      <c r="V5" s="56">
        <f>T5</f>
        <v>0</v>
      </c>
      <c r="W5" s="52">
        <f>T5</f>
        <v>0</v>
      </c>
      <c r="X5" s="52">
        <f>T5</f>
        <v>0</v>
      </c>
    </row>
    <row r="6" spans="1:24" x14ac:dyDescent="0.2">
      <c r="A6" s="154"/>
      <c r="B6" s="57" t="s">
        <v>105</v>
      </c>
      <c r="C6" s="100">
        <v>1000</v>
      </c>
      <c r="D6" s="53">
        <f>122</f>
        <v>122</v>
      </c>
      <c r="E6" s="100">
        <f t="shared" si="0"/>
        <v>122000</v>
      </c>
      <c r="F6" s="53">
        <f>H6</f>
        <v>122</v>
      </c>
      <c r="G6" s="100">
        <f t="shared" si="2"/>
        <v>122000</v>
      </c>
      <c r="H6" s="53">
        <f>ROUNDUP(D6,0)</f>
        <v>122</v>
      </c>
      <c r="I6" s="100">
        <f t="shared" si="4"/>
        <v>122000</v>
      </c>
      <c r="J6" s="53">
        <f>ROUNDUP(D6,0)</f>
        <v>122</v>
      </c>
      <c r="K6" s="100">
        <f t="shared" si="6"/>
        <v>122000</v>
      </c>
      <c r="L6" s="53">
        <f>120</f>
        <v>120</v>
      </c>
      <c r="M6" s="100">
        <f t="shared" si="8"/>
        <v>120000</v>
      </c>
      <c r="N6" s="53">
        <v>0</v>
      </c>
      <c r="O6" s="100">
        <f t="shared" si="9"/>
        <v>0</v>
      </c>
      <c r="R6" s="156"/>
      <c r="S6" s="59" t="s">
        <v>106</v>
      </c>
      <c r="T6" s="60">
        <f>SUM(T4:T5)</f>
        <v>251823.26400000002</v>
      </c>
      <c r="U6" s="61">
        <f>SUM(U4:U5)</f>
        <v>503646.52800000005</v>
      </c>
      <c r="V6" s="61">
        <f>SUM(V4:V5)</f>
        <v>755469.79200000013</v>
      </c>
      <c r="W6" s="61">
        <f>SUM(W4:W5)</f>
        <v>1007293.0560000001</v>
      </c>
      <c r="X6" s="61">
        <f>SUM(X4:X5)</f>
        <v>1259049.1200000001</v>
      </c>
    </row>
    <row r="7" spans="1:24" x14ac:dyDescent="0.2">
      <c r="A7" s="154"/>
      <c r="B7" s="57" t="s">
        <v>107</v>
      </c>
      <c r="C7" s="100">
        <v>5000</v>
      </c>
      <c r="D7" s="53">
        <f>0.2*C31</f>
        <v>5.8000000000000007</v>
      </c>
      <c r="E7" s="100">
        <f t="shared" si="0"/>
        <v>29000.000000000004</v>
      </c>
      <c r="F7" s="53">
        <f t="shared" si="1"/>
        <v>5.8000000000000007</v>
      </c>
      <c r="G7" s="100">
        <f t="shared" si="2"/>
        <v>29000.000000000004</v>
      </c>
      <c r="H7" s="53">
        <f t="shared" si="3"/>
        <v>5.8000000000000007</v>
      </c>
      <c r="I7" s="100">
        <f t="shared" si="4"/>
        <v>29000.000000000004</v>
      </c>
      <c r="J7" s="53">
        <f t="shared" si="5"/>
        <v>5.8000000000000007</v>
      </c>
      <c r="K7" s="100">
        <f t="shared" si="6"/>
        <v>29000.000000000004</v>
      </c>
      <c r="L7" s="53">
        <f t="shared" si="7"/>
        <v>5.8000000000000007</v>
      </c>
      <c r="M7" s="100">
        <f t="shared" si="8"/>
        <v>29000.000000000004</v>
      </c>
      <c r="N7" s="53">
        <v>0</v>
      </c>
      <c r="O7" s="100">
        <f t="shared" si="9"/>
        <v>0</v>
      </c>
      <c r="P7" s="45"/>
      <c r="Q7" s="45"/>
      <c r="R7" s="51"/>
      <c r="S7" s="44"/>
      <c r="T7" s="44"/>
      <c r="U7" s="44"/>
    </row>
    <row r="8" spans="1:24" x14ac:dyDescent="0.2">
      <c r="A8" s="154"/>
      <c r="B8" s="153" t="s">
        <v>26</v>
      </c>
      <c r="C8" s="153"/>
      <c r="D8" s="153"/>
      <c r="E8" s="62">
        <f>SUM(E4:E7)</f>
        <v>4898240</v>
      </c>
      <c r="F8" s="63"/>
      <c r="G8" s="64">
        <f>SUM(G4:G7)</f>
        <v>4898240</v>
      </c>
      <c r="H8" s="63"/>
      <c r="I8" s="64">
        <f>SUM(I4:I7)</f>
        <v>4898240</v>
      </c>
      <c r="J8" s="65"/>
      <c r="K8" s="64">
        <f>SUM(K4:K7)</f>
        <v>4898240</v>
      </c>
      <c r="L8" s="65"/>
      <c r="M8" s="64">
        <f>SUM(M4:M7)</f>
        <v>4896240</v>
      </c>
      <c r="N8" s="65"/>
      <c r="O8" s="64">
        <f>SUM(O4:O7)</f>
        <v>0</v>
      </c>
      <c r="P8" s="66"/>
      <c r="Q8" s="66"/>
      <c r="R8" s="51"/>
      <c r="S8" s="44"/>
      <c r="T8" s="44"/>
      <c r="U8" s="44"/>
    </row>
    <row r="9" spans="1:24" x14ac:dyDescent="0.2">
      <c r="A9" s="154"/>
      <c r="B9" s="153" t="s">
        <v>28</v>
      </c>
      <c r="C9" s="153"/>
      <c r="D9" s="153"/>
      <c r="E9" s="62">
        <f>0.12*E8</f>
        <v>587788.79999999993</v>
      </c>
      <c r="F9" s="63"/>
      <c r="G9" s="64">
        <f>0.12*G8</f>
        <v>587788.79999999993</v>
      </c>
      <c r="H9" s="63"/>
      <c r="I9" s="64">
        <f>0.12*I8</f>
        <v>587788.79999999993</v>
      </c>
      <c r="J9" s="65"/>
      <c r="K9" s="64">
        <f>0.12*K8</f>
        <v>587788.79999999993</v>
      </c>
      <c r="L9" s="65"/>
      <c r="M9" s="64">
        <f>0.12*M8</f>
        <v>587548.79999999993</v>
      </c>
      <c r="N9" s="65"/>
      <c r="O9" s="64">
        <f>0.12*O8</f>
        <v>0</v>
      </c>
      <c r="P9" s="66"/>
      <c r="Q9" s="66"/>
      <c r="R9" s="51"/>
      <c r="S9" s="44"/>
      <c r="T9" s="44"/>
      <c r="U9" s="44"/>
    </row>
    <row r="10" spans="1:24" x14ac:dyDescent="0.2">
      <c r="A10" s="154"/>
      <c r="B10" s="153" t="s">
        <v>30</v>
      </c>
      <c r="C10" s="153"/>
      <c r="D10" s="153"/>
      <c r="E10" s="62">
        <f>SUM(E8:E9)</f>
        <v>5486028.7999999998</v>
      </c>
      <c r="F10" s="63"/>
      <c r="G10" s="64">
        <f>SUM(G8:G9)</f>
        <v>5486028.7999999998</v>
      </c>
      <c r="H10" s="63"/>
      <c r="I10" s="64">
        <f>SUM(I8:I9)</f>
        <v>5486028.7999999998</v>
      </c>
      <c r="J10" s="65"/>
      <c r="K10" s="64">
        <f>SUM(K8:K9)</f>
        <v>5486028.7999999998</v>
      </c>
      <c r="L10" s="65"/>
      <c r="M10" s="64">
        <f>SUM(M8:M9)</f>
        <v>5483788.7999999998</v>
      </c>
      <c r="N10" s="65"/>
      <c r="O10" s="64">
        <f>SUM(O8:O9)</f>
        <v>0</v>
      </c>
      <c r="P10" s="66"/>
      <c r="Q10" s="66"/>
      <c r="R10" s="51"/>
      <c r="S10" s="44"/>
      <c r="T10" s="44"/>
      <c r="U10" s="44"/>
    </row>
    <row r="11" spans="1:24" ht="15.75" customHeight="1" x14ac:dyDescent="0.2">
      <c r="A11" s="154" t="s">
        <v>108</v>
      </c>
      <c r="B11" s="44" t="s">
        <v>109</v>
      </c>
      <c r="C11" s="48">
        <v>2500</v>
      </c>
      <c r="D11" s="49">
        <f>0.2*C32</f>
        <v>355.8</v>
      </c>
      <c r="E11" s="48">
        <f t="shared" si="0"/>
        <v>889500</v>
      </c>
      <c r="F11" s="49">
        <f t="shared" si="1"/>
        <v>355.8</v>
      </c>
      <c r="G11" s="48">
        <f t="shared" si="2"/>
        <v>889500</v>
      </c>
      <c r="H11" s="49">
        <f t="shared" si="3"/>
        <v>355.8</v>
      </c>
      <c r="I11" s="48">
        <f>H11*C11</f>
        <v>889500</v>
      </c>
      <c r="J11" s="49">
        <f t="shared" si="5"/>
        <v>355.8</v>
      </c>
      <c r="K11" s="48">
        <f t="shared" si="6"/>
        <v>889500</v>
      </c>
      <c r="L11" s="49">
        <f t="shared" si="7"/>
        <v>355.8</v>
      </c>
      <c r="M11" s="48">
        <f t="shared" si="8"/>
        <v>889500</v>
      </c>
      <c r="N11" s="49">
        <v>0</v>
      </c>
      <c r="O11" s="48">
        <f t="shared" ref="O11:O12" si="10">N11*E11</f>
        <v>0</v>
      </c>
      <c r="P11" s="45"/>
      <c r="Q11" s="45"/>
      <c r="R11" s="45"/>
      <c r="S11" s="44"/>
      <c r="T11" s="44"/>
      <c r="U11" s="44"/>
    </row>
    <row r="12" spans="1:24" ht="15.75" customHeight="1" x14ac:dyDescent="0.2">
      <c r="A12" s="154"/>
      <c r="B12" s="44" t="s">
        <v>110</v>
      </c>
      <c r="C12" s="48">
        <v>300</v>
      </c>
      <c r="D12" s="49">
        <f>0.2*C33</f>
        <v>5690</v>
      </c>
      <c r="E12" s="48">
        <f t="shared" si="0"/>
        <v>1707000</v>
      </c>
      <c r="F12" s="49">
        <f t="shared" si="1"/>
        <v>5690</v>
      </c>
      <c r="G12" s="48">
        <f t="shared" si="2"/>
        <v>1707000</v>
      </c>
      <c r="H12" s="49">
        <f t="shared" si="3"/>
        <v>5690</v>
      </c>
      <c r="I12" s="48">
        <f>H12*C12</f>
        <v>1707000</v>
      </c>
      <c r="J12" s="49">
        <f t="shared" si="5"/>
        <v>5690</v>
      </c>
      <c r="K12" s="48">
        <f t="shared" si="6"/>
        <v>1707000</v>
      </c>
      <c r="L12" s="49">
        <f t="shared" si="7"/>
        <v>5690</v>
      </c>
      <c r="M12" s="48">
        <f t="shared" si="8"/>
        <v>1707000</v>
      </c>
      <c r="N12" s="49">
        <v>0</v>
      </c>
      <c r="O12" s="48">
        <f t="shared" si="10"/>
        <v>0</v>
      </c>
      <c r="P12" s="44"/>
      <c r="Q12" s="44"/>
      <c r="R12" s="44"/>
      <c r="S12" s="44"/>
      <c r="T12" s="44"/>
      <c r="U12" s="44"/>
    </row>
    <row r="13" spans="1:24" x14ac:dyDescent="0.2">
      <c r="A13" s="154"/>
      <c r="B13" s="153" t="s">
        <v>26</v>
      </c>
      <c r="C13" s="153"/>
      <c r="D13" s="153"/>
      <c r="E13" s="62">
        <f>SUM(E11:E12)</f>
        <v>2596500</v>
      </c>
      <c r="F13" s="63"/>
      <c r="G13" s="64">
        <f>SUM(G11:G12)</f>
        <v>2596500</v>
      </c>
      <c r="H13" s="63"/>
      <c r="I13" s="64">
        <f>SUM(I11:I12)</f>
        <v>2596500</v>
      </c>
      <c r="J13" s="65"/>
      <c r="K13" s="64">
        <f>SUM(K11:K12)</f>
        <v>2596500</v>
      </c>
      <c r="L13" s="65"/>
      <c r="M13" s="64">
        <f>SUM(M11:M12)</f>
        <v>2596500</v>
      </c>
      <c r="N13" s="65"/>
      <c r="O13" s="64">
        <f>SUM(O11:O12)</f>
        <v>0</v>
      </c>
      <c r="P13" s="44"/>
      <c r="Q13" s="44"/>
      <c r="R13" s="44"/>
      <c r="S13" s="44"/>
      <c r="T13" s="44"/>
      <c r="U13" s="44"/>
    </row>
    <row r="14" spans="1:24" x14ac:dyDescent="0.2">
      <c r="A14" s="154"/>
      <c r="B14" s="153" t="s">
        <v>28</v>
      </c>
      <c r="C14" s="153"/>
      <c r="D14" s="153"/>
      <c r="E14" s="62">
        <f>0.12*E13</f>
        <v>311580</v>
      </c>
      <c r="F14" s="63"/>
      <c r="G14" s="64">
        <f>0.12*G13</f>
        <v>311580</v>
      </c>
      <c r="H14" s="63"/>
      <c r="I14" s="64">
        <f>0.12*I13</f>
        <v>311580</v>
      </c>
      <c r="J14" s="65"/>
      <c r="K14" s="64">
        <f>0.12*K13</f>
        <v>311580</v>
      </c>
      <c r="L14" s="65"/>
      <c r="M14" s="64">
        <f>0.12*M13</f>
        <v>311580</v>
      </c>
      <c r="N14" s="65"/>
      <c r="O14" s="64">
        <f>0.12*O13</f>
        <v>0</v>
      </c>
      <c r="P14" s="44"/>
      <c r="Q14" s="44"/>
      <c r="R14" s="44"/>
      <c r="S14" s="44"/>
      <c r="T14" s="44"/>
      <c r="U14" s="44"/>
    </row>
    <row r="15" spans="1:24" x14ac:dyDescent="0.2">
      <c r="A15" s="154"/>
      <c r="B15" s="153" t="s">
        <v>30</v>
      </c>
      <c r="C15" s="153"/>
      <c r="D15" s="153"/>
      <c r="E15" s="62">
        <f>SUM(E13:E14)</f>
        <v>2908080</v>
      </c>
      <c r="F15" s="63"/>
      <c r="G15" s="64">
        <f>SUM(G13:G14)</f>
        <v>2908080</v>
      </c>
      <c r="H15" s="63"/>
      <c r="I15" s="64">
        <f>SUM(I13:I14)</f>
        <v>2908080</v>
      </c>
      <c r="J15" s="65"/>
      <c r="K15" s="64">
        <f>SUM(K13:K14)</f>
        <v>2908080</v>
      </c>
      <c r="L15" s="65"/>
      <c r="M15" s="64">
        <f>SUM(M13:M14)</f>
        <v>2908080</v>
      </c>
      <c r="N15" s="65"/>
      <c r="O15" s="64">
        <f>SUM(O13:O14)</f>
        <v>0</v>
      </c>
      <c r="P15" s="44"/>
      <c r="Q15" s="44"/>
      <c r="R15" s="44"/>
      <c r="S15" s="44"/>
      <c r="T15" s="44"/>
      <c r="U15" s="44"/>
    </row>
    <row r="16" spans="1:24" s="41" customFormat="1" x14ac:dyDescent="0.2">
      <c r="A16" s="67"/>
      <c r="B16" s="155"/>
      <c r="C16" s="155"/>
      <c r="D16" s="155"/>
      <c r="E16" s="68"/>
      <c r="F16" s="57"/>
      <c r="G16" s="58"/>
      <c r="H16" s="57"/>
      <c r="I16" s="58"/>
      <c r="J16" s="69"/>
      <c r="K16" s="58"/>
      <c r="L16" s="69"/>
      <c r="M16" s="58"/>
      <c r="N16" s="69"/>
      <c r="O16" s="58"/>
      <c r="P16" s="44"/>
      <c r="Q16" s="44"/>
      <c r="R16" s="44"/>
      <c r="S16" s="44"/>
      <c r="T16" s="44"/>
      <c r="U16" s="44"/>
    </row>
    <row r="17" spans="1:21" x14ac:dyDescent="0.2">
      <c r="A17" s="44"/>
      <c r="B17" s="152" t="s">
        <v>111</v>
      </c>
      <c r="C17" s="152"/>
      <c r="D17" s="152"/>
      <c r="E17" s="70">
        <f>E15+E10</f>
        <v>8394108.8000000007</v>
      </c>
      <c r="F17" s="71"/>
      <c r="G17" s="72">
        <f>G15+G10</f>
        <v>8394108.8000000007</v>
      </c>
      <c r="H17" s="72">
        <f t="shared" ref="H17:O17" si="11">H15+H10</f>
        <v>0</v>
      </c>
      <c r="I17" s="72">
        <f t="shared" si="11"/>
        <v>8394108.8000000007</v>
      </c>
      <c r="J17" s="72">
        <f t="shared" si="11"/>
        <v>0</v>
      </c>
      <c r="K17" s="72">
        <f t="shared" si="11"/>
        <v>8394108.8000000007</v>
      </c>
      <c r="L17" s="72">
        <f t="shared" si="11"/>
        <v>0</v>
      </c>
      <c r="M17" s="72">
        <f t="shared" si="11"/>
        <v>8391868.8000000007</v>
      </c>
      <c r="N17" s="72">
        <f t="shared" si="11"/>
        <v>0</v>
      </c>
      <c r="O17" s="72">
        <f t="shared" si="11"/>
        <v>0</v>
      </c>
      <c r="P17" s="44"/>
      <c r="Q17" s="44"/>
      <c r="R17" s="44"/>
      <c r="S17" s="44"/>
      <c r="T17" s="44"/>
      <c r="U17" s="44"/>
    </row>
    <row r="18" spans="1:21" x14ac:dyDescent="0.2">
      <c r="A18" s="41"/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</row>
    <row r="22" spans="1:21" x14ac:dyDescent="0.2">
      <c r="I22" t="s">
        <v>112</v>
      </c>
    </row>
    <row r="26" spans="1:21" x14ac:dyDescent="0.2">
      <c r="B26" t="s">
        <v>113</v>
      </c>
    </row>
    <row r="27" spans="1:21" x14ac:dyDescent="0.2">
      <c r="C27" s="2" t="s">
        <v>114</v>
      </c>
      <c r="E27" s="2" t="s">
        <v>115</v>
      </c>
    </row>
    <row r="28" spans="1:21" x14ac:dyDescent="0.2">
      <c r="B28" t="s">
        <v>101</v>
      </c>
      <c r="C28">
        <v>155008</v>
      </c>
      <c r="E28" t="s">
        <v>116</v>
      </c>
      <c r="F28">
        <v>0.25</v>
      </c>
    </row>
    <row r="29" spans="1:21" x14ac:dyDescent="0.2">
      <c r="B29" t="s">
        <v>103</v>
      </c>
      <c r="C29">
        <v>2425</v>
      </c>
      <c r="E29" t="s">
        <v>117</v>
      </c>
      <c r="F29">
        <v>1200</v>
      </c>
    </row>
    <row r="30" spans="1:21" x14ac:dyDescent="0.2">
      <c r="B30" t="s">
        <v>105</v>
      </c>
      <c r="C30">
        <v>608</v>
      </c>
      <c r="E30" t="s">
        <v>118</v>
      </c>
      <c r="F30">
        <f>F29*F28</f>
        <v>300</v>
      </c>
    </row>
    <row r="31" spans="1:21" x14ac:dyDescent="0.2">
      <c r="B31" t="s">
        <v>107</v>
      </c>
      <c r="C31">
        <v>29</v>
      </c>
      <c r="E31" t="s">
        <v>119</v>
      </c>
      <c r="F31">
        <f>280</f>
        <v>280</v>
      </c>
    </row>
    <row r="32" spans="1:21" x14ac:dyDescent="0.2">
      <c r="B32" t="s">
        <v>109</v>
      </c>
      <c r="C32">
        <v>1779</v>
      </c>
      <c r="E32" t="s">
        <v>120</v>
      </c>
      <c r="F32">
        <f>F30*F31</f>
        <v>84000</v>
      </c>
    </row>
    <row r="33" spans="2:3" x14ac:dyDescent="0.2">
      <c r="B33" t="s">
        <v>110</v>
      </c>
      <c r="C33">
        <v>28450</v>
      </c>
    </row>
  </sheetData>
  <mergeCells count="17">
    <mergeCell ref="R4:R6"/>
    <mergeCell ref="D2:E2"/>
    <mergeCell ref="F2:G2"/>
    <mergeCell ref="H2:I2"/>
    <mergeCell ref="J2:K2"/>
    <mergeCell ref="L2:M2"/>
    <mergeCell ref="N2:O2"/>
    <mergeCell ref="B17:D17"/>
    <mergeCell ref="B8:D8"/>
    <mergeCell ref="B9:D9"/>
    <mergeCell ref="B10:D10"/>
    <mergeCell ref="A4:A10"/>
    <mergeCell ref="B14:D14"/>
    <mergeCell ref="B15:D15"/>
    <mergeCell ref="B16:D16"/>
    <mergeCell ref="B13:D13"/>
    <mergeCell ref="A11:A15"/>
  </mergeCells>
  <phoneticPr fontId="7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DF9A67-E9B2-48C1-B221-B0E2D863E2EC}">
  <dimension ref="A1:Y8"/>
  <sheetViews>
    <sheetView workbookViewId="0">
      <selection activeCell="L2" sqref="L2:O7"/>
    </sheetView>
  </sheetViews>
  <sheetFormatPr baseColWidth="10" defaultColWidth="8.83203125" defaultRowHeight="16" x14ac:dyDescent="0.2"/>
  <cols>
    <col min="2" max="2" width="21.5" customWidth="1"/>
    <col min="4" max="4" width="9.83203125" bestFit="1" customWidth="1"/>
    <col min="5" max="5" width="14" bestFit="1" customWidth="1"/>
    <col min="16" max="16" width="11.5" customWidth="1"/>
    <col min="17" max="17" width="14" customWidth="1"/>
    <col min="18" max="21" width="11.83203125" bestFit="1" customWidth="1"/>
    <col min="22" max="22" width="11.33203125" bestFit="1" customWidth="1"/>
  </cols>
  <sheetData>
    <row r="1" spans="1:25" x14ac:dyDescent="0.2">
      <c r="A1" s="2" t="s">
        <v>0</v>
      </c>
      <c r="R1" s="2" t="s">
        <v>1</v>
      </c>
    </row>
    <row r="2" spans="1:25" x14ac:dyDescent="0.2">
      <c r="D2" s="141" t="s">
        <v>2</v>
      </c>
      <c r="E2" s="141"/>
      <c r="F2" s="141" t="s">
        <v>3</v>
      </c>
      <c r="G2" s="141"/>
      <c r="H2" s="141" t="s">
        <v>4</v>
      </c>
      <c r="I2" s="141"/>
      <c r="J2" s="141" t="s">
        <v>5</v>
      </c>
      <c r="K2" s="141"/>
      <c r="L2" s="141" t="s">
        <v>6</v>
      </c>
      <c r="M2" s="141"/>
      <c r="N2" s="141" t="s">
        <v>7</v>
      </c>
      <c r="O2" s="141"/>
    </row>
    <row r="3" spans="1:25" x14ac:dyDescent="0.2">
      <c r="A3" s="5" t="s">
        <v>8</v>
      </c>
      <c r="B3" s="5" t="s">
        <v>9</v>
      </c>
      <c r="C3" s="5" t="s">
        <v>10</v>
      </c>
      <c r="D3" s="5" t="s">
        <v>11</v>
      </c>
      <c r="E3" s="5" t="s">
        <v>12</v>
      </c>
      <c r="F3" s="5" t="s">
        <v>11</v>
      </c>
      <c r="G3" s="5" t="s">
        <v>12</v>
      </c>
      <c r="H3" s="5" t="s">
        <v>11</v>
      </c>
      <c r="I3" s="5" t="s">
        <v>12</v>
      </c>
      <c r="J3" s="5" t="s">
        <v>11</v>
      </c>
      <c r="K3" s="5" t="s">
        <v>12</v>
      </c>
      <c r="L3" s="5" t="s">
        <v>11</v>
      </c>
      <c r="M3" s="5" t="s">
        <v>12</v>
      </c>
      <c r="N3" s="5" t="s">
        <v>11</v>
      </c>
      <c r="O3" s="5" t="s">
        <v>12</v>
      </c>
      <c r="R3" s="5" t="s">
        <v>13</v>
      </c>
      <c r="S3" s="5"/>
      <c r="T3" s="15" t="s">
        <v>14</v>
      </c>
      <c r="U3" s="15" t="s">
        <v>15</v>
      </c>
      <c r="V3" s="15" t="s">
        <v>16</v>
      </c>
      <c r="W3" s="15" t="s">
        <v>17</v>
      </c>
      <c r="X3" s="15" t="s">
        <v>18</v>
      </c>
    </row>
    <row r="4" spans="1:25" ht="15.75" customHeight="1" x14ac:dyDescent="0.2">
      <c r="A4" s="139" t="s">
        <v>19</v>
      </c>
      <c r="B4" t="s">
        <v>121</v>
      </c>
      <c r="C4">
        <v>3549.54</v>
      </c>
      <c r="D4" s="76">
        <v>0</v>
      </c>
      <c r="E4" s="8">
        <f>C4*D4</f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8">
        <v>0</v>
      </c>
      <c r="R4" s="140" t="s">
        <v>21</v>
      </c>
      <c r="S4" t="s">
        <v>122</v>
      </c>
      <c r="T4" s="8">
        <f>0.03*$E$7</f>
        <v>0</v>
      </c>
      <c r="U4" s="8">
        <f>0.03*$E$7</f>
        <v>0</v>
      </c>
      <c r="V4" s="8">
        <f>0.03*$E$7</f>
        <v>0</v>
      </c>
      <c r="W4" s="8">
        <f>0.03*$E$7</f>
        <v>0</v>
      </c>
      <c r="X4" s="8">
        <f>0.03*$E$7</f>
        <v>0</v>
      </c>
    </row>
    <row r="5" spans="1:25" x14ac:dyDescent="0.2">
      <c r="A5" s="139"/>
      <c r="B5" s="3" t="s">
        <v>26</v>
      </c>
      <c r="C5" s="4"/>
      <c r="D5" s="9"/>
      <c r="E5" s="9">
        <f>SUM(E4:E4)</f>
        <v>0</v>
      </c>
      <c r="F5" s="9">
        <f>SUM(F4:F4)</f>
        <v>0</v>
      </c>
      <c r="G5" s="9">
        <f t="shared" ref="G5:M5" si="0">SUM(G4:G4)</f>
        <v>0</v>
      </c>
      <c r="H5" s="9">
        <f t="shared" si="0"/>
        <v>0</v>
      </c>
      <c r="I5" s="9">
        <f t="shared" si="0"/>
        <v>0</v>
      </c>
      <c r="J5" s="9">
        <f t="shared" si="0"/>
        <v>0</v>
      </c>
      <c r="K5" s="9">
        <f t="shared" si="0"/>
        <v>0</v>
      </c>
      <c r="L5" s="9">
        <f t="shared" si="0"/>
        <v>0</v>
      </c>
      <c r="M5" s="9">
        <f t="shared" si="0"/>
        <v>0</v>
      </c>
      <c r="N5" s="9">
        <f t="shared" ref="N5:O5" si="1">SUM(N4:N4)</f>
        <v>0</v>
      </c>
      <c r="O5" s="9">
        <f t="shared" si="1"/>
        <v>0</v>
      </c>
      <c r="R5" s="140"/>
      <c r="S5" s="4" t="s">
        <v>29</v>
      </c>
      <c r="T5" s="9">
        <f>T4</f>
        <v>0</v>
      </c>
      <c r="U5" s="9">
        <f t="shared" ref="U5:X5" si="2">U4</f>
        <v>0</v>
      </c>
      <c r="V5" s="9">
        <f t="shared" si="2"/>
        <v>0</v>
      </c>
      <c r="W5" s="9">
        <f t="shared" si="2"/>
        <v>0</v>
      </c>
      <c r="X5" s="9">
        <f t="shared" si="2"/>
        <v>0</v>
      </c>
      <c r="Y5" s="9">
        <f>SUM(T4:X4)</f>
        <v>0</v>
      </c>
    </row>
    <row r="6" spans="1:25" x14ac:dyDescent="0.2">
      <c r="A6" s="139"/>
      <c r="B6" s="3" t="s">
        <v>28</v>
      </c>
      <c r="C6" s="4"/>
      <c r="D6" s="9"/>
      <c r="E6" s="9">
        <f>E5*0.12</f>
        <v>0</v>
      </c>
      <c r="F6" s="9">
        <f t="shared" ref="F6:M6" si="3">F5*0.12</f>
        <v>0</v>
      </c>
      <c r="G6" s="9">
        <f t="shared" si="3"/>
        <v>0</v>
      </c>
      <c r="H6" s="9">
        <f t="shared" si="3"/>
        <v>0</v>
      </c>
      <c r="I6" s="9">
        <f t="shared" si="3"/>
        <v>0</v>
      </c>
      <c r="J6" s="9">
        <f t="shared" si="3"/>
        <v>0</v>
      </c>
      <c r="K6" s="9">
        <f t="shared" si="3"/>
        <v>0</v>
      </c>
      <c r="L6" s="9">
        <f t="shared" si="3"/>
        <v>0</v>
      </c>
      <c r="M6" s="9">
        <f t="shared" si="3"/>
        <v>0</v>
      </c>
      <c r="N6" s="9">
        <f t="shared" ref="N6:O6" si="4">N5*0.12</f>
        <v>0</v>
      </c>
      <c r="O6" s="9">
        <f t="shared" si="4"/>
        <v>0</v>
      </c>
    </row>
    <row r="7" spans="1:25" x14ac:dyDescent="0.2">
      <c r="A7" s="139"/>
      <c r="B7" s="3" t="s">
        <v>30</v>
      </c>
      <c r="C7" s="4"/>
      <c r="D7" s="9"/>
      <c r="E7" s="9">
        <f>E5+E6</f>
        <v>0</v>
      </c>
      <c r="F7" s="9">
        <f t="shared" ref="F7:M7" si="5">F5+F6</f>
        <v>0</v>
      </c>
      <c r="G7" s="9">
        <f t="shared" si="5"/>
        <v>0</v>
      </c>
      <c r="H7" s="9">
        <f t="shared" si="5"/>
        <v>0</v>
      </c>
      <c r="I7" s="9">
        <f t="shared" si="5"/>
        <v>0</v>
      </c>
      <c r="J7" s="9">
        <f t="shared" si="5"/>
        <v>0</v>
      </c>
      <c r="K7" s="9">
        <f t="shared" si="5"/>
        <v>0</v>
      </c>
      <c r="L7" s="9">
        <f t="shared" si="5"/>
        <v>0</v>
      </c>
      <c r="M7" s="9">
        <f t="shared" si="5"/>
        <v>0</v>
      </c>
      <c r="N7" s="9">
        <f t="shared" ref="N7:O7" si="6">N5+N6</f>
        <v>0</v>
      </c>
      <c r="O7" s="9">
        <f t="shared" si="6"/>
        <v>0</v>
      </c>
    </row>
    <row r="8" spans="1:25" x14ac:dyDescent="0.2">
      <c r="A8" s="139"/>
    </row>
  </sheetData>
  <mergeCells count="8">
    <mergeCell ref="A4:A8"/>
    <mergeCell ref="R4:R5"/>
    <mergeCell ref="D2:E2"/>
    <mergeCell ref="F2:G2"/>
    <mergeCell ref="H2:I2"/>
    <mergeCell ref="J2:K2"/>
    <mergeCell ref="L2:M2"/>
    <mergeCell ref="N2:O2"/>
  </mergeCells>
  <phoneticPr fontId="7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B3FDC-7127-44D7-AFB9-060AF8E84967}">
  <dimension ref="A1:X45"/>
  <sheetViews>
    <sheetView topLeftCell="B24" workbookViewId="0">
      <selection activeCell="M51" sqref="M51"/>
    </sheetView>
  </sheetViews>
  <sheetFormatPr baseColWidth="10" defaultColWidth="11" defaultRowHeight="16" x14ac:dyDescent="0.2"/>
  <cols>
    <col min="1" max="1" width="21.33203125" customWidth="1"/>
    <col min="2" max="2" width="27.83203125" customWidth="1"/>
    <col min="5" max="5" width="10.33203125" customWidth="1"/>
    <col min="8" max="8" width="11" customWidth="1"/>
    <col min="9" max="9" width="14" bestFit="1" customWidth="1"/>
    <col min="15" max="15" width="16.83203125" customWidth="1"/>
    <col min="16" max="16" width="16.5" bestFit="1" customWidth="1"/>
    <col min="17" max="17" width="11.33203125" bestFit="1" customWidth="1"/>
    <col min="18" max="21" width="11.5" bestFit="1" customWidth="1"/>
  </cols>
  <sheetData>
    <row r="1" spans="1:21" x14ac:dyDescent="0.2">
      <c r="A1" s="2" t="s">
        <v>85</v>
      </c>
      <c r="O1" s="2" t="s">
        <v>86</v>
      </c>
    </row>
    <row r="2" spans="1:21" x14ac:dyDescent="0.2">
      <c r="A2" s="27" t="s">
        <v>33</v>
      </c>
      <c r="D2" s="141" t="s">
        <v>3</v>
      </c>
      <c r="E2" s="141"/>
      <c r="F2" s="141" t="s">
        <v>4</v>
      </c>
      <c r="G2" s="141"/>
      <c r="H2" s="141" t="s">
        <v>5</v>
      </c>
      <c r="I2" s="141"/>
      <c r="J2" s="141" t="s">
        <v>6</v>
      </c>
      <c r="K2" s="141"/>
      <c r="L2" s="141" t="s">
        <v>7</v>
      </c>
      <c r="M2" s="141"/>
    </row>
    <row r="3" spans="1:21" x14ac:dyDescent="0.2">
      <c r="A3" s="1" t="s">
        <v>8</v>
      </c>
      <c r="B3" s="1" t="s">
        <v>9</v>
      </c>
      <c r="C3" s="1" t="s">
        <v>10</v>
      </c>
      <c r="D3" s="1" t="s">
        <v>11</v>
      </c>
      <c r="E3" s="1" t="s">
        <v>12</v>
      </c>
      <c r="F3" s="1" t="s">
        <v>11</v>
      </c>
      <c r="G3" s="1" t="s">
        <v>12</v>
      </c>
      <c r="H3" s="1" t="s">
        <v>11</v>
      </c>
      <c r="I3" s="1" t="s">
        <v>12</v>
      </c>
      <c r="J3" s="1" t="s">
        <v>11</v>
      </c>
      <c r="K3" s="1" t="s">
        <v>12</v>
      </c>
      <c r="L3" s="1" t="s">
        <v>11</v>
      </c>
      <c r="M3" s="1" t="s">
        <v>12</v>
      </c>
      <c r="O3" s="15" t="s">
        <v>8</v>
      </c>
      <c r="P3" s="15"/>
      <c r="Q3" s="15" t="s">
        <v>14</v>
      </c>
      <c r="R3" s="15" t="s">
        <v>15</v>
      </c>
      <c r="S3" s="15" t="s">
        <v>16</v>
      </c>
      <c r="T3" s="15" t="s">
        <v>17</v>
      </c>
      <c r="U3" s="15" t="s">
        <v>18</v>
      </c>
    </row>
    <row r="4" spans="1:21" ht="16" customHeight="1" x14ac:dyDescent="0.2">
      <c r="A4" s="151" t="s">
        <v>87</v>
      </c>
      <c r="B4" t="s">
        <v>123</v>
      </c>
      <c r="C4">
        <v>500</v>
      </c>
      <c r="D4">
        <v>0</v>
      </c>
      <c r="E4">
        <f>C4*D4</f>
        <v>0</v>
      </c>
      <c r="F4" t="s">
        <v>56</v>
      </c>
      <c r="G4" t="s">
        <v>56</v>
      </c>
      <c r="H4" t="s">
        <v>56</v>
      </c>
      <c r="I4" t="s">
        <v>56</v>
      </c>
      <c r="J4" t="s">
        <v>56</v>
      </c>
      <c r="K4" t="s">
        <v>56</v>
      </c>
      <c r="L4" t="s">
        <v>56</v>
      </c>
      <c r="M4" t="s">
        <v>56</v>
      </c>
      <c r="O4" s="142" t="s">
        <v>87</v>
      </c>
      <c r="P4" t="s">
        <v>124</v>
      </c>
      <c r="Q4">
        <f>840*14</f>
        <v>11760</v>
      </c>
      <c r="R4">
        <f>840*14</f>
        <v>11760</v>
      </c>
      <c r="S4">
        <f>840*14</f>
        <v>11760</v>
      </c>
      <c r="T4">
        <f>840*14</f>
        <v>11760</v>
      </c>
      <c r="U4">
        <f>840*14</f>
        <v>11760</v>
      </c>
    </row>
    <row r="5" spans="1:21" x14ac:dyDescent="0.2">
      <c r="A5" s="151"/>
      <c r="B5" t="s">
        <v>125</v>
      </c>
      <c r="C5">
        <v>60000</v>
      </c>
      <c r="D5">
        <v>1</v>
      </c>
      <c r="E5">
        <f>C5*D5</f>
        <v>60000</v>
      </c>
      <c r="F5" t="s">
        <v>56</v>
      </c>
      <c r="G5" t="s">
        <v>56</v>
      </c>
      <c r="H5" t="s">
        <v>56</v>
      </c>
      <c r="I5" t="s">
        <v>56</v>
      </c>
      <c r="J5" t="s">
        <v>56</v>
      </c>
      <c r="K5" t="s">
        <v>56</v>
      </c>
      <c r="L5" t="s">
        <v>56</v>
      </c>
      <c r="M5" t="s">
        <v>56</v>
      </c>
      <c r="O5" s="142"/>
      <c r="P5" s="13" t="s">
        <v>39</v>
      </c>
      <c r="Q5" s="13">
        <f>E10*0.03</f>
        <v>2016</v>
      </c>
      <c r="R5" s="13">
        <f>E10*0.03</f>
        <v>2016</v>
      </c>
      <c r="S5" s="13">
        <f>E10*0.03</f>
        <v>2016</v>
      </c>
      <c r="T5" s="13">
        <f>E10*0.03</f>
        <v>2016</v>
      </c>
      <c r="U5" s="13">
        <f>E10*0.03</f>
        <v>2016</v>
      </c>
    </row>
    <row r="6" spans="1:21" x14ac:dyDescent="0.2">
      <c r="A6" s="151"/>
      <c r="O6" s="142"/>
      <c r="P6" s="13" t="s">
        <v>91</v>
      </c>
      <c r="Q6" s="13">
        <f>0.401*8760*0.1</f>
        <v>351.27600000000007</v>
      </c>
      <c r="R6" s="13">
        <f>0.401*8760*0.1</f>
        <v>351.27600000000007</v>
      </c>
      <c r="S6" s="13">
        <f>0.401*8760*0.1</f>
        <v>351.27600000000007</v>
      </c>
      <c r="T6" s="13">
        <f>0.401*8760*0.1</f>
        <v>351.27600000000007</v>
      </c>
      <c r="U6" s="13">
        <f>0.401*8760*0.1</f>
        <v>351.27600000000007</v>
      </c>
    </row>
    <row r="7" spans="1:21" x14ac:dyDescent="0.2">
      <c r="A7" s="151"/>
      <c r="O7" s="142"/>
      <c r="P7" s="17" t="s">
        <v>29</v>
      </c>
      <c r="Q7" s="17">
        <f>SUM(Q4:Q6)</f>
        <v>14127.276</v>
      </c>
      <c r="R7" s="17">
        <f>SUM(R4:R6)</f>
        <v>14127.276</v>
      </c>
      <c r="S7" s="17">
        <f>SUM(S4:S6)</f>
        <v>14127.276</v>
      </c>
      <c r="T7" s="17">
        <f>SUM(T4:T6)</f>
        <v>14127.276</v>
      </c>
      <c r="U7" s="17">
        <f>SUM(U4:U6)</f>
        <v>14127.276</v>
      </c>
    </row>
    <row r="8" spans="1:21" x14ac:dyDescent="0.2">
      <c r="A8" s="151"/>
      <c r="B8" s="3" t="s">
        <v>26</v>
      </c>
      <c r="C8" s="4"/>
      <c r="D8" s="4"/>
      <c r="E8" s="4">
        <f>SUM(E4:E7)</f>
        <v>60000</v>
      </c>
      <c r="F8" s="4"/>
      <c r="G8" s="4"/>
      <c r="H8" s="4"/>
      <c r="I8" s="4"/>
      <c r="J8" s="4"/>
      <c r="K8" s="4"/>
      <c r="L8" s="4"/>
      <c r="M8" s="4"/>
    </row>
    <row r="9" spans="1:21" ht="16" customHeight="1" x14ac:dyDescent="0.2">
      <c r="A9" s="151"/>
      <c r="B9" s="3" t="s">
        <v>28</v>
      </c>
      <c r="C9" s="4"/>
      <c r="D9" s="4"/>
      <c r="E9" s="4">
        <f>E5*0.12</f>
        <v>7200</v>
      </c>
      <c r="F9" s="4"/>
      <c r="G9" s="4"/>
      <c r="H9" s="4"/>
      <c r="I9" s="4"/>
      <c r="J9" s="4"/>
      <c r="K9" s="4"/>
      <c r="L9" s="4"/>
      <c r="M9" s="4"/>
    </row>
    <row r="10" spans="1:21" x14ac:dyDescent="0.2">
      <c r="A10" s="151"/>
      <c r="B10" s="3" t="s">
        <v>30</v>
      </c>
      <c r="C10" s="4"/>
      <c r="D10" s="4"/>
      <c r="E10" s="4">
        <f>E8+E9</f>
        <v>67200</v>
      </c>
      <c r="F10" s="4"/>
      <c r="G10" s="4"/>
      <c r="H10" s="4"/>
      <c r="I10" s="4"/>
      <c r="J10" s="4"/>
      <c r="K10" s="4"/>
      <c r="L10" s="4"/>
      <c r="M10" s="4"/>
    </row>
    <row r="11" spans="1:21" x14ac:dyDescent="0.2">
      <c r="O11" s="11"/>
      <c r="P11" s="10"/>
      <c r="Q11" s="10"/>
    </row>
    <row r="12" spans="1:21" x14ac:dyDescent="0.2">
      <c r="A12" s="27" t="s">
        <v>55</v>
      </c>
      <c r="D12" s="141" t="s">
        <v>3</v>
      </c>
      <c r="E12" s="141"/>
      <c r="F12" s="141" t="s">
        <v>4</v>
      </c>
      <c r="G12" s="141"/>
      <c r="H12" s="141" t="s">
        <v>5</v>
      </c>
      <c r="I12" s="141"/>
      <c r="J12" s="141" t="s">
        <v>6</v>
      </c>
      <c r="K12" s="141"/>
      <c r="L12" s="141" t="s">
        <v>7</v>
      </c>
      <c r="M12" s="141"/>
      <c r="O12" s="11"/>
      <c r="P12" s="10"/>
      <c r="Q12" s="10"/>
    </row>
    <row r="13" spans="1:21" x14ac:dyDescent="0.2">
      <c r="A13" s="1" t="s">
        <v>8</v>
      </c>
      <c r="B13" s="1" t="s">
        <v>9</v>
      </c>
      <c r="C13" s="1" t="s">
        <v>10</v>
      </c>
      <c r="D13" s="1" t="s">
        <v>11</v>
      </c>
      <c r="E13" s="1" t="s">
        <v>12</v>
      </c>
      <c r="F13" s="1" t="s">
        <v>11</v>
      </c>
      <c r="G13" s="1" t="s">
        <v>12</v>
      </c>
      <c r="H13" s="1" t="s">
        <v>11</v>
      </c>
      <c r="I13" s="1" t="s">
        <v>12</v>
      </c>
      <c r="J13" s="1" t="s">
        <v>11</v>
      </c>
      <c r="K13" s="1" t="s">
        <v>12</v>
      </c>
      <c r="L13" s="1" t="s">
        <v>11</v>
      </c>
      <c r="M13" s="1" t="s">
        <v>12</v>
      </c>
      <c r="O13" s="15" t="s">
        <v>8</v>
      </c>
      <c r="P13" s="15"/>
      <c r="Q13" s="15" t="s">
        <v>14</v>
      </c>
      <c r="R13" s="15" t="s">
        <v>15</v>
      </c>
      <c r="S13" s="15" t="s">
        <v>16</v>
      </c>
      <c r="T13" s="15" t="s">
        <v>17</v>
      </c>
      <c r="U13" s="15" t="s">
        <v>18</v>
      </c>
    </row>
    <row r="14" spans="1:21" x14ac:dyDescent="0.2">
      <c r="A14" s="151" t="s">
        <v>126</v>
      </c>
      <c r="B14" t="s">
        <v>123</v>
      </c>
      <c r="C14">
        <v>500</v>
      </c>
      <c r="D14">
        <v>0</v>
      </c>
      <c r="E14">
        <f>C14*D14</f>
        <v>0</v>
      </c>
      <c r="F14" t="s">
        <v>56</v>
      </c>
      <c r="G14" t="s">
        <v>56</v>
      </c>
      <c r="H14" t="s">
        <v>56</v>
      </c>
      <c r="I14" t="s">
        <v>56</v>
      </c>
      <c r="J14" t="s">
        <v>56</v>
      </c>
      <c r="K14" t="s">
        <v>56</v>
      </c>
      <c r="L14" t="s">
        <v>56</v>
      </c>
      <c r="M14" t="s">
        <v>56</v>
      </c>
      <c r="O14" s="142" t="s">
        <v>87</v>
      </c>
      <c r="P14" t="s">
        <v>124</v>
      </c>
      <c r="Q14">
        <f>130*14</f>
        <v>1820</v>
      </c>
      <c r="R14">
        <f>130*14</f>
        <v>1820</v>
      </c>
      <c r="S14">
        <f>130*14</f>
        <v>1820</v>
      </c>
      <c r="T14">
        <f>130*14</f>
        <v>1820</v>
      </c>
      <c r="U14">
        <f>130*14</f>
        <v>1820</v>
      </c>
    </row>
    <row r="15" spans="1:21" x14ac:dyDescent="0.2">
      <c r="A15" s="151"/>
      <c r="B15" t="s">
        <v>125</v>
      </c>
      <c r="C15">
        <v>60000</v>
      </c>
      <c r="D15">
        <v>1</v>
      </c>
      <c r="E15">
        <f>C15*D15</f>
        <v>60000</v>
      </c>
      <c r="F15" t="s">
        <v>56</v>
      </c>
      <c r="G15" t="s">
        <v>56</v>
      </c>
      <c r="H15" t="s">
        <v>56</v>
      </c>
      <c r="I15" t="s">
        <v>56</v>
      </c>
      <c r="J15" t="s">
        <v>56</v>
      </c>
      <c r="K15" t="s">
        <v>56</v>
      </c>
      <c r="L15" t="s">
        <v>56</v>
      </c>
      <c r="M15" t="s">
        <v>56</v>
      </c>
      <c r="O15" s="142"/>
      <c r="P15" s="13" t="s">
        <v>39</v>
      </c>
      <c r="Q15" s="13">
        <f>E20*0.03</f>
        <v>2016</v>
      </c>
      <c r="R15" s="13">
        <f>E20*0.03</f>
        <v>2016</v>
      </c>
      <c r="S15" s="13">
        <f>E20*0.03</f>
        <v>2016</v>
      </c>
      <c r="T15" s="13">
        <f>E20*0.03</f>
        <v>2016</v>
      </c>
      <c r="U15" s="13">
        <f>E20*0.03</f>
        <v>2016</v>
      </c>
    </row>
    <row r="16" spans="1:21" x14ac:dyDescent="0.2">
      <c r="A16" s="151"/>
      <c r="O16" s="142"/>
      <c r="P16" s="13" t="s">
        <v>91</v>
      </c>
      <c r="Q16" s="13">
        <f>0.401*8760*0.1</f>
        <v>351.27600000000007</v>
      </c>
      <c r="R16" s="13">
        <f>0.401*8760*0.1</f>
        <v>351.27600000000007</v>
      </c>
      <c r="S16" s="13">
        <f>0.401*8760*0.1</f>
        <v>351.27600000000007</v>
      </c>
      <c r="T16" s="13">
        <f>0.401*8760*0.1</f>
        <v>351.27600000000007</v>
      </c>
      <c r="U16" s="13">
        <f>0.401*8760*0.1</f>
        <v>351.27600000000007</v>
      </c>
    </row>
    <row r="17" spans="1:21" x14ac:dyDescent="0.2">
      <c r="A17" s="151"/>
      <c r="O17" s="142"/>
      <c r="P17" s="17" t="s">
        <v>29</v>
      </c>
      <c r="Q17" s="17">
        <f>SUM(Q14:Q16)</f>
        <v>4187.2759999999998</v>
      </c>
      <c r="R17" s="17">
        <f>SUM(R14:R16)</f>
        <v>4187.2759999999998</v>
      </c>
      <c r="S17" s="17">
        <f>SUM(S14:S16)</f>
        <v>4187.2759999999998</v>
      </c>
      <c r="T17" s="17">
        <f>SUM(T14:T16)</f>
        <v>4187.2759999999998</v>
      </c>
      <c r="U17" s="17">
        <f>SUM(U14:U16)</f>
        <v>4187.2759999999998</v>
      </c>
    </row>
    <row r="18" spans="1:21" x14ac:dyDescent="0.2">
      <c r="A18" s="151"/>
      <c r="B18" s="3" t="s">
        <v>26</v>
      </c>
      <c r="C18" s="4"/>
      <c r="D18" s="4"/>
      <c r="E18" s="4">
        <f>SUM(E14:E17)</f>
        <v>60000</v>
      </c>
      <c r="F18" s="4"/>
      <c r="G18" s="4"/>
      <c r="H18" s="4"/>
      <c r="I18" s="4"/>
      <c r="J18" s="4"/>
      <c r="K18" s="4"/>
      <c r="L18" s="4"/>
      <c r="M18" s="4"/>
    </row>
    <row r="19" spans="1:21" x14ac:dyDescent="0.2">
      <c r="A19" s="151"/>
      <c r="B19" s="3" t="s">
        <v>28</v>
      </c>
      <c r="C19" s="4"/>
      <c r="D19" s="4"/>
      <c r="E19" s="4">
        <f>E15*0.12</f>
        <v>7200</v>
      </c>
      <c r="F19" s="4"/>
      <c r="G19" s="4"/>
      <c r="H19" s="4"/>
      <c r="I19" s="4"/>
      <c r="J19" s="4"/>
      <c r="K19" s="4"/>
      <c r="L19" s="4"/>
      <c r="M19" s="4"/>
    </row>
    <row r="20" spans="1:21" x14ac:dyDescent="0.2">
      <c r="A20" s="151"/>
      <c r="B20" s="3" t="s">
        <v>30</v>
      </c>
      <c r="C20" s="4"/>
      <c r="D20" s="4"/>
      <c r="E20" s="4">
        <f>E18+E19</f>
        <v>67200</v>
      </c>
      <c r="F20" s="4"/>
      <c r="G20" s="4"/>
      <c r="H20" s="4"/>
      <c r="I20" s="4"/>
      <c r="J20" s="4"/>
      <c r="K20" s="4"/>
      <c r="L20" s="4"/>
      <c r="M20" s="4"/>
    </row>
    <row r="22" spans="1:21" x14ac:dyDescent="0.2">
      <c r="A22" s="27" t="s">
        <v>59</v>
      </c>
      <c r="D22" s="141" t="s">
        <v>3</v>
      </c>
      <c r="E22" s="141"/>
      <c r="F22" s="141" t="s">
        <v>4</v>
      </c>
      <c r="G22" s="141"/>
      <c r="H22" s="141" t="s">
        <v>5</v>
      </c>
      <c r="I22" s="141"/>
      <c r="J22" s="141" t="s">
        <v>6</v>
      </c>
      <c r="K22" s="141"/>
      <c r="L22" s="141" t="s">
        <v>7</v>
      </c>
      <c r="M22" s="141"/>
    </row>
    <row r="23" spans="1:21" x14ac:dyDescent="0.2">
      <c r="A23" s="1" t="s">
        <v>8</v>
      </c>
      <c r="B23" s="1" t="s">
        <v>9</v>
      </c>
      <c r="C23" s="1" t="s">
        <v>10</v>
      </c>
      <c r="D23" s="1" t="s">
        <v>11</v>
      </c>
      <c r="E23" s="1" t="s">
        <v>12</v>
      </c>
      <c r="F23" s="1" t="s">
        <v>11</v>
      </c>
      <c r="G23" s="1" t="s">
        <v>12</v>
      </c>
      <c r="H23" s="1" t="s">
        <v>11</v>
      </c>
      <c r="I23" s="1" t="s">
        <v>12</v>
      </c>
      <c r="J23" s="1" t="s">
        <v>11</v>
      </c>
      <c r="K23" s="1" t="s">
        <v>12</v>
      </c>
      <c r="L23" s="1" t="s">
        <v>11</v>
      </c>
      <c r="M23" s="1" t="s">
        <v>12</v>
      </c>
      <c r="O23" s="15" t="s">
        <v>8</v>
      </c>
      <c r="P23" s="15"/>
      <c r="Q23" s="15" t="s">
        <v>14</v>
      </c>
      <c r="R23" s="15" t="s">
        <v>15</v>
      </c>
      <c r="S23" s="15" t="s">
        <v>16</v>
      </c>
      <c r="T23" s="15" t="s">
        <v>17</v>
      </c>
      <c r="U23" s="15" t="s">
        <v>18</v>
      </c>
    </row>
    <row r="24" spans="1:21" x14ac:dyDescent="0.2">
      <c r="A24" s="151" t="s">
        <v>126</v>
      </c>
      <c r="B24" t="s">
        <v>123</v>
      </c>
      <c r="C24">
        <v>500</v>
      </c>
      <c r="D24">
        <v>0</v>
      </c>
      <c r="E24">
        <f>C24*D24</f>
        <v>0</v>
      </c>
      <c r="F24" t="s">
        <v>56</v>
      </c>
      <c r="G24" t="s">
        <v>56</v>
      </c>
      <c r="H24" t="s">
        <v>56</v>
      </c>
      <c r="I24" t="s">
        <v>56</v>
      </c>
      <c r="J24" t="s">
        <v>56</v>
      </c>
      <c r="K24" t="s">
        <v>56</v>
      </c>
      <c r="L24" t="s">
        <v>56</v>
      </c>
      <c r="M24" t="s">
        <v>56</v>
      </c>
      <c r="O24" s="142" t="s">
        <v>87</v>
      </c>
      <c r="P24" t="s">
        <v>124</v>
      </c>
      <c r="Q24">
        <f>160*14</f>
        <v>2240</v>
      </c>
      <c r="R24">
        <f>160*14</f>
        <v>2240</v>
      </c>
      <c r="S24">
        <f>160*14</f>
        <v>2240</v>
      </c>
      <c r="T24">
        <f>160*14</f>
        <v>2240</v>
      </c>
      <c r="U24">
        <f>160*14</f>
        <v>2240</v>
      </c>
    </row>
    <row r="25" spans="1:21" x14ac:dyDescent="0.2">
      <c r="A25" s="151"/>
      <c r="B25" t="s">
        <v>125</v>
      </c>
      <c r="C25">
        <v>60000</v>
      </c>
      <c r="D25">
        <v>1</v>
      </c>
      <c r="E25">
        <f>C25*D25</f>
        <v>60000</v>
      </c>
      <c r="F25" t="s">
        <v>56</v>
      </c>
      <c r="G25" t="s">
        <v>56</v>
      </c>
      <c r="H25" t="s">
        <v>56</v>
      </c>
      <c r="I25" t="s">
        <v>56</v>
      </c>
      <c r="J25" t="s">
        <v>56</v>
      </c>
      <c r="K25" t="s">
        <v>56</v>
      </c>
      <c r="L25" t="s">
        <v>56</v>
      </c>
      <c r="M25" t="s">
        <v>56</v>
      </c>
      <c r="O25" s="142"/>
      <c r="P25" s="13" t="s">
        <v>39</v>
      </c>
      <c r="Q25" s="13">
        <f>E30*0.03</f>
        <v>2016</v>
      </c>
      <c r="R25" s="13">
        <f>E30*0.03</f>
        <v>2016</v>
      </c>
      <c r="S25" s="13">
        <f>E30*0.03</f>
        <v>2016</v>
      </c>
      <c r="T25" s="13">
        <f>E30*0.03</f>
        <v>2016</v>
      </c>
      <c r="U25" s="13">
        <f>E30*0.03</f>
        <v>2016</v>
      </c>
    </row>
    <row r="26" spans="1:21" x14ac:dyDescent="0.2">
      <c r="A26" s="151"/>
      <c r="O26" s="142"/>
      <c r="P26" s="13" t="s">
        <v>91</v>
      </c>
      <c r="Q26" s="13">
        <f>0.401*8760*0.1</f>
        <v>351.27600000000007</v>
      </c>
      <c r="R26" s="13">
        <f>0.401*8760*0.1</f>
        <v>351.27600000000007</v>
      </c>
      <c r="S26" s="13">
        <f>0.401*8760*0.1</f>
        <v>351.27600000000007</v>
      </c>
      <c r="T26" s="13">
        <f>0.401*8760*0.1</f>
        <v>351.27600000000007</v>
      </c>
      <c r="U26" s="13">
        <f>0.401*8760*0.1</f>
        <v>351.27600000000007</v>
      </c>
    </row>
    <row r="27" spans="1:21" x14ac:dyDescent="0.2">
      <c r="A27" s="151"/>
      <c r="O27" s="142"/>
      <c r="P27" s="17" t="s">
        <v>29</v>
      </c>
      <c r="Q27" s="17">
        <f>SUM(Q24:Q26)</f>
        <v>4607.2759999999998</v>
      </c>
      <c r="R27" s="17">
        <f>SUM(R24:R26)</f>
        <v>4607.2759999999998</v>
      </c>
      <c r="S27" s="17">
        <f>SUM(S24:S26)</f>
        <v>4607.2759999999998</v>
      </c>
      <c r="T27" s="17">
        <f>SUM(T24:T26)</f>
        <v>4607.2759999999998</v>
      </c>
      <c r="U27" s="17">
        <f>SUM(U24:U26)</f>
        <v>4607.2759999999998</v>
      </c>
    </row>
    <row r="28" spans="1:21" x14ac:dyDescent="0.2">
      <c r="A28" s="151"/>
      <c r="B28" s="3" t="s">
        <v>26</v>
      </c>
      <c r="C28" s="4"/>
      <c r="D28" s="4"/>
      <c r="E28" s="4">
        <f>SUM(E24:E27)</f>
        <v>60000</v>
      </c>
      <c r="F28" s="4"/>
      <c r="G28" s="4"/>
      <c r="H28" s="4"/>
      <c r="I28" s="4"/>
      <c r="J28" s="4"/>
      <c r="K28" s="4"/>
      <c r="L28" s="4"/>
      <c r="M28" s="4"/>
    </row>
    <row r="29" spans="1:21" x14ac:dyDescent="0.2">
      <c r="A29" s="151"/>
      <c r="B29" s="3" t="s">
        <v>28</v>
      </c>
      <c r="C29" s="4"/>
      <c r="D29" s="4"/>
      <c r="E29" s="4">
        <f>E25*0.12</f>
        <v>7200</v>
      </c>
      <c r="F29" s="4"/>
      <c r="G29" s="4"/>
      <c r="H29" s="4"/>
      <c r="I29" s="4"/>
      <c r="J29" s="4"/>
      <c r="K29" s="4"/>
      <c r="L29" s="4"/>
      <c r="M29" s="4"/>
    </row>
    <row r="30" spans="1:21" x14ac:dyDescent="0.2">
      <c r="A30" s="151"/>
      <c r="B30" s="3" t="s">
        <v>30</v>
      </c>
      <c r="C30" s="4"/>
      <c r="D30" s="4"/>
      <c r="E30" s="4">
        <f>E28+E29</f>
        <v>67200</v>
      </c>
      <c r="F30" s="4"/>
      <c r="G30" s="4"/>
      <c r="H30" s="4"/>
      <c r="I30" s="4"/>
      <c r="J30" s="4"/>
      <c r="K30" s="4"/>
      <c r="L30" s="4"/>
      <c r="M30" s="4"/>
    </row>
    <row r="32" spans="1:21" x14ac:dyDescent="0.2">
      <c r="A32" s="34" t="s">
        <v>127</v>
      </c>
    </row>
    <row r="33" spans="1:24" x14ac:dyDescent="0.2">
      <c r="A33" s="34" t="s">
        <v>128</v>
      </c>
    </row>
    <row r="34" spans="1:24" x14ac:dyDescent="0.2">
      <c r="A34" s="34" t="s">
        <v>129</v>
      </c>
    </row>
    <row r="35" spans="1:24" x14ac:dyDescent="0.2">
      <c r="M35" t="s">
        <v>97</v>
      </c>
    </row>
    <row r="37" spans="1:24" x14ac:dyDescent="0.2">
      <c r="A37" s="27" t="s">
        <v>29</v>
      </c>
      <c r="D37" s="141" t="s">
        <v>2</v>
      </c>
      <c r="E37" s="141"/>
      <c r="F37" s="141" t="s">
        <v>3</v>
      </c>
      <c r="G37" s="141"/>
      <c r="H37" s="141" t="s">
        <v>4</v>
      </c>
      <c r="I37" s="141"/>
      <c r="J37" s="141" t="s">
        <v>5</v>
      </c>
      <c r="K37" s="141"/>
      <c r="L37" s="141" t="s">
        <v>6</v>
      </c>
      <c r="M37" s="141"/>
      <c r="N37" s="141" t="s">
        <v>7</v>
      </c>
      <c r="O37" s="141"/>
      <c r="R37" s="15" t="s">
        <v>8</v>
      </c>
      <c r="S37" s="15"/>
      <c r="T37" s="15" t="s">
        <v>14</v>
      </c>
      <c r="U37" s="15" t="s">
        <v>15</v>
      </c>
      <c r="V37" s="15" t="s">
        <v>16</v>
      </c>
      <c r="W37" s="15" t="s">
        <v>17</v>
      </c>
      <c r="X37" s="15" t="s">
        <v>18</v>
      </c>
    </row>
    <row r="38" spans="1:24" x14ac:dyDescent="0.2">
      <c r="A38" s="1" t="s">
        <v>8</v>
      </c>
      <c r="B38" s="1" t="s">
        <v>9</v>
      </c>
      <c r="C38" s="1" t="s">
        <v>10</v>
      </c>
      <c r="D38" s="1" t="s">
        <v>11</v>
      </c>
      <c r="E38" s="1" t="s">
        <v>12</v>
      </c>
      <c r="F38" s="1" t="s">
        <v>11</v>
      </c>
      <c r="G38" s="1" t="s">
        <v>12</v>
      </c>
      <c r="H38" s="1" t="s">
        <v>11</v>
      </c>
      <c r="I38" s="1" t="s">
        <v>12</v>
      </c>
      <c r="J38" s="1" t="s">
        <v>11</v>
      </c>
      <c r="K38" s="1" t="s">
        <v>12</v>
      </c>
      <c r="L38" s="1" t="s">
        <v>11</v>
      </c>
      <c r="M38" s="1" t="s">
        <v>12</v>
      </c>
      <c r="N38" s="1" t="s">
        <v>11</v>
      </c>
      <c r="O38" s="1" t="s">
        <v>12</v>
      </c>
      <c r="R38" s="142" t="s">
        <v>87</v>
      </c>
      <c r="S38" t="s">
        <v>124</v>
      </c>
      <c r="T38">
        <f t="shared" ref="T38:X40" si="0">Q4+Q14+Q24</f>
        <v>15820</v>
      </c>
      <c r="U38">
        <f t="shared" si="0"/>
        <v>15820</v>
      </c>
      <c r="V38">
        <f t="shared" si="0"/>
        <v>15820</v>
      </c>
      <c r="W38">
        <f t="shared" si="0"/>
        <v>15820</v>
      </c>
      <c r="X38">
        <f t="shared" si="0"/>
        <v>15820</v>
      </c>
    </row>
    <row r="39" spans="1:24" x14ac:dyDescent="0.2">
      <c r="A39" s="151" t="s">
        <v>126</v>
      </c>
      <c r="B39" t="s">
        <v>123</v>
      </c>
      <c r="C39">
        <v>500</v>
      </c>
      <c r="D39">
        <f>D4+D14+D24</f>
        <v>0</v>
      </c>
      <c r="E39">
        <f>C39*D39</f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R39" s="142"/>
      <c r="S39" s="13" t="s">
        <v>39</v>
      </c>
      <c r="T39" s="13">
        <f t="shared" si="0"/>
        <v>6048</v>
      </c>
      <c r="U39" s="13">
        <f t="shared" si="0"/>
        <v>6048</v>
      </c>
      <c r="V39" s="13">
        <f t="shared" si="0"/>
        <v>6048</v>
      </c>
      <c r="W39" s="13">
        <f t="shared" si="0"/>
        <v>6048</v>
      </c>
      <c r="X39" s="13">
        <f t="shared" si="0"/>
        <v>6048</v>
      </c>
    </row>
    <row r="40" spans="1:24" x14ac:dyDescent="0.2">
      <c r="A40" s="151"/>
      <c r="B40" t="s">
        <v>125</v>
      </c>
      <c r="C40">
        <v>60000</v>
      </c>
      <c r="D40">
        <f>D5+D15+D25</f>
        <v>3</v>
      </c>
      <c r="E40">
        <f>C40*D40</f>
        <v>180000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R40" s="142"/>
      <c r="S40" s="13" t="s">
        <v>91</v>
      </c>
      <c r="T40" s="13">
        <f t="shared" si="0"/>
        <v>1053.8280000000002</v>
      </c>
      <c r="U40" s="13">
        <f t="shared" si="0"/>
        <v>1053.8280000000002</v>
      </c>
      <c r="V40" s="13">
        <f t="shared" si="0"/>
        <v>1053.8280000000002</v>
      </c>
      <c r="W40" s="13">
        <f t="shared" si="0"/>
        <v>1053.8280000000002</v>
      </c>
      <c r="X40" s="13">
        <f t="shared" si="0"/>
        <v>1053.8280000000002</v>
      </c>
    </row>
    <row r="41" spans="1:24" x14ac:dyDescent="0.2">
      <c r="A41" s="151"/>
      <c r="R41" s="142"/>
      <c r="S41" s="17" t="s">
        <v>29</v>
      </c>
      <c r="T41" s="17">
        <f>SUM(T38:T40)</f>
        <v>22921.828000000001</v>
      </c>
      <c r="U41" s="17">
        <f t="shared" ref="U41:X41" si="1">SUM(U38:U40)</f>
        <v>22921.828000000001</v>
      </c>
      <c r="V41" s="17">
        <f t="shared" si="1"/>
        <v>22921.828000000001</v>
      </c>
      <c r="W41" s="17">
        <f t="shared" si="1"/>
        <v>22921.828000000001</v>
      </c>
      <c r="X41" s="17">
        <f t="shared" si="1"/>
        <v>22921.828000000001</v>
      </c>
    </row>
    <row r="42" spans="1:24" x14ac:dyDescent="0.2">
      <c r="A42" s="151"/>
    </row>
    <row r="43" spans="1:24" x14ac:dyDescent="0.2">
      <c r="A43" s="151"/>
      <c r="B43" s="3" t="s">
        <v>26</v>
      </c>
      <c r="C43" s="4"/>
      <c r="D43" s="4"/>
      <c r="E43" s="4">
        <f>SUM(E39:E42)</f>
        <v>180000</v>
      </c>
      <c r="F43" s="4">
        <f t="shared" ref="F43:M43" si="2">SUM(F39:F42)</f>
        <v>0</v>
      </c>
      <c r="G43" s="4">
        <f t="shared" si="2"/>
        <v>0</v>
      </c>
      <c r="H43" s="4">
        <f t="shared" si="2"/>
        <v>0</v>
      </c>
      <c r="I43" s="4">
        <f t="shared" si="2"/>
        <v>0</v>
      </c>
      <c r="J43" s="4">
        <f t="shared" si="2"/>
        <v>0</v>
      </c>
      <c r="K43" s="4">
        <f t="shared" si="2"/>
        <v>0</v>
      </c>
      <c r="L43" s="4">
        <f t="shared" si="2"/>
        <v>0</v>
      </c>
      <c r="M43" s="4">
        <f t="shared" si="2"/>
        <v>0</v>
      </c>
      <c r="N43" s="4">
        <f t="shared" ref="N43:O43" si="3">SUM(N39:N42)</f>
        <v>0</v>
      </c>
      <c r="O43" s="4">
        <f t="shared" si="3"/>
        <v>0</v>
      </c>
    </row>
    <row r="44" spans="1:24" x14ac:dyDescent="0.2">
      <c r="A44" s="151"/>
      <c r="B44" s="3" t="s">
        <v>28</v>
      </c>
      <c r="C44" s="4"/>
      <c r="D44" s="4"/>
      <c r="E44" s="4">
        <f>E40*0.12</f>
        <v>21600</v>
      </c>
      <c r="F44" s="4">
        <f t="shared" ref="F44:M44" si="4">F40*0.12</f>
        <v>0</v>
      </c>
      <c r="G44" s="4">
        <f t="shared" si="4"/>
        <v>0</v>
      </c>
      <c r="H44" s="4">
        <f t="shared" si="4"/>
        <v>0</v>
      </c>
      <c r="I44" s="4">
        <f t="shared" si="4"/>
        <v>0</v>
      </c>
      <c r="J44" s="4">
        <f t="shared" si="4"/>
        <v>0</v>
      </c>
      <c r="K44" s="4">
        <f t="shared" si="4"/>
        <v>0</v>
      </c>
      <c r="L44" s="4">
        <f t="shared" si="4"/>
        <v>0</v>
      </c>
      <c r="M44" s="4">
        <f t="shared" si="4"/>
        <v>0</v>
      </c>
      <c r="N44" s="4">
        <f t="shared" ref="N44:O44" si="5">N40*0.12</f>
        <v>0</v>
      </c>
      <c r="O44" s="4">
        <f t="shared" si="5"/>
        <v>0</v>
      </c>
    </row>
    <row r="45" spans="1:24" x14ac:dyDescent="0.2">
      <c r="A45" s="151"/>
      <c r="B45" s="3" t="s">
        <v>30</v>
      </c>
      <c r="C45" s="4"/>
      <c r="D45" s="4"/>
      <c r="E45" s="4">
        <f>E43+E44</f>
        <v>201600</v>
      </c>
      <c r="F45" s="4">
        <f t="shared" ref="F45:M45" si="6">F43+F44</f>
        <v>0</v>
      </c>
      <c r="G45" s="4">
        <f t="shared" si="6"/>
        <v>0</v>
      </c>
      <c r="H45" s="4">
        <f t="shared" si="6"/>
        <v>0</v>
      </c>
      <c r="I45" s="4">
        <f t="shared" si="6"/>
        <v>0</v>
      </c>
      <c r="J45" s="4">
        <f t="shared" si="6"/>
        <v>0</v>
      </c>
      <c r="K45" s="4">
        <f t="shared" si="6"/>
        <v>0</v>
      </c>
      <c r="L45" s="4">
        <f t="shared" si="6"/>
        <v>0</v>
      </c>
      <c r="M45" s="4">
        <f t="shared" si="6"/>
        <v>0</v>
      </c>
      <c r="N45" s="4">
        <f t="shared" ref="N45:O45" si="7">N43+N44</f>
        <v>0</v>
      </c>
      <c r="O45" s="4">
        <f t="shared" si="7"/>
        <v>0</v>
      </c>
    </row>
  </sheetData>
  <mergeCells count="29">
    <mergeCell ref="D2:E2"/>
    <mergeCell ref="F2:G2"/>
    <mergeCell ref="H2:I2"/>
    <mergeCell ref="J2:K2"/>
    <mergeCell ref="L2:M2"/>
    <mergeCell ref="O4:O7"/>
    <mergeCell ref="O14:O17"/>
    <mergeCell ref="O24:O27"/>
    <mergeCell ref="A24:A30"/>
    <mergeCell ref="A14:A20"/>
    <mergeCell ref="D22:E22"/>
    <mergeCell ref="F22:G22"/>
    <mergeCell ref="H22:I22"/>
    <mergeCell ref="J22:K22"/>
    <mergeCell ref="L22:M22"/>
    <mergeCell ref="D12:E12"/>
    <mergeCell ref="F12:G12"/>
    <mergeCell ref="H12:I12"/>
    <mergeCell ref="J12:K12"/>
    <mergeCell ref="L12:M12"/>
    <mergeCell ref="A4:A10"/>
    <mergeCell ref="A39:A45"/>
    <mergeCell ref="R38:R41"/>
    <mergeCell ref="D37:E37"/>
    <mergeCell ref="F37:G37"/>
    <mergeCell ref="H37:I37"/>
    <mergeCell ref="J37:K37"/>
    <mergeCell ref="L37:M37"/>
    <mergeCell ref="N37:O37"/>
  </mergeCells>
  <phoneticPr fontId="7" type="noConversion"/>
  <hyperlinks>
    <hyperlink ref="A34" r:id="rId1" xr:uid="{8ACB0FF9-6A8D-49DD-AE94-70F6299C8FA5}"/>
    <hyperlink ref="A33" r:id="rId2" xr:uid="{EA51FD8D-B0FA-49F1-A481-1082FD1A689A}"/>
    <hyperlink ref="A32" r:id="rId3" xr:uid="{FBAC4271-7B87-4C3D-A215-5EB7DD3FD3A4}"/>
  </hyperlinks>
  <pageMargins left="0.7" right="0.7" top="0.75" bottom="0.75" header="0.3" footer="0.3"/>
  <pageSetup paperSize="9" orientation="portrait" r:id="rId4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CDA71-20BC-6B45-87CC-E44274FCE001}">
  <dimension ref="O2:X10"/>
  <sheetViews>
    <sheetView topLeftCell="K1" workbookViewId="0">
      <selection activeCell="P12" sqref="P12"/>
    </sheetView>
  </sheetViews>
  <sheetFormatPr baseColWidth="10" defaultColWidth="8.83203125" defaultRowHeight="16" x14ac:dyDescent="0.2"/>
  <cols>
    <col min="1" max="1" width="19" bestFit="1" customWidth="1"/>
    <col min="15" max="15" width="19" bestFit="1" customWidth="1"/>
    <col min="16" max="16" width="15.5" bestFit="1" customWidth="1"/>
    <col min="19" max="19" width="12" bestFit="1" customWidth="1"/>
    <col min="21" max="24" width="12" bestFit="1" customWidth="1"/>
  </cols>
  <sheetData>
    <row r="2" spans="15:24" x14ac:dyDescent="0.2">
      <c r="O2" s="2" t="s">
        <v>86</v>
      </c>
    </row>
    <row r="4" spans="15:24" x14ac:dyDescent="0.2">
      <c r="O4" s="5" t="s">
        <v>8</v>
      </c>
      <c r="P4" s="5" t="s">
        <v>9</v>
      </c>
      <c r="Q4" s="5" t="s">
        <v>10</v>
      </c>
      <c r="R4" s="5" t="s">
        <v>11</v>
      </c>
      <c r="S4" s="5" t="s">
        <v>130</v>
      </c>
      <c r="T4" s="5" t="s">
        <v>131</v>
      </c>
      <c r="U4" s="5" t="s">
        <v>132</v>
      </c>
      <c r="V4" s="5" t="s">
        <v>133</v>
      </c>
      <c r="W4" s="5" t="s">
        <v>134</v>
      </c>
      <c r="X4" s="5" t="s">
        <v>135</v>
      </c>
    </row>
    <row r="5" spans="15:24" x14ac:dyDescent="0.2">
      <c r="O5" s="151" t="s">
        <v>136</v>
      </c>
      <c r="P5" s="33" t="s">
        <v>137</v>
      </c>
      <c r="Q5" s="32">
        <v>700</v>
      </c>
      <c r="R5">
        <f>4.24109049888169*12</f>
        <v>50.893085986580289</v>
      </c>
      <c r="S5" s="32">
        <f>Q5*R5</f>
        <v>35625.160190606199</v>
      </c>
      <c r="T5" s="32">
        <f>Q5*R5</f>
        <v>35625.160190606199</v>
      </c>
      <c r="U5" s="32">
        <f>Q5*R5</f>
        <v>35625.160190606199</v>
      </c>
      <c r="V5" s="32">
        <f>Q5*R5</f>
        <v>35625.160190606199</v>
      </c>
      <c r="W5" s="32">
        <f>Q5*R5</f>
        <v>35625.160190606199</v>
      </c>
      <c r="X5" s="32">
        <f>Q5*R5</f>
        <v>35625.160190606199</v>
      </c>
    </row>
    <row r="6" spans="15:24" x14ac:dyDescent="0.2">
      <c r="O6" s="151"/>
      <c r="P6" s="3" t="s">
        <v>26</v>
      </c>
      <c r="Q6" s="4"/>
      <c r="R6" s="4"/>
      <c r="S6" s="4">
        <f>SUM(S5:S5)</f>
        <v>35625.160190606199</v>
      </c>
      <c r="T6" s="4">
        <f t="shared" ref="T6:X6" si="0">SUM(T5:T5)</f>
        <v>35625.160190606199</v>
      </c>
      <c r="U6" s="4">
        <f t="shared" si="0"/>
        <v>35625.160190606199</v>
      </c>
      <c r="V6" s="4">
        <f t="shared" si="0"/>
        <v>35625.160190606199</v>
      </c>
      <c r="W6" s="4">
        <f t="shared" si="0"/>
        <v>35625.160190606199</v>
      </c>
      <c r="X6" s="4">
        <f t="shared" si="0"/>
        <v>35625.160190606199</v>
      </c>
    </row>
    <row r="7" spans="15:24" x14ac:dyDescent="0.2">
      <c r="O7" s="151"/>
      <c r="P7" s="3" t="s">
        <v>30</v>
      </c>
      <c r="Q7" s="4"/>
      <c r="R7" s="4"/>
      <c r="S7" s="4">
        <f>S6</f>
        <v>35625.160190606199</v>
      </c>
      <c r="T7" s="4">
        <f t="shared" ref="T7:X7" si="1">T6</f>
        <v>35625.160190606199</v>
      </c>
      <c r="U7" s="4">
        <f t="shared" si="1"/>
        <v>35625.160190606199</v>
      </c>
      <c r="V7" s="4">
        <f t="shared" si="1"/>
        <v>35625.160190606199</v>
      </c>
      <c r="W7" s="4">
        <f t="shared" si="1"/>
        <v>35625.160190606199</v>
      </c>
      <c r="X7" s="4">
        <f t="shared" si="1"/>
        <v>35625.160190606199</v>
      </c>
    </row>
    <row r="8" spans="15:24" x14ac:dyDescent="0.2">
      <c r="O8" s="151"/>
    </row>
    <row r="9" spans="15:24" x14ac:dyDescent="0.2">
      <c r="O9" s="151"/>
    </row>
    <row r="10" spans="15:24" x14ac:dyDescent="0.2">
      <c r="O10" s="151"/>
    </row>
  </sheetData>
  <mergeCells count="1">
    <mergeCell ref="O5:O10"/>
  </mergeCells>
  <phoneticPr fontId="7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D07B8-F8B5-C744-B8EE-3EB913F1D3E7}">
  <dimension ref="A1:P58"/>
  <sheetViews>
    <sheetView topLeftCell="I34" workbookViewId="0">
      <selection activeCell="P43" sqref="P43"/>
    </sheetView>
  </sheetViews>
  <sheetFormatPr baseColWidth="10" defaultColWidth="11" defaultRowHeight="16" x14ac:dyDescent="0.2"/>
  <cols>
    <col min="1" max="1" width="19.83203125" bestFit="1" customWidth="1"/>
    <col min="2" max="2" width="19.83203125" customWidth="1"/>
    <col min="3" max="7" width="15.5" bestFit="1" customWidth="1"/>
    <col min="8" max="8" width="19" bestFit="1" customWidth="1"/>
    <col min="9" max="9" width="19.83203125" bestFit="1" customWidth="1"/>
    <col min="10" max="10" width="15.5" bestFit="1" customWidth="1"/>
    <col min="11" max="12" width="21.5" bestFit="1" customWidth="1"/>
    <col min="13" max="15" width="15.5" bestFit="1" customWidth="1"/>
    <col min="16" max="16" width="16.5" bestFit="1" customWidth="1"/>
  </cols>
  <sheetData>
    <row r="1" spans="1:16" x14ac:dyDescent="0.2">
      <c r="A1" s="27" t="s">
        <v>85</v>
      </c>
      <c r="B1" s="117"/>
    </row>
    <row r="2" spans="1:16" x14ac:dyDescent="0.2">
      <c r="A2" s="5" t="s">
        <v>138</v>
      </c>
      <c r="B2" s="5" t="s">
        <v>139</v>
      </c>
      <c r="C2" s="5" t="s">
        <v>140</v>
      </c>
      <c r="D2" s="5" t="s">
        <v>141</v>
      </c>
      <c r="E2" s="5" t="s">
        <v>142</v>
      </c>
      <c r="F2" s="5" t="s">
        <v>143</v>
      </c>
      <c r="G2" s="5" t="s">
        <v>144</v>
      </c>
      <c r="H2" s="5" t="s">
        <v>145</v>
      </c>
      <c r="J2" s="5" t="s">
        <v>146</v>
      </c>
      <c r="K2" s="88">
        <v>150</v>
      </c>
      <c r="L2">
        <f>K2/100</f>
        <v>1.5</v>
      </c>
    </row>
    <row r="3" spans="1:16" x14ac:dyDescent="0.2">
      <c r="A3" s="78" t="s">
        <v>147</v>
      </c>
      <c r="B3" s="80">
        <f>'Network management'!E8</f>
        <v>851.05439999999987</v>
      </c>
      <c r="C3" s="80">
        <f>'Network management'!G8</f>
        <v>0</v>
      </c>
      <c r="D3" s="80">
        <f>'Network management'!I8</f>
        <v>0</v>
      </c>
      <c r="E3" s="80">
        <f>'Network management'!K8</f>
        <v>0</v>
      </c>
      <c r="F3" s="80">
        <f>'Network management'!M8</f>
        <v>0</v>
      </c>
      <c r="G3">
        <f>'Network management'!O8</f>
        <v>0</v>
      </c>
      <c r="H3" s="9">
        <f>SUM(B3:G3)</f>
        <v>851.05439999999987</v>
      </c>
    </row>
    <row r="4" spans="1:16" x14ac:dyDescent="0.2">
      <c r="A4" s="78" t="s">
        <v>148</v>
      </c>
      <c r="C4" s="80">
        <f>IoT!D126</f>
        <v>0</v>
      </c>
      <c r="D4" s="80">
        <f>IoT!G126</f>
        <v>14526282.265600001</v>
      </c>
      <c r="E4" s="80">
        <f>IoT!I126</f>
        <v>14526282.265600001</v>
      </c>
      <c r="F4" s="80">
        <f>IoT!K126</f>
        <v>14526282.265600001</v>
      </c>
      <c r="G4" s="80">
        <f>IoT!M126</f>
        <v>29065114.657600001</v>
      </c>
      <c r="H4" s="9">
        <f t="shared" ref="H4:H14" si="0">SUM(B4:G4)</f>
        <v>72643961.454400003</v>
      </c>
      <c r="J4" s="5" t="s">
        <v>138</v>
      </c>
      <c r="K4" s="5" t="s">
        <v>149</v>
      </c>
    </row>
    <row r="5" spans="1:16" x14ac:dyDescent="0.2">
      <c r="A5" s="78" t="s">
        <v>150</v>
      </c>
      <c r="C5" s="80">
        <f>IoT!E134</f>
        <v>0</v>
      </c>
      <c r="D5" s="80">
        <f>IoT!G134</f>
        <v>275486.40000000002</v>
      </c>
      <c r="E5" s="80">
        <f>IoT!I134</f>
        <v>275486.40000000002</v>
      </c>
      <c r="F5" s="80">
        <f>IoT!K134</f>
        <v>275486.40000000002</v>
      </c>
      <c r="G5" s="80">
        <f>IoT!M134</f>
        <v>551073.6</v>
      </c>
      <c r="H5" s="9">
        <f t="shared" si="0"/>
        <v>1377532.8</v>
      </c>
      <c r="J5" s="78" t="s">
        <v>148</v>
      </c>
      <c r="K5" s="8">
        <f>H37*L2</f>
        <v>116157016.65876001</v>
      </c>
    </row>
    <row r="6" spans="1:16" x14ac:dyDescent="0.2">
      <c r="A6" s="78" t="s">
        <v>151</v>
      </c>
      <c r="C6" s="80">
        <f>IoT!E142</f>
        <v>0</v>
      </c>
      <c r="D6" s="80">
        <f>IoT!G142</f>
        <v>999936</v>
      </c>
      <c r="E6" s="80">
        <f>IoT!I142</f>
        <v>999936</v>
      </c>
      <c r="F6" s="80">
        <f>IoT!K142</f>
        <v>999936</v>
      </c>
      <c r="G6" s="80">
        <f>IoT!M142</f>
        <v>1999872</v>
      </c>
      <c r="H6" s="9">
        <f t="shared" si="0"/>
        <v>4999680</v>
      </c>
      <c r="J6" s="78" t="s">
        <v>150</v>
      </c>
      <c r="K6" s="8">
        <f>H38*L2</f>
        <v>2202669.5040000002</v>
      </c>
    </row>
    <row r="7" spans="1:16" x14ac:dyDescent="0.2">
      <c r="A7" s="79" t="s">
        <v>152</v>
      </c>
      <c r="C7" s="80">
        <f>IoT!E150</f>
        <v>0</v>
      </c>
      <c r="D7" s="80">
        <f>IoT!G150</f>
        <v>423808</v>
      </c>
      <c r="E7" s="80">
        <f>IoT!I150</f>
        <v>423808</v>
      </c>
      <c r="F7" s="80">
        <f>IoT!K150</f>
        <v>423808</v>
      </c>
      <c r="G7" s="80">
        <f>IoT!M150</f>
        <v>847616</v>
      </c>
      <c r="H7" s="9">
        <f t="shared" si="0"/>
        <v>2119040</v>
      </c>
      <c r="J7" s="78" t="s">
        <v>151</v>
      </c>
      <c r="K7" s="8">
        <f>H39*L2</f>
        <v>7994488.3199999984</v>
      </c>
    </row>
    <row r="8" spans="1:16" x14ac:dyDescent="0.2">
      <c r="A8" s="78" t="s">
        <v>153</v>
      </c>
      <c r="C8" s="80">
        <f>IoT!E156</f>
        <v>0</v>
      </c>
      <c r="D8" s="80">
        <f>IoT!G156</f>
        <v>7656.9024000000009</v>
      </c>
      <c r="E8" s="80">
        <f>IoT!I156</f>
        <v>0</v>
      </c>
      <c r="F8" s="80">
        <f>IoT!K156</f>
        <v>0</v>
      </c>
      <c r="G8" s="80">
        <f>IoT!M156</f>
        <v>0</v>
      </c>
      <c r="H8" s="9">
        <f t="shared" si="0"/>
        <v>7656.9024000000009</v>
      </c>
      <c r="J8" s="79" t="s">
        <v>152</v>
      </c>
      <c r="K8" s="8">
        <f>H40*L2</f>
        <v>3388344.9599999995</v>
      </c>
    </row>
    <row r="9" spans="1:16" x14ac:dyDescent="0.2">
      <c r="A9" s="78" t="s">
        <v>154</v>
      </c>
      <c r="B9" s="80">
        <f>IMS!E11</f>
        <v>134400</v>
      </c>
      <c r="C9" s="80">
        <f>IMS!G11</f>
        <v>0</v>
      </c>
      <c r="D9" s="81">
        <f>IMS!I11</f>
        <v>0</v>
      </c>
      <c r="E9" s="80">
        <f>IMS!K11</f>
        <v>0</v>
      </c>
      <c r="F9" s="80">
        <f>IMS!M11</f>
        <v>0</v>
      </c>
      <c r="G9" s="80">
        <f>IMS!O11</f>
        <v>0</v>
      </c>
      <c r="H9" s="9">
        <f t="shared" si="0"/>
        <v>134400</v>
      </c>
    </row>
    <row r="10" spans="1:16" x14ac:dyDescent="0.2">
      <c r="A10" s="78" t="s">
        <v>155</v>
      </c>
      <c r="B10" s="80">
        <f>Edge!E48</f>
        <v>116480</v>
      </c>
      <c r="C10" s="80">
        <f>Edge!G48</f>
        <v>0</v>
      </c>
      <c r="D10" s="80">
        <f>Edge!I48</f>
        <v>0</v>
      </c>
      <c r="E10" s="80">
        <f>Edge!K48</f>
        <v>0</v>
      </c>
      <c r="F10" s="80">
        <f>Edge!M48</f>
        <v>0</v>
      </c>
      <c r="G10">
        <f>Edge!O48</f>
        <v>0</v>
      </c>
      <c r="H10" s="9">
        <f t="shared" si="0"/>
        <v>116480</v>
      </c>
    </row>
    <row r="11" spans="1:16" x14ac:dyDescent="0.2">
      <c r="A11" s="78" t="s">
        <v>156</v>
      </c>
      <c r="B11" s="80">
        <f>FIXED!E17</f>
        <v>8394108.8000000007</v>
      </c>
      <c r="C11" s="80">
        <f>FIXED!G17</f>
        <v>8394108.8000000007</v>
      </c>
      <c r="D11" s="80">
        <f>FIXED!I17</f>
        <v>8394108.8000000007</v>
      </c>
      <c r="E11" s="80">
        <f>FIXED!K17</f>
        <v>8394108.8000000007</v>
      </c>
      <c r="F11" s="80">
        <f>FIXED!M17</f>
        <v>8391868.8000000007</v>
      </c>
      <c r="G11" s="80">
        <f>FIXED!O17</f>
        <v>0</v>
      </c>
      <c r="H11" s="9">
        <f t="shared" si="0"/>
        <v>41968304</v>
      </c>
    </row>
    <row r="12" spans="1:16" x14ac:dyDescent="0.2">
      <c r="A12" s="78" t="s">
        <v>157</v>
      </c>
      <c r="B12" s="80">
        <f>Mobile!E7</f>
        <v>0</v>
      </c>
      <c r="C12" s="80">
        <f>Mobile!G7</f>
        <v>0</v>
      </c>
      <c r="D12" s="80">
        <f>Mobile!I7</f>
        <v>0</v>
      </c>
      <c r="E12" s="80">
        <f>Mobile!K7</f>
        <v>0</v>
      </c>
      <c r="F12" s="80">
        <f>Mobile!M7</f>
        <v>0</v>
      </c>
      <c r="G12">
        <f>Mobile!O7</f>
        <v>0</v>
      </c>
      <c r="H12" s="9">
        <f t="shared" si="0"/>
        <v>0</v>
      </c>
      <c r="J12" s="5" t="s">
        <v>138</v>
      </c>
      <c r="K12" s="5" t="s">
        <v>158</v>
      </c>
      <c r="L12" s="5" t="s">
        <v>159</v>
      </c>
      <c r="M12" s="5" t="s">
        <v>160</v>
      </c>
      <c r="N12" s="5" t="s">
        <v>161</v>
      </c>
      <c r="O12" s="5" t="s">
        <v>162</v>
      </c>
    </row>
    <row r="13" spans="1:16" x14ac:dyDescent="0.2">
      <c r="A13" s="78" t="s">
        <v>163</v>
      </c>
      <c r="B13" s="80">
        <f>Core!E45</f>
        <v>201600</v>
      </c>
      <c r="C13" s="80">
        <f>Core!G45</f>
        <v>0</v>
      </c>
      <c r="D13" s="80">
        <f>Core!I45</f>
        <v>0</v>
      </c>
      <c r="E13" s="80">
        <f>Core!K45</f>
        <v>0</v>
      </c>
      <c r="F13" s="80">
        <f>Core!M45</f>
        <v>0</v>
      </c>
      <c r="G13">
        <f>Core!O45</f>
        <v>0</v>
      </c>
      <c r="H13" s="9">
        <f t="shared" si="0"/>
        <v>201600</v>
      </c>
      <c r="J13" s="78" t="s">
        <v>148</v>
      </c>
      <c r="K13" s="80">
        <f>K5*0</f>
        <v>0</v>
      </c>
      <c r="L13" s="80">
        <f>K5*0.2</f>
        <v>23231403.331752002</v>
      </c>
      <c r="M13" s="80">
        <f>K5*0.2</f>
        <v>23231403.331752002</v>
      </c>
      <c r="N13" s="80">
        <f>K5*0.2</f>
        <v>23231403.331752002</v>
      </c>
      <c r="O13" s="80">
        <f>K5*0.4</f>
        <v>46462806.663504004</v>
      </c>
      <c r="P13" s="80">
        <f>SUM(L13:O13)</f>
        <v>116157016.65876001</v>
      </c>
    </row>
    <row r="14" spans="1:16" x14ac:dyDescent="0.2">
      <c r="A14" s="78" t="s">
        <v>164</v>
      </c>
      <c r="C14" s="80">
        <v>0</v>
      </c>
      <c r="D14" s="80">
        <v>0</v>
      </c>
      <c r="E14" s="80">
        <v>0</v>
      </c>
      <c r="F14" s="80">
        <v>0</v>
      </c>
      <c r="G14" s="80">
        <v>0</v>
      </c>
      <c r="H14" s="9">
        <f t="shared" si="0"/>
        <v>0</v>
      </c>
      <c r="J14" s="78" t="s">
        <v>150</v>
      </c>
      <c r="K14" s="80">
        <f>K6*0</f>
        <v>0</v>
      </c>
      <c r="L14" s="80">
        <f>K6*0.2</f>
        <v>440533.90080000006</v>
      </c>
      <c r="M14" s="80">
        <f>K6*0.2</f>
        <v>440533.90080000006</v>
      </c>
      <c r="N14" s="80">
        <f>K6*0.2</f>
        <v>440533.90080000006</v>
      </c>
      <c r="O14" s="80">
        <f>K6*0.4</f>
        <v>881067.80160000012</v>
      </c>
      <c r="P14" s="80">
        <f>SUM(L14:O14)</f>
        <v>2202669.5040000007</v>
      </c>
    </row>
    <row r="15" spans="1:16" x14ac:dyDescent="0.2">
      <c r="A15" s="42" t="s">
        <v>165</v>
      </c>
      <c r="B15" s="77">
        <f>SUM(B3:B14)</f>
        <v>8847439.8544000015</v>
      </c>
      <c r="C15" s="77">
        <f>SUM(C3:C14)</f>
        <v>8394108.8000000007</v>
      </c>
      <c r="D15" s="77">
        <f t="shared" ref="D15:G15" si="1">SUM(D3:D14)</f>
        <v>24627278.368000001</v>
      </c>
      <c r="E15" s="77">
        <f t="shared" si="1"/>
        <v>24619621.465600003</v>
      </c>
      <c r="F15" s="77">
        <f t="shared" si="1"/>
        <v>24617381.465600003</v>
      </c>
      <c r="G15" s="77">
        <f t="shared" si="1"/>
        <v>32463676.257600002</v>
      </c>
      <c r="J15" s="78" t="s">
        <v>151</v>
      </c>
      <c r="K15" s="80">
        <f>K7*0</f>
        <v>0</v>
      </c>
      <c r="L15" s="80">
        <f>K7*0.2</f>
        <v>1598897.6639999999</v>
      </c>
      <c r="M15" s="80">
        <f>K7*0.2</f>
        <v>1598897.6639999999</v>
      </c>
      <c r="N15" s="80">
        <f>K7*0.2</f>
        <v>1598897.6639999999</v>
      </c>
      <c r="O15" s="80">
        <f>K7*0.4</f>
        <v>3197795.3279999997</v>
      </c>
      <c r="P15" s="80">
        <f>SUM(L15:O15)</f>
        <v>7994488.3199999994</v>
      </c>
    </row>
    <row r="16" spans="1:16" x14ac:dyDescent="0.2">
      <c r="J16" s="79" t="s">
        <v>152</v>
      </c>
      <c r="K16" s="80">
        <f>K8*0</f>
        <v>0</v>
      </c>
      <c r="L16" s="80">
        <f>K8*0.2</f>
        <v>677668.99199999997</v>
      </c>
      <c r="M16" s="80">
        <f>K8*0.2</f>
        <v>677668.99199999997</v>
      </c>
      <c r="N16" s="80">
        <f>K8*0.2</f>
        <v>677668.99199999997</v>
      </c>
      <c r="O16" s="80">
        <f>K8*0.4</f>
        <v>1355337.9839999999</v>
      </c>
      <c r="P16" s="80">
        <f>SUM(L16:O16)</f>
        <v>3388344.96</v>
      </c>
    </row>
    <row r="17" spans="1:16" x14ac:dyDescent="0.2">
      <c r="J17" s="4" t="s">
        <v>166</v>
      </c>
      <c r="K17" s="93">
        <f>SUM(K13:K16)</f>
        <v>0</v>
      </c>
      <c r="L17" s="93">
        <f t="shared" ref="L17:O17" si="2">SUM(L13:L16)</f>
        <v>25948503.888552003</v>
      </c>
      <c r="M17" s="93">
        <f t="shared" si="2"/>
        <v>25948503.888552003</v>
      </c>
      <c r="N17" s="93">
        <f t="shared" si="2"/>
        <v>25948503.888552003</v>
      </c>
      <c r="O17" s="93">
        <f t="shared" si="2"/>
        <v>51897007.777104005</v>
      </c>
    </row>
    <row r="18" spans="1:16" x14ac:dyDescent="0.2">
      <c r="A18" s="27" t="s">
        <v>86</v>
      </c>
      <c r="B18" s="117"/>
    </row>
    <row r="19" spans="1:16" x14ac:dyDescent="0.2">
      <c r="A19" s="5" t="s">
        <v>138</v>
      </c>
      <c r="B19" s="5" t="s">
        <v>139</v>
      </c>
      <c r="C19" s="5" t="s">
        <v>140</v>
      </c>
      <c r="D19" s="5" t="s">
        <v>141</v>
      </c>
      <c r="E19" s="5" t="s">
        <v>142</v>
      </c>
      <c r="F19" s="5" t="s">
        <v>143</v>
      </c>
      <c r="G19" s="5" t="s">
        <v>144</v>
      </c>
      <c r="H19" s="5" t="s">
        <v>145</v>
      </c>
    </row>
    <row r="20" spans="1:16" x14ac:dyDescent="0.2">
      <c r="A20" s="78" t="s">
        <v>147</v>
      </c>
      <c r="B20" s="135">
        <v>0</v>
      </c>
      <c r="C20" s="80">
        <f>'Network management'!S7</f>
        <v>574.01610000000005</v>
      </c>
      <c r="D20" s="80">
        <f>'Network management'!T7</f>
        <v>574.01610000000005</v>
      </c>
      <c r="E20" s="80">
        <f>'Network management'!U7</f>
        <v>574.01610000000005</v>
      </c>
      <c r="F20" s="80">
        <f>'Network management'!V7</f>
        <v>574.01610000000005</v>
      </c>
      <c r="G20" s="80">
        <f>'Network management'!W7</f>
        <v>574.01610000000005</v>
      </c>
      <c r="H20" s="9">
        <f>SUM(B20:G20)</f>
        <v>2870.0805</v>
      </c>
      <c r="J20" s="5" t="s">
        <v>138</v>
      </c>
      <c r="K20" s="5" t="s">
        <v>149</v>
      </c>
    </row>
    <row r="21" spans="1:16" x14ac:dyDescent="0.2">
      <c r="A21" s="78" t="s">
        <v>148</v>
      </c>
      <c r="B21" s="135">
        <v>0</v>
      </c>
      <c r="C21" s="80">
        <f>IoT!Q134</f>
        <v>0</v>
      </c>
      <c r="D21" s="80">
        <f>IoT!R134</f>
        <v>435788.46796800004</v>
      </c>
      <c r="E21" s="80">
        <f>IoT!S134</f>
        <v>871576.93593600008</v>
      </c>
      <c r="F21" s="80">
        <f>IoT!T134</f>
        <v>1307365.4039040001</v>
      </c>
      <c r="G21" s="80">
        <f>IoT!U134</f>
        <v>2179318.843632</v>
      </c>
      <c r="H21" s="9">
        <f t="shared" ref="H21:H31" si="3">SUM(B21:G21)</f>
        <v>4794049.6514400002</v>
      </c>
      <c r="J21" s="78" t="s">
        <v>167</v>
      </c>
      <c r="K21" s="8">
        <f>SUM(H36,H42:H46)*1.5</f>
        <v>73548789.095683321</v>
      </c>
    </row>
    <row r="22" spans="1:16" ht="17" thickBot="1" x14ac:dyDescent="0.25">
      <c r="A22" s="78" t="s">
        <v>150</v>
      </c>
      <c r="B22" s="135">
        <v>0</v>
      </c>
      <c r="C22" s="80">
        <f>IoT!Q138</f>
        <v>0</v>
      </c>
      <c r="D22" s="80">
        <f>IoT!R138</f>
        <v>8264.5920000000006</v>
      </c>
      <c r="E22" s="80">
        <f>IoT!S138</f>
        <v>16529.184000000001</v>
      </c>
      <c r="F22" s="80">
        <f>IoT!T138</f>
        <v>24793.776000000002</v>
      </c>
      <c r="G22" s="80">
        <f>IoT!U138</f>
        <v>41325.983999999997</v>
      </c>
      <c r="H22" s="9">
        <f t="shared" si="3"/>
        <v>90913.535999999993</v>
      </c>
      <c r="J22" s="78" t="s">
        <v>164</v>
      </c>
      <c r="K22" s="8">
        <f>K28*5</f>
        <v>287952</v>
      </c>
    </row>
    <row r="23" spans="1:16" ht="17" thickBot="1" x14ac:dyDescent="0.25">
      <c r="A23" s="78" t="s">
        <v>151</v>
      </c>
      <c r="B23" s="135">
        <v>0</v>
      </c>
      <c r="C23" s="80">
        <f>IoT!Q142</f>
        <v>0</v>
      </c>
      <c r="D23" s="80">
        <f>IoT!R142</f>
        <v>29998.079999999998</v>
      </c>
      <c r="E23" s="80">
        <f>IoT!S142</f>
        <v>59996.159999999996</v>
      </c>
      <c r="F23" s="80">
        <f>IoT!T142</f>
        <v>89994.239999999991</v>
      </c>
      <c r="G23" s="80">
        <f>IoT!U142</f>
        <v>149990.39999999999</v>
      </c>
      <c r="H23" s="9">
        <f t="shared" si="3"/>
        <v>329978.88</v>
      </c>
      <c r="J23" s="133" t="s">
        <v>29</v>
      </c>
      <c r="K23" s="134">
        <f>SUM(K21:K22)</f>
        <v>73836741.095683321</v>
      </c>
    </row>
    <row r="24" spans="1:16" x14ac:dyDescent="0.2">
      <c r="A24" s="79" t="s">
        <v>152</v>
      </c>
      <c r="B24" s="136">
        <v>0</v>
      </c>
      <c r="C24" s="80">
        <f>IoT!Q146</f>
        <v>0</v>
      </c>
      <c r="D24" s="80">
        <f>IoT!R146</f>
        <v>12714.24</v>
      </c>
      <c r="E24" s="80">
        <f>IoT!S146</f>
        <v>25428.48</v>
      </c>
      <c r="F24" s="80">
        <f>IoT!T146</f>
        <v>38142.720000000001</v>
      </c>
      <c r="G24" s="80">
        <f>IoT!U146</f>
        <v>63571.199999999997</v>
      </c>
      <c r="H24" s="9">
        <f t="shared" si="3"/>
        <v>139856.64000000001</v>
      </c>
    </row>
    <row r="25" spans="1:16" x14ac:dyDescent="0.2">
      <c r="A25" s="78" t="s">
        <v>153</v>
      </c>
      <c r="B25" s="135">
        <v>0</v>
      </c>
      <c r="C25" s="80">
        <f>IoT!Q150</f>
        <v>0</v>
      </c>
      <c r="D25" s="80">
        <f>IoT!R150</f>
        <v>18229.707072000001</v>
      </c>
      <c r="E25" s="80">
        <f>IoT!S150</f>
        <v>18229.707072000001</v>
      </c>
      <c r="F25" s="80">
        <f>IoT!T150</f>
        <v>18229.707072000001</v>
      </c>
      <c r="G25" s="80">
        <f>IoT!U150</f>
        <v>18229.707072000001</v>
      </c>
      <c r="H25" s="9">
        <f t="shared" si="3"/>
        <v>72918.828288000004</v>
      </c>
    </row>
    <row r="26" spans="1:16" x14ac:dyDescent="0.2">
      <c r="A26" s="78" t="s">
        <v>154</v>
      </c>
      <c r="B26" s="135">
        <v>0</v>
      </c>
      <c r="C26" s="80">
        <f>IMS!S11</f>
        <v>538677.77777777764</v>
      </c>
      <c r="D26" s="80">
        <f>IMS!T11</f>
        <v>538677.77777777764</v>
      </c>
      <c r="E26" s="80">
        <f>IMS!U11</f>
        <v>538677.77777777764</v>
      </c>
      <c r="F26" s="80">
        <f>IMS!V11</f>
        <v>538677.77777777764</v>
      </c>
      <c r="G26" s="80">
        <f>IMS!W11</f>
        <v>538677.77777777764</v>
      </c>
      <c r="H26" s="9">
        <f t="shared" si="3"/>
        <v>2693388.8888888881</v>
      </c>
      <c r="J26" s="5" t="s">
        <v>138</v>
      </c>
      <c r="K26" s="5" t="s">
        <v>158</v>
      </c>
      <c r="L26" s="5" t="s">
        <v>159</v>
      </c>
      <c r="M26" s="5" t="s">
        <v>160</v>
      </c>
      <c r="N26" s="5" t="s">
        <v>161</v>
      </c>
      <c r="O26" s="5" t="s">
        <v>162</v>
      </c>
    </row>
    <row r="27" spans="1:16" x14ac:dyDescent="0.2">
      <c r="A27" s="78" t="s">
        <v>155</v>
      </c>
      <c r="B27" s="135">
        <v>0</v>
      </c>
      <c r="C27" s="80">
        <f>Edge!T47</f>
        <v>4548.2280000000001</v>
      </c>
      <c r="D27" s="80">
        <f>Edge!U47</f>
        <v>4548.2280000000001</v>
      </c>
      <c r="E27" s="80">
        <f>Edge!V47</f>
        <v>4548.2280000000001</v>
      </c>
      <c r="F27" s="80">
        <f>Edge!W47</f>
        <v>4548.2280000000001</v>
      </c>
      <c r="G27" s="80">
        <f>Edge!X47</f>
        <v>4548.2280000000001</v>
      </c>
      <c r="H27" s="9">
        <f t="shared" si="3"/>
        <v>22741.14</v>
      </c>
      <c r="J27" s="78" t="s">
        <v>167</v>
      </c>
      <c r="K27" s="80">
        <f>$K21/5</f>
        <v>14709757.819136664</v>
      </c>
      <c r="L27" s="80">
        <f t="shared" ref="L27:O27" si="4">$K21/5</f>
        <v>14709757.819136664</v>
      </c>
      <c r="M27" s="80">
        <f t="shared" si="4"/>
        <v>14709757.819136664</v>
      </c>
      <c r="N27" s="80">
        <f t="shared" si="4"/>
        <v>14709757.819136664</v>
      </c>
      <c r="O27" s="80">
        <f t="shared" si="4"/>
        <v>14709757.819136664</v>
      </c>
      <c r="P27" s="80">
        <f>SUM(K27:O27)</f>
        <v>73548789.095683321</v>
      </c>
    </row>
    <row r="28" spans="1:16" x14ac:dyDescent="0.2">
      <c r="A28" s="78" t="s">
        <v>156</v>
      </c>
      <c r="B28" s="135">
        <v>0</v>
      </c>
      <c r="C28" s="80">
        <f>FIXED!T6</f>
        <v>251823.26400000002</v>
      </c>
      <c r="D28" s="80">
        <f>FIXED!U6</f>
        <v>503646.52800000005</v>
      </c>
      <c r="E28" s="80">
        <f>FIXED!V6</f>
        <v>755469.79200000013</v>
      </c>
      <c r="F28" s="80">
        <f>FIXED!W6</f>
        <v>1007293.0560000001</v>
      </c>
      <c r="G28" s="80">
        <f>FIXED!X6</f>
        <v>1259049.1200000001</v>
      </c>
      <c r="H28" s="9">
        <f t="shared" si="3"/>
        <v>3777281.7600000007</v>
      </c>
      <c r="J28" s="78" t="s">
        <v>164</v>
      </c>
      <c r="K28" s="97">
        <v>57590.400000000001</v>
      </c>
      <c r="L28" s="97">
        <v>57590.400000000001</v>
      </c>
      <c r="M28" s="97">
        <v>57590.400000000001</v>
      </c>
      <c r="N28" s="97">
        <v>57590.400000000001</v>
      </c>
      <c r="O28" s="97">
        <v>57590.400000000001</v>
      </c>
      <c r="P28" s="80">
        <f>SUM(K28:O28)</f>
        <v>287952</v>
      </c>
    </row>
    <row r="29" spans="1:16" x14ac:dyDescent="0.2">
      <c r="A29" s="78" t="s">
        <v>157</v>
      </c>
      <c r="B29" s="135">
        <v>0</v>
      </c>
      <c r="C29" s="80">
        <f>Mobile!T5</f>
        <v>0</v>
      </c>
      <c r="D29" s="80">
        <f>Mobile!U5</f>
        <v>0</v>
      </c>
      <c r="E29" s="80">
        <f>Mobile!V5</f>
        <v>0</v>
      </c>
      <c r="F29" s="80">
        <f>Mobile!W5</f>
        <v>0</v>
      </c>
      <c r="G29" s="80">
        <f>Mobile!X5</f>
        <v>0</v>
      </c>
      <c r="H29" s="9">
        <f t="shared" si="3"/>
        <v>0</v>
      </c>
    </row>
    <row r="30" spans="1:16" x14ac:dyDescent="0.2">
      <c r="A30" s="78" t="s">
        <v>163</v>
      </c>
      <c r="B30" s="135">
        <v>0</v>
      </c>
      <c r="C30" s="80">
        <f>Core!T41</f>
        <v>22921.828000000001</v>
      </c>
      <c r="D30" s="80">
        <f>Core!U41</f>
        <v>22921.828000000001</v>
      </c>
      <c r="E30" s="80">
        <f>Core!V41</f>
        <v>22921.828000000001</v>
      </c>
      <c r="F30" s="80">
        <f>Core!W41</f>
        <v>22921.828000000001</v>
      </c>
      <c r="G30" s="80">
        <f>Core!X41</f>
        <v>22921.828000000001</v>
      </c>
      <c r="H30" s="9">
        <f t="shared" si="3"/>
        <v>114609.14000000001</v>
      </c>
    </row>
    <row r="31" spans="1:16" x14ac:dyDescent="0.2">
      <c r="A31" s="78" t="s">
        <v>164</v>
      </c>
      <c r="B31" s="135">
        <v>0</v>
      </c>
      <c r="C31" s="80">
        <f>Satellite!S7</f>
        <v>35625.160190606199</v>
      </c>
      <c r="D31" s="80">
        <f>Satellite!T7</f>
        <v>35625.160190606199</v>
      </c>
      <c r="E31" s="80">
        <f>Satellite!U7</f>
        <v>35625.160190606199</v>
      </c>
      <c r="F31" s="80">
        <f>Satellite!V7</f>
        <v>35625.160190606199</v>
      </c>
      <c r="G31" s="80">
        <f>Satellite!W7</f>
        <v>35625.160190606199</v>
      </c>
      <c r="H31" s="9">
        <f t="shared" si="3"/>
        <v>178125.80095303099</v>
      </c>
    </row>
    <row r="32" spans="1:16" x14ac:dyDescent="0.2">
      <c r="A32" s="42" t="s">
        <v>165</v>
      </c>
      <c r="B32" s="137">
        <v>0</v>
      </c>
      <c r="C32" s="77">
        <f>SUM(C20:C31)</f>
        <v>854170.27406838397</v>
      </c>
      <c r="D32" s="77">
        <f t="shared" ref="D32:G32" si="5">SUM(D20:D31)</f>
        <v>1610988.6251083841</v>
      </c>
      <c r="E32" s="77">
        <f t="shared" si="5"/>
        <v>2349577.2690763841</v>
      </c>
      <c r="F32" s="77">
        <f t="shared" si="5"/>
        <v>3088165.9130443837</v>
      </c>
      <c r="G32" s="77">
        <f t="shared" si="5"/>
        <v>4313832.2647723844</v>
      </c>
      <c r="I32" s="97"/>
    </row>
    <row r="34" spans="1:13" x14ac:dyDescent="0.2">
      <c r="K34" s="122" t="s">
        <v>168</v>
      </c>
      <c r="L34" s="122"/>
      <c r="M34" s="122"/>
    </row>
    <row r="35" spans="1:13" ht="14.5" customHeight="1" x14ac:dyDescent="0.2">
      <c r="A35" s="82" t="s">
        <v>169</v>
      </c>
      <c r="B35" s="5" t="s">
        <v>139</v>
      </c>
      <c r="C35" s="5" t="s">
        <v>140</v>
      </c>
      <c r="D35" s="5" t="s">
        <v>141</v>
      </c>
      <c r="E35" s="5" t="s">
        <v>142</v>
      </c>
      <c r="F35" s="5" t="s">
        <v>143</v>
      </c>
      <c r="G35" s="5" t="s">
        <v>144</v>
      </c>
      <c r="H35" s="5" t="s">
        <v>145</v>
      </c>
      <c r="K35" s="121" t="s">
        <v>170</v>
      </c>
      <c r="L35" s="131" t="s">
        <v>167</v>
      </c>
      <c r="M35" s="131"/>
    </row>
    <row r="36" spans="1:13" x14ac:dyDescent="0.2">
      <c r="A36" s="78" t="s">
        <v>147</v>
      </c>
      <c r="B36" s="115">
        <f>B3+B20</f>
        <v>851.05439999999987</v>
      </c>
      <c r="C36" s="115">
        <f t="shared" ref="C36:G36" si="6">C3+C20</f>
        <v>574.01610000000005</v>
      </c>
      <c r="D36" s="115">
        <f t="shared" si="6"/>
        <v>574.01610000000005</v>
      </c>
      <c r="E36" s="115">
        <f t="shared" si="6"/>
        <v>574.01610000000005</v>
      </c>
      <c r="F36" s="115">
        <f t="shared" si="6"/>
        <v>574.01610000000005</v>
      </c>
      <c r="G36" s="115">
        <f t="shared" si="6"/>
        <v>574.01610000000005</v>
      </c>
      <c r="H36" s="9">
        <f>SUM(B36:G36)</f>
        <v>3721.1349</v>
      </c>
      <c r="I36" s="10"/>
      <c r="K36" s="118" t="s">
        <v>171</v>
      </c>
      <c r="L36" s="124">
        <f>H36*0.9+H42*0.9+H43*0.9+H44*0.64+H46*0.9</f>
        <v>32235421.159809999</v>
      </c>
      <c r="M36" s="118"/>
    </row>
    <row r="37" spans="1:13" x14ac:dyDescent="0.2">
      <c r="A37" s="78" t="s">
        <v>148</v>
      </c>
      <c r="B37" s="115">
        <f t="shared" ref="B37:G37" si="7">B4+B21</f>
        <v>0</v>
      </c>
      <c r="C37" s="115">
        <f t="shared" si="7"/>
        <v>0</v>
      </c>
      <c r="D37" s="115">
        <f t="shared" si="7"/>
        <v>14962070.733568002</v>
      </c>
      <c r="E37" s="115">
        <f t="shared" si="7"/>
        <v>15397859.201536002</v>
      </c>
      <c r="F37" s="115">
        <f t="shared" si="7"/>
        <v>15833647.669504002</v>
      </c>
      <c r="G37" s="115">
        <f t="shared" si="7"/>
        <v>31244433.501232002</v>
      </c>
      <c r="H37" s="9">
        <f t="shared" ref="H37:H47" si="8">SUM(B37:G37)</f>
        <v>77438011.105840012</v>
      </c>
      <c r="I37" s="10"/>
      <c r="K37" s="118" t="s">
        <v>172</v>
      </c>
      <c r="L37" s="124">
        <f>L36*1.5</f>
        <v>48353131.739714995</v>
      </c>
      <c r="M37" s="118"/>
    </row>
    <row r="38" spans="1:13" x14ac:dyDescent="0.2">
      <c r="A38" s="78" t="s">
        <v>150</v>
      </c>
      <c r="B38" s="115">
        <f t="shared" ref="B38:G38" si="9">B5+B22</f>
        <v>0</v>
      </c>
      <c r="C38" s="115">
        <f t="shared" si="9"/>
        <v>0</v>
      </c>
      <c r="D38" s="115">
        <f t="shared" si="9"/>
        <v>283750.99200000003</v>
      </c>
      <c r="E38" s="115">
        <f t="shared" si="9"/>
        <v>292015.58400000003</v>
      </c>
      <c r="F38" s="115">
        <f t="shared" si="9"/>
        <v>300280.17600000004</v>
      </c>
      <c r="G38" s="115">
        <f t="shared" si="9"/>
        <v>592399.58400000003</v>
      </c>
      <c r="H38" s="9">
        <f t="shared" si="8"/>
        <v>1468446.3360000001</v>
      </c>
      <c r="I38" s="10"/>
      <c r="K38" s="118" t="s">
        <v>173</v>
      </c>
      <c r="L38" s="124">
        <f>L37/5</f>
        <v>9670626.3479429986</v>
      </c>
      <c r="M38" s="118"/>
    </row>
    <row r="39" spans="1:13" x14ac:dyDescent="0.2">
      <c r="A39" s="78" t="s">
        <v>151</v>
      </c>
      <c r="B39" s="115">
        <f t="shared" ref="B39:G39" si="10">B6+B23</f>
        <v>0</v>
      </c>
      <c r="C39" s="115">
        <f t="shared" si="10"/>
        <v>0</v>
      </c>
      <c r="D39" s="115">
        <f t="shared" si="10"/>
        <v>1029934.08</v>
      </c>
      <c r="E39" s="115">
        <f t="shared" si="10"/>
        <v>1059932.1599999999</v>
      </c>
      <c r="F39" s="115">
        <f t="shared" si="10"/>
        <v>1089930.24</v>
      </c>
      <c r="G39" s="115">
        <f t="shared" si="10"/>
        <v>2149862.3999999999</v>
      </c>
      <c r="H39" s="9">
        <f t="shared" si="8"/>
        <v>5329658.879999999</v>
      </c>
      <c r="I39" s="10"/>
      <c r="K39" s="118" t="s">
        <v>174</v>
      </c>
      <c r="L39" s="124">
        <f>L38/12</f>
        <v>805885.52899524989</v>
      </c>
      <c r="M39" s="118"/>
    </row>
    <row r="40" spans="1:13" ht="17" thickBot="1" x14ac:dyDescent="0.25">
      <c r="A40" s="79" t="s">
        <v>152</v>
      </c>
      <c r="B40" s="115">
        <f t="shared" ref="B40:G40" si="11">B7+B24</f>
        <v>0</v>
      </c>
      <c r="C40" s="115">
        <f t="shared" si="11"/>
        <v>0</v>
      </c>
      <c r="D40" s="115">
        <f t="shared" si="11"/>
        <v>436522.23999999999</v>
      </c>
      <c r="E40" s="115">
        <f t="shared" si="11"/>
        <v>449236.47999999998</v>
      </c>
      <c r="F40" s="115">
        <f t="shared" si="11"/>
        <v>461950.71999999997</v>
      </c>
      <c r="G40" s="115">
        <f t="shared" si="11"/>
        <v>911187.2</v>
      </c>
      <c r="H40" s="9">
        <f t="shared" si="8"/>
        <v>2258896.6399999997</v>
      </c>
      <c r="I40" s="116"/>
      <c r="K40" s="118" t="s">
        <v>175</v>
      </c>
      <c r="L40" s="125">
        <v>155008</v>
      </c>
      <c r="M40" s="118"/>
    </row>
    <row r="41" spans="1:13" ht="17" thickBot="1" x14ac:dyDescent="0.25">
      <c r="A41" s="78" t="s">
        <v>153</v>
      </c>
      <c r="B41" s="115">
        <f t="shared" ref="B41:G41" si="12">B8+B25</f>
        <v>0</v>
      </c>
      <c r="C41" s="115">
        <f t="shared" si="12"/>
        <v>0</v>
      </c>
      <c r="D41" s="115">
        <f t="shared" si="12"/>
        <v>25886.609472000004</v>
      </c>
      <c r="E41" s="115">
        <f t="shared" si="12"/>
        <v>18229.707072000001</v>
      </c>
      <c r="F41" s="115">
        <f t="shared" si="12"/>
        <v>18229.707072000001</v>
      </c>
      <c r="G41" s="115">
        <f t="shared" si="12"/>
        <v>18229.707072000001</v>
      </c>
      <c r="H41" s="9">
        <f t="shared" si="8"/>
        <v>80575.730688000011</v>
      </c>
      <c r="I41" s="10"/>
      <c r="K41" s="128" t="s">
        <v>176</v>
      </c>
      <c r="L41" s="129">
        <f>L39/L40</f>
        <v>5.1989931422587858</v>
      </c>
      <c r="M41" s="132" t="s">
        <v>177</v>
      </c>
    </row>
    <row r="42" spans="1:13" ht="16.5" customHeight="1" x14ac:dyDescent="0.2">
      <c r="A42" s="78" t="s">
        <v>154</v>
      </c>
      <c r="B42" s="115">
        <f t="shared" ref="B42:G42" si="13">B9+B26</f>
        <v>134400</v>
      </c>
      <c r="C42" s="115">
        <f t="shared" si="13"/>
        <v>538677.77777777764</v>
      </c>
      <c r="D42" s="115">
        <f t="shared" si="13"/>
        <v>538677.77777777764</v>
      </c>
      <c r="E42" s="115">
        <f t="shared" si="13"/>
        <v>538677.77777777764</v>
      </c>
      <c r="F42" s="115">
        <f t="shared" si="13"/>
        <v>538677.77777777764</v>
      </c>
      <c r="G42" s="115">
        <f t="shared" si="13"/>
        <v>538677.77777777764</v>
      </c>
      <c r="H42" s="9">
        <f t="shared" si="8"/>
        <v>2827788.8888888881</v>
      </c>
      <c r="I42" s="10"/>
      <c r="K42" s="95" t="s">
        <v>178</v>
      </c>
      <c r="L42" s="126" t="s">
        <v>167</v>
      </c>
      <c r="M42" s="95"/>
    </row>
    <row r="43" spans="1:13" x14ac:dyDescent="0.2">
      <c r="A43" s="78" t="s">
        <v>155</v>
      </c>
      <c r="B43" s="115">
        <f t="shared" ref="B43:G43" si="14">B10+B27</f>
        <v>116480</v>
      </c>
      <c r="C43" s="115">
        <f t="shared" si="14"/>
        <v>4548.2280000000001</v>
      </c>
      <c r="D43" s="115">
        <f t="shared" si="14"/>
        <v>4548.2280000000001</v>
      </c>
      <c r="E43" s="115">
        <f t="shared" si="14"/>
        <v>4548.2280000000001</v>
      </c>
      <c r="F43" s="115">
        <f t="shared" si="14"/>
        <v>4548.2280000000001</v>
      </c>
      <c r="G43" s="115">
        <f t="shared" si="14"/>
        <v>4548.2280000000001</v>
      </c>
      <c r="H43" s="9">
        <f t="shared" si="8"/>
        <v>139221.14000000001</v>
      </c>
      <c r="I43" s="10"/>
      <c r="K43" s="118" t="s">
        <v>171</v>
      </c>
      <c r="L43" s="127">
        <f>H36*0.1+H42*0.1+H43*0.1+0.1*H46+0.36*H44</f>
        <v>16797104.903978888</v>
      </c>
      <c r="M43" s="118"/>
    </row>
    <row r="44" spans="1:13" x14ac:dyDescent="0.2">
      <c r="A44" s="78" t="s">
        <v>156</v>
      </c>
      <c r="B44" s="115">
        <f t="shared" ref="B44:G44" si="15">B11+B28</f>
        <v>8394108.8000000007</v>
      </c>
      <c r="C44" s="115">
        <f t="shared" si="15"/>
        <v>8645932.0640000012</v>
      </c>
      <c r="D44" s="115">
        <f t="shared" si="15"/>
        <v>8897755.3280000016</v>
      </c>
      <c r="E44" s="115">
        <f t="shared" si="15"/>
        <v>9149578.5920000002</v>
      </c>
      <c r="F44" s="115">
        <f t="shared" si="15"/>
        <v>9399161.8560000006</v>
      </c>
      <c r="G44" s="115">
        <f t="shared" si="15"/>
        <v>1259049.1200000001</v>
      </c>
      <c r="H44" s="9">
        <f t="shared" si="8"/>
        <v>45745585.759999998</v>
      </c>
      <c r="I44" s="10"/>
      <c r="K44" s="118" t="s">
        <v>172</v>
      </c>
      <c r="L44" s="124">
        <f>L43*1.5</f>
        <v>25195657.355968334</v>
      </c>
      <c r="M44" s="118"/>
    </row>
    <row r="45" spans="1:13" x14ac:dyDescent="0.2">
      <c r="A45" s="78" t="s">
        <v>157</v>
      </c>
      <c r="B45" s="115">
        <f t="shared" ref="B45:G45" si="16">B12+B29</f>
        <v>0</v>
      </c>
      <c r="C45" s="115">
        <f t="shared" si="16"/>
        <v>0</v>
      </c>
      <c r="D45" s="115">
        <f t="shared" si="16"/>
        <v>0</v>
      </c>
      <c r="E45" s="115">
        <f t="shared" si="16"/>
        <v>0</v>
      </c>
      <c r="F45" s="115">
        <f t="shared" si="16"/>
        <v>0</v>
      </c>
      <c r="G45" s="115">
        <f t="shared" si="16"/>
        <v>0</v>
      </c>
      <c r="H45" s="9">
        <f t="shared" si="8"/>
        <v>0</v>
      </c>
      <c r="I45" s="10"/>
      <c r="K45" s="118" t="s">
        <v>173</v>
      </c>
      <c r="L45" s="124">
        <f>L44/5</f>
        <v>5039131.4711936666</v>
      </c>
      <c r="M45" s="118"/>
    </row>
    <row r="46" spans="1:13" x14ac:dyDescent="0.2">
      <c r="A46" s="78" t="s">
        <v>163</v>
      </c>
      <c r="B46" s="115">
        <f t="shared" ref="B46:G46" si="17">B13+B30</f>
        <v>201600</v>
      </c>
      <c r="C46" s="115">
        <f t="shared" si="17"/>
        <v>22921.828000000001</v>
      </c>
      <c r="D46" s="115">
        <f t="shared" si="17"/>
        <v>22921.828000000001</v>
      </c>
      <c r="E46" s="115">
        <f t="shared" si="17"/>
        <v>22921.828000000001</v>
      </c>
      <c r="F46" s="115">
        <f t="shared" si="17"/>
        <v>22921.828000000001</v>
      </c>
      <c r="G46" s="115">
        <f t="shared" si="17"/>
        <v>22921.828000000001</v>
      </c>
      <c r="H46" s="9">
        <f t="shared" si="8"/>
        <v>316209.13999999996</v>
      </c>
      <c r="I46" s="10"/>
      <c r="K46" s="118" t="s">
        <v>174</v>
      </c>
      <c r="L46" s="124">
        <f>L45/12</f>
        <v>419927.62259947223</v>
      </c>
      <c r="M46" s="118"/>
    </row>
    <row r="47" spans="1:13" ht="17" thickBot="1" x14ac:dyDescent="0.25">
      <c r="A47" s="78" t="s">
        <v>164</v>
      </c>
      <c r="B47" s="115">
        <f t="shared" ref="B47:G47" si="18">B14+B31</f>
        <v>0</v>
      </c>
      <c r="C47" s="115">
        <f t="shared" si="18"/>
        <v>35625.160190606199</v>
      </c>
      <c r="D47" s="115">
        <f t="shared" si="18"/>
        <v>35625.160190606199</v>
      </c>
      <c r="E47" s="115">
        <f t="shared" si="18"/>
        <v>35625.160190606199</v>
      </c>
      <c r="F47" s="115">
        <f t="shared" si="18"/>
        <v>35625.160190606199</v>
      </c>
      <c r="G47" s="115">
        <f t="shared" si="18"/>
        <v>35625.160190606199</v>
      </c>
      <c r="H47" s="9">
        <f t="shared" si="8"/>
        <v>178125.80095303099</v>
      </c>
      <c r="I47" s="10"/>
      <c r="K47" s="118" t="s">
        <v>175</v>
      </c>
      <c r="L47" s="125">
        <v>28450</v>
      </c>
      <c r="M47" s="118"/>
    </row>
    <row r="48" spans="1:13" ht="17" thickBot="1" x14ac:dyDescent="0.25">
      <c r="A48" s="42" t="s">
        <v>165</v>
      </c>
      <c r="B48" s="77">
        <f t="shared" ref="B48:G48" si="19">B15+B32</f>
        <v>8847439.8544000015</v>
      </c>
      <c r="C48" s="77">
        <f t="shared" si="19"/>
        <v>9248279.0740683842</v>
      </c>
      <c r="D48" s="77">
        <f t="shared" si="19"/>
        <v>26238266.993108384</v>
      </c>
      <c r="E48" s="77">
        <f t="shared" si="19"/>
        <v>26969198.734676387</v>
      </c>
      <c r="F48" s="77">
        <f t="shared" si="19"/>
        <v>27705547.378644384</v>
      </c>
      <c r="G48" s="77">
        <f t="shared" si="19"/>
        <v>36777508.522372387</v>
      </c>
      <c r="K48" s="128" t="s">
        <v>176</v>
      </c>
      <c r="L48" s="129">
        <f>L46/L47</f>
        <v>14.760197630912907</v>
      </c>
      <c r="M48" s="132" t="s">
        <v>177</v>
      </c>
    </row>
    <row r="49" spans="1:13" ht="17" thickBot="1" x14ac:dyDescent="0.25">
      <c r="K49" s="95" t="s">
        <v>179</v>
      </c>
      <c r="L49" s="95"/>
      <c r="M49" s="95"/>
    </row>
    <row r="50" spans="1:13" ht="17" thickBot="1" x14ac:dyDescent="0.25">
      <c r="K50" s="128" t="s">
        <v>180</v>
      </c>
      <c r="L50" s="130">
        <f>59.99*1.2</f>
        <v>71.988</v>
      </c>
      <c r="M50" s="132" t="s">
        <v>177</v>
      </c>
    </row>
    <row r="51" spans="1:13" ht="34" x14ac:dyDescent="0.2">
      <c r="A51" s="82" t="s">
        <v>181</v>
      </c>
      <c r="B51" s="5" t="s">
        <v>139</v>
      </c>
      <c r="C51" s="5" t="s">
        <v>140</v>
      </c>
      <c r="D51" s="5" t="s">
        <v>141</v>
      </c>
      <c r="E51" s="5" t="s">
        <v>142</v>
      </c>
      <c r="F51" s="5" t="s">
        <v>143</v>
      </c>
      <c r="G51" s="5" t="s">
        <v>144</v>
      </c>
      <c r="H51" s="5" t="s">
        <v>145</v>
      </c>
    </row>
    <row r="52" spans="1:13" x14ac:dyDescent="0.2">
      <c r="A52" s="90" t="s">
        <v>182</v>
      </c>
      <c r="B52" s="80">
        <f>B37+B38+B39+B40+B41</f>
        <v>0</v>
      </c>
      <c r="C52" s="80">
        <f>C37+C38+C39+C40+C41</f>
        <v>0</v>
      </c>
      <c r="D52" s="80">
        <f t="shared" ref="D52:H52" si="20">D37+D38+D39+D40+D41</f>
        <v>16738164.655040001</v>
      </c>
      <c r="E52" s="80">
        <f t="shared" si="20"/>
        <v>17217273.132608004</v>
      </c>
      <c r="F52" s="80">
        <f t="shared" si="20"/>
        <v>17704038.512576003</v>
      </c>
      <c r="G52" s="80">
        <f t="shared" si="20"/>
        <v>34916112.392304003</v>
      </c>
      <c r="H52" s="80">
        <f t="shared" si="20"/>
        <v>86575588.692528009</v>
      </c>
    </row>
    <row r="54" spans="1:13" ht="17" x14ac:dyDescent="0.2">
      <c r="A54" s="82" t="s">
        <v>183</v>
      </c>
      <c r="B54" s="5" t="s">
        <v>139</v>
      </c>
      <c r="C54" s="5" t="s">
        <v>140</v>
      </c>
      <c r="D54" s="5" t="s">
        <v>141</v>
      </c>
      <c r="E54" s="5" t="s">
        <v>142</v>
      </c>
      <c r="F54" s="5" t="s">
        <v>143</v>
      </c>
      <c r="G54" s="5" t="s">
        <v>144</v>
      </c>
      <c r="H54" s="5" t="s">
        <v>145</v>
      </c>
    </row>
    <row r="55" spans="1:13" x14ac:dyDescent="0.2">
      <c r="A55" s="90" t="s">
        <v>182</v>
      </c>
      <c r="B55" s="80">
        <f>B4+B5+B6+B7+B8</f>
        <v>0</v>
      </c>
      <c r="C55" s="80">
        <f>C4+C5+C6+C7+C8</f>
        <v>0</v>
      </c>
      <c r="D55" s="80">
        <f t="shared" ref="D55:H55" si="21">D4+D5+D6+D7+D8</f>
        <v>16233169.568000002</v>
      </c>
      <c r="E55" s="80">
        <f t="shared" si="21"/>
        <v>16225512.665600002</v>
      </c>
      <c r="F55" s="80">
        <f t="shared" si="21"/>
        <v>16225512.665600002</v>
      </c>
      <c r="G55" s="80">
        <f t="shared" si="21"/>
        <v>32463676.257600002</v>
      </c>
      <c r="H55" s="80">
        <f t="shared" si="21"/>
        <v>81147871.156800002</v>
      </c>
    </row>
    <row r="57" spans="1:13" ht="17" x14ac:dyDescent="0.2">
      <c r="A57" s="82" t="s">
        <v>184</v>
      </c>
      <c r="B57" s="5" t="s">
        <v>139</v>
      </c>
      <c r="C57" s="5" t="s">
        <v>140</v>
      </c>
      <c r="D57" s="5" t="s">
        <v>141</v>
      </c>
      <c r="E57" s="5" t="s">
        <v>142</v>
      </c>
      <c r="F57" s="5" t="s">
        <v>143</v>
      </c>
      <c r="G57" s="5" t="s">
        <v>144</v>
      </c>
      <c r="H57" s="5" t="s">
        <v>145</v>
      </c>
    </row>
    <row r="58" spans="1:13" x14ac:dyDescent="0.2">
      <c r="A58" s="90" t="s">
        <v>182</v>
      </c>
      <c r="B58" s="80">
        <f>B21+B22+B23+B24+B25</f>
        <v>0</v>
      </c>
      <c r="C58" s="80">
        <f>C21+C22+C23+C24+C25</f>
        <v>0</v>
      </c>
      <c r="D58" s="80">
        <f t="shared" ref="D58:H58" si="22">D21+D22+D23+D24+D25</f>
        <v>504995.08704000007</v>
      </c>
      <c r="E58" s="80">
        <f t="shared" si="22"/>
        <v>991760.46700800012</v>
      </c>
      <c r="F58" s="80">
        <f t="shared" si="22"/>
        <v>1478525.8469760001</v>
      </c>
      <c r="G58" s="80">
        <f t="shared" si="22"/>
        <v>2452436.1347040003</v>
      </c>
      <c r="H58" s="80">
        <f t="shared" si="22"/>
        <v>5427717.5357280001</v>
      </c>
    </row>
  </sheetData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Network management</vt:lpstr>
      <vt:lpstr>IoT</vt:lpstr>
      <vt:lpstr>IMS</vt:lpstr>
      <vt:lpstr>Edge</vt:lpstr>
      <vt:lpstr>FIXED</vt:lpstr>
      <vt:lpstr>Mobile</vt:lpstr>
      <vt:lpstr>Core</vt:lpstr>
      <vt:lpstr>Satellite</vt:lpstr>
      <vt:lpstr>EXP-INCOM (2)</vt:lpstr>
      <vt:lpstr>cashflow</vt:lpstr>
      <vt:lpstr>Netprofit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Beatriz Esteban Navarro</dc:creator>
  <cp:keywords/>
  <dc:description/>
  <cp:lastModifiedBy>Beatriz Esteban</cp:lastModifiedBy>
  <cp:revision/>
  <dcterms:created xsi:type="dcterms:W3CDTF">2020-04-23T09:53:31Z</dcterms:created>
  <dcterms:modified xsi:type="dcterms:W3CDTF">2020-05-14T10:36:39Z</dcterms:modified>
  <cp:category/>
  <cp:contentStatus/>
</cp:coreProperties>
</file>